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3\01_obec_ROZPOČET_2023\03_Upr_rozp_NIV_obec_2023_upr_k_20_04_2023\"/>
    </mc:Choice>
  </mc:AlternateContent>
  <xr:revisionPtr revIDLastSave="0" documentId="13_ncr:1_{2C642BDE-A03E-42B1-90C3-046A1761252A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komentář" sheetId="46" r:id="rId1"/>
    <sheet name="LB" sheetId="43" r:id="rId2"/>
    <sheet name="FR" sheetId="44" r:id="rId3"/>
    <sheet name="JN" sheetId="29" r:id="rId4"/>
    <sheet name="TA" sheetId="30" r:id="rId5"/>
    <sheet name="ŽB" sheetId="31" r:id="rId6"/>
    <sheet name="ČL" sheetId="32" r:id="rId7"/>
    <sheet name="NB" sheetId="39" r:id="rId8"/>
    <sheet name="SM" sheetId="40" r:id="rId9"/>
    <sheet name="JI" sheetId="41" r:id="rId10"/>
    <sheet name="TU" sheetId="42" r:id="rId11"/>
    <sheet name="sumář" sheetId="47" r:id="rId12"/>
  </sheets>
  <definedNames>
    <definedName name="_xlnm._FilterDatabase" localSheetId="6" hidden="1">ČL!$AP$1:$AP$313</definedName>
    <definedName name="_xlnm._FilterDatabase" localSheetId="2" hidden="1">FR!$AN$1:$AN$335</definedName>
    <definedName name="_xlnm._FilterDatabase" localSheetId="9" hidden="1">JI!$AP$1:$AP$158</definedName>
    <definedName name="_xlnm._FilterDatabase" localSheetId="3" hidden="1">JN!$AP$1:$AP$203</definedName>
    <definedName name="_xlnm._FilterDatabase" localSheetId="1" hidden="1">LB!$AN$1:$AN$850</definedName>
    <definedName name="_xlnm._FilterDatabase" localSheetId="7" hidden="1">NB!$AP$1:$AP$139</definedName>
    <definedName name="_xlnm._FilterDatabase" localSheetId="8" hidden="1">SM!$AP$1:$AP$180</definedName>
    <definedName name="_xlnm._FilterDatabase" localSheetId="4" hidden="1">TA!$AP$1:$AP$114</definedName>
    <definedName name="_xlnm._FilterDatabase" localSheetId="10" hidden="1">TU!$AP$1:$AP$219</definedName>
    <definedName name="_xlnm._FilterDatabase" localSheetId="5" hidden="1">ŽB!$AP$1:$AP$88</definedName>
    <definedName name="_xlnm.Print_Titles" localSheetId="2">FR!$5:$11</definedName>
    <definedName name="_xlnm.Print_Titles" localSheetId="1">LB!$5:$11</definedName>
    <definedName name="_xlnm.Print_Area" localSheetId="0">komentář!$A$1:$P$25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7" l="1"/>
  <c r="D27" i="47"/>
  <c r="E27" i="47"/>
  <c r="F27" i="47"/>
  <c r="G27" i="47"/>
  <c r="H27" i="47"/>
  <c r="I27" i="47"/>
  <c r="J27" i="47"/>
  <c r="K27" i="47"/>
  <c r="L27" i="47"/>
  <c r="M27" i="47"/>
  <c r="N27" i="47"/>
  <c r="O27" i="47"/>
  <c r="P27" i="47"/>
  <c r="Q27" i="47"/>
  <c r="R27" i="47"/>
  <c r="S27" i="47"/>
  <c r="T27" i="47"/>
  <c r="U27" i="47"/>
  <c r="V27" i="47"/>
  <c r="W27" i="47"/>
  <c r="AA27" i="47"/>
  <c r="AB27" i="47"/>
  <c r="AC27" i="47"/>
  <c r="AD27" i="47"/>
  <c r="AE27" i="47"/>
  <c r="AF27" i="47"/>
  <c r="AG27" i="47"/>
  <c r="AH27" i="47"/>
  <c r="AI27" i="47"/>
  <c r="AJ27" i="47"/>
  <c r="AL27" i="47"/>
  <c r="AM27" i="47"/>
  <c r="AN27" i="47"/>
  <c r="AO27" i="47"/>
  <c r="AQ27" i="47"/>
  <c r="AR27" i="47"/>
  <c r="AS27" i="47"/>
  <c r="C28" i="47"/>
  <c r="D28" i="47"/>
  <c r="E28" i="47"/>
  <c r="F28" i="47"/>
  <c r="G28" i="47"/>
  <c r="H28" i="47"/>
  <c r="I28" i="47"/>
  <c r="J28" i="47"/>
  <c r="K28" i="47"/>
  <c r="L28" i="47"/>
  <c r="M28" i="47"/>
  <c r="N28" i="47"/>
  <c r="O28" i="47"/>
  <c r="P28" i="47"/>
  <c r="Q28" i="47"/>
  <c r="R28" i="47"/>
  <c r="S28" i="47"/>
  <c r="T28" i="47"/>
  <c r="U28" i="47"/>
  <c r="V28" i="47"/>
  <c r="W28" i="47"/>
  <c r="AA28" i="47"/>
  <c r="AB28" i="47"/>
  <c r="AC28" i="47"/>
  <c r="AD28" i="47"/>
  <c r="AE28" i="47"/>
  <c r="AF28" i="47"/>
  <c r="AG28" i="47"/>
  <c r="AH28" i="47"/>
  <c r="AI28" i="47"/>
  <c r="AJ28" i="47"/>
  <c r="AL28" i="47"/>
  <c r="AM28" i="47"/>
  <c r="AN28" i="47"/>
  <c r="AO28" i="47"/>
  <c r="AQ28" i="47"/>
  <c r="AR28" i="47"/>
  <c r="AS28" i="47"/>
  <c r="C29" i="47"/>
  <c r="D29" i="47"/>
  <c r="E29" i="47"/>
  <c r="F29" i="47"/>
  <c r="G29" i="47"/>
  <c r="H29" i="47"/>
  <c r="I29" i="47"/>
  <c r="J29" i="47"/>
  <c r="K29" i="47"/>
  <c r="L29" i="47"/>
  <c r="M29" i="47"/>
  <c r="N29" i="47"/>
  <c r="O29" i="47"/>
  <c r="P29" i="47"/>
  <c r="Q29" i="47"/>
  <c r="R29" i="47"/>
  <c r="S29" i="47"/>
  <c r="T29" i="47"/>
  <c r="U29" i="47"/>
  <c r="V29" i="47"/>
  <c r="W29" i="47"/>
  <c r="AA29" i="47"/>
  <c r="AB29" i="47"/>
  <c r="AC29" i="47"/>
  <c r="AD29" i="47"/>
  <c r="AE29" i="47"/>
  <c r="AF29" i="47"/>
  <c r="AG29" i="47"/>
  <c r="AH29" i="47"/>
  <c r="AI29" i="47"/>
  <c r="AJ29" i="47"/>
  <c r="AL29" i="47"/>
  <c r="AM29" i="47"/>
  <c r="AN29" i="47"/>
  <c r="AO29" i="47"/>
  <c r="AQ29" i="47"/>
  <c r="AR29" i="47"/>
  <c r="AS29" i="47"/>
  <c r="C30" i="47"/>
  <c r="D30" i="47"/>
  <c r="E30" i="47"/>
  <c r="F30" i="47"/>
  <c r="G30" i="47"/>
  <c r="H30" i="47"/>
  <c r="I30" i="47"/>
  <c r="J30" i="47"/>
  <c r="K30" i="47"/>
  <c r="L30" i="47"/>
  <c r="M30" i="47"/>
  <c r="N30" i="47"/>
  <c r="O30" i="47"/>
  <c r="P30" i="47"/>
  <c r="Q30" i="47"/>
  <c r="R30" i="47"/>
  <c r="S30" i="47"/>
  <c r="T30" i="47"/>
  <c r="U30" i="47"/>
  <c r="V30" i="47"/>
  <c r="W30" i="47"/>
  <c r="AA30" i="47"/>
  <c r="AB30" i="47"/>
  <c r="AC30" i="47"/>
  <c r="AD30" i="47"/>
  <c r="AE30" i="47"/>
  <c r="AF30" i="47"/>
  <c r="AG30" i="47"/>
  <c r="AH30" i="47"/>
  <c r="AI30" i="47"/>
  <c r="AJ30" i="47"/>
  <c r="AL30" i="47"/>
  <c r="AM30" i="47"/>
  <c r="AN30" i="47"/>
  <c r="AO30" i="47"/>
  <c r="AQ30" i="47"/>
  <c r="AR30" i="47"/>
  <c r="AS30" i="47"/>
  <c r="C31" i="47"/>
  <c r="D31" i="47"/>
  <c r="E31" i="47"/>
  <c r="F31" i="47"/>
  <c r="G31" i="47"/>
  <c r="H31" i="47"/>
  <c r="I31" i="47"/>
  <c r="J31" i="47"/>
  <c r="K31" i="47"/>
  <c r="L31" i="47"/>
  <c r="M31" i="47"/>
  <c r="N31" i="47"/>
  <c r="O31" i="47"/>
  <c r="P31" i="47"/>
  <c r="Q31" i="47"/>
  <c r="R31" i="47"/>
  <c r="S31" i="47"/>
  <c r="T31" i="47"/>
  <c r="U31" i="47"/>
  <c r="V31" i="47"/>
  <c r="W31" i="47"/>
  <c r="AA31" i="47"/>
  <c r="AB31" i="47"/>
  <c r="AC31" i="47"/>
  <c r="AD31" i="47"/>
  <c r="AE31" i="47"/>
  <c r="AF31" i="47"/>
  <c r="AG31" i="47"/>
  <c r="AH31" i="47"/>
  <c r="AI31" i="47"/>
  <c r="AJ31" i="47"/>
  <c r="AL31" i="47"/>
  <c r="AM31" i="47"/>
  <c r="AN31" i="47"/>
  <c r="AO31" i="47"/>
  <c r="AQ31" i="47"/>
  <c r="AR31" i="47"/>
  <c r="AS31" i="47"/>
  <c r="C32" i="47"/>
  <c r="D32" i="47"/>
  <c r="E32" i="47"/>
  <c r="F32" i="47"/>
  <c r="G32" i="47"/>
  <c r="H32" i="47"/>
  <c r="I32" i="47"/>
  <c r="J32" i="47"/>
  <c r="K32" i="47"/>
  <c r="L32" i="47"/>
  <c r="M32" i="47"/>
  <c r="N32" i="47"/>
  <c r="O32" i="47"/>
  <c r="P32" i="47"/>
  <c r="Q32" i="47"/>
  <c r="R32" i="47"/>
  <c r="S32" i="47"/>
  <c r="T32" i="47"/>
  <c r="U32" i="47"/>
  <c r="V32" i="47"/>
  <c r="W32" i="47"/>
  <c r="AA32" i="47"/>
  <c r="AB32" i="47"/>
  <c r="AC32" i="47"/>
  <c r="AD32" i="47"/>
  <c r="AE32" i="47"/>
  <c r="AF32" i="47"/>
  <c r="AG32" i="47"/>
  <c r="AH32" i="47"/>
  <c r="AI32" i="47"/>
  <c r="AJ32" i="47"/>
  <c r="AL32" i="47"/>
  <c r="AM32" i="47"/>
  <c r="AN32" i="47"/>
  <c r="AO32" i="47"/>
  <c r="AQ32" i="47"/>
  <c r="AR32" i="47"/>
  <c r="AS32" i="47"/>
  <c r="C33" i="47"/>
  <c r="D33" i="47"/>
  <c r="E33" i="47"/>
  <c r="F33" i="47"/>
  <c r="G33" i="47"/>
  <c r="H33" i="47"/>
  <c r="I33" i="47"/>
  <c r="J33" i="47"/>
  <c r="K33" i="47"/>
  <c r="L33" i="47"/>
  <c r="M33" i="47"/>
  <c r="N33" i="47"/>
  <c r="O33" i="47"/>
  <c r="P33" i="47"/>
  <c r="Q33" i="47"/>
  <c r="R33" i="47"/>
  <c r="S33" i="47"/>
  <c r="T33" i="47"/>
  <c r="U33" i="47"/>
  <c r="V33" i="47"/>
  <c r="W33" i="47"/>
  <c r="AA33" i="47"/>
  <c r="AB33" i="47"/>
  <c r="AC33" i="47"/>
  <c r="AD33" i="47"/>
  <c r="AE33" i="47"/>
  <c r="AF33" i="47"/>
  <c r="AG33" i="47"/>
  <c r="AH33" i="47"/>
  <c r="AI33" i="47"/>
  <c r="AJ33" i="47"/>
  <c r="AL33" i="47"/>
  <c r="AM33" i="47"/>
  <c r="AN33" i="47"/>
  <c r="AO33" i="47"/>
  <c r="AQ33" i="47"/>
  <c r="AR33" i="47"/>
  <c r="AS33" i="47"/>
  <c r="C34" i="47"/>
  <c r="D34" i="47"/>
  <c r="E34" i="47"/>
  <c r="F34" i="47"/>
  <c r="G34" i="47"/>
  <c r="H34" i="47"/>
  <c r="I34" i="47"/>
  <c r="J34" i="47"/>
  <c r="K34" i="47"/>
  <c r="L34" i="47"/>
  <c r="M34" i="47"/>
  <c r="N34" i="47"/>
  <c r="O34" i="47"/>
  <c r="P34" i="47"/>
  <c r="Q34" i="47"/>
  <c r="R34" i="47"/>
  <c r="S34" i="47"/>
  <c r="T34" i="47"/>
  <c r="U34" i="47"/>
  <c r="V34" i="47"/>
  <c r="W34" i="47"/>
  <c r="AA34" i="47"/>
  <c r="AB34" i="47"/>
  <c r="AC34" i="47"/>
  <c r="AD34" i="47"/>
  <c r="AE34" i="47"/>
  <c r="AF34" i="47"/>
  <c r="AG34" i="47"/>
  <c r="AH34" i="47"/>
  <c r="AI34" i="47"/>
  <c r="AJ34" i="47"/>
  <c r="AL34" i="47"/>
  <c r="AM34" i="47"/>
  <c r="AN34" i="47"/>
  <c r="AO34" i="47"/>
  <c r="AQ34" i="47"/>
  <c r="AR34" i="47"/>
  <c r="AS34" i="47"/>
  <c r="C35" i="47"/>
  <c r="D35" i="47"/>
  <c r="E35" i="47"/>
  <c r="F35" i="47"/>
  <c r="G35" i="47"/>
  <c r="H35" i="47"/>
  <c r="I35" i="47"/>
  <c r="J35" i="47"/>
  <c r="K35" i="47"/>
  <c r="L35" i="47"/>
  <c r="M35" i="47"/>
  <c r="N35" i="47"/>
  <c r="O35" i="47"/>
  <c r="P35" i="47"/>
  <c r="Q35" i="47"/>
  <c r="R35" i="47"/>
  <c r="S35" i="47"/>
  <c r="T35" i="47"/>
  <c r="U35" i="47"/>
  <c r="V35" i="47"/>
  <c r="W35" i="47"/>
  <c r="AA35" i="47"/>
  <c r="AB35" i="47"/>
  <c r="AC35" i="47"/>
  <c r="AD35" i="47"/>
  <c r="AE35" i="47"/>
  <c r="AF35" i="47"/>
  <c r="AG35" i="47"/>
  <c r="AH35" i="47"/>
  <c r="AI35" i="47"/>
  <c r="AJ35" i="47"/>
  <c r="AL35" i="47"/>
  <c r="AM35" i="47"/>
  <c r="AN35" i="47"/>
  <c r="AO35" i="47"/>
  <c r="AQ35" i="47"/>
  <c r="AR35" i="47"/>
  <c r="AS35" i="47"/>
  <c r="C36" i="47"/>
  <c r="D36" i="47"/>
  <c r="E36" i="47"/>
  <c r="F36" i="47"/>
  <c r="G36" i="47"/>
  <c r="H36" i="47"/>
  <c r="I36" i="47"/>
  <c r="J36" i="47"/>
  <c r="K36" i="47"/>
  <c r="L36" i="47"/>
  <c r="M36" i="47"/>
  <c r="N36" i="47"/>
  <c r="O36" i="47"/>
  <c r="P36" i="47"/>
  <c r="Q36" i="47"/>
  <c r="R36" i="47"/>
  <c r="S36" i="47"/>
  <c r="T36" i="47"/>
  <c r="U36" i="47"/>
  <c r="V36" i="47"/>
  <c r="W36" i="47"/>
  <c r="AA36" i="47"/>
  <c r="AB36" i="47"/>
  <c r="AC36" i="47"/>
  <c r="AD36" i="47"/>
  <c r="AE36" i="47"/>
  <c r="AF36" i="47"/>
  <c r="AG36" i="47"/>
  <c r="AH36" i="47"/>
  <c r="AI36" i="47"/>
  <c r="AJ36" i="47"/>
  <c r="AL36" i="47"/>
  <c r="AM36" i="47"/>
  <c r="AN36" i="47"/>
  <c r="AO36" i="47"/>
  <c r="AQ36" i="47"/>
  <c r="AR36" i="47"/>
  <c r="AS36" i="47"/>
  <c r="B28" i="47"/>
  <c r="B29" i="47"/>
  <c r="B30" i="47"/>
  <c r="B31" i="47"/>
  <c r="B32" i="47"/>
  <c r="B33" i="47"/>
  <c r="B34" i="47"/>
  <c r="B35" i="47"/>
  <c r="B36" i="47"/>
  <c r="B27" i="47"/>
  <c r="C13" i="47"/>
  <c r="D13" i="47"/>
  <c r="E13" i="47"/>
  <c r="F13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V13" i="47"/>
  <c r="W13" i="47"/>
  <c r="X13" i="47"/>
  <c r="Y13" i="47"/>
  <c r="Z13" i="47"/>
  <c r="AA13" i="47"/>
  <c r="AB13" i="47"/>
  <c r="AC13" i="47"/>
  <c r="AD13" i="47"/>
  <c r="AE13" i="47"/>
  <c r="AF13" i="47"/>
  <c r="AG13" i="47"/>
  <c r="AH13" i="47"/>
  <c r="AI13" i="47"/>
  <c r="AJ13" i="47"/>
  <c r="AK13" i="47"/>
  <c r="AL13" i="47"/>
  <c r="AM13" i="47"/>
  <c r="AN13" i="47"/>
  <c r="AO13" i="47"/>
  <c r="AP13" i="47"/>
  <c r="AQ13" i="47"/>
  <c r="AR13" i="47"/>
  <c r="AS13" i="47"/>
  <c r="C14" i="47"/>
  <c r="D14" i="47"/>
  <c r="E14" i="47"/>
  <c r="F14" i="47"/>
  <c r="G14" i="47"/>
  <c r="H14" i="47"/>
  <c r="I14" i="47"/>
  <c r="J14" i="47"/>
  <c r="K14" i="47"/>
  <c r="L14" i="47"/>
  <c r="M14" i="47"/>
  <c r="N14" i="47"/>
  <c r="O14" i="47"/>
  <c r="P14" i="47"/>
  <c r="Q14" i="47"/>
  <c r="R14" i="47"/>
  <c r="S14" i="47"/>
  <c r="T14" i="47"/>
  <c r="U14" i="47"/>
  <c r="V14" i="47"/>
  <c r="W14" i="47"/>
  <c r="X14" i="47"/>
  <c r="Y14" i="47"/>
  <c r="Z14" i="47"/>
  <c r="AA14" i="47"/>
  <c r="AB14" i="47"/>
  <c r="AC14" i="47"/>
  <c r="AD14" i="47"/>
  <c r="AE14" i="47"/>
  <c r="AF14" i="47"/>
  <c r="AG14" i="47"/>
  <c r="AH14" i="47"/>
  <c r="AI14" i="47"/>
  <c r="AJ14" i="47"/>
  <c r="AK14" i="47"/>
  <c r="AL14" i="47"/>
  <c r="AM14" i="47"/>
  <c r="AN14" i="47"/>
  <c r="AO14" i="47"/>
  <c r="AP14" i="47"/>
  <c r="AQ14" i="47"/>
  <c r="AR14" i="47"/>
  <c r="AS14" i="47"/>
  <c r="C15" i="47"/>
  <c r="D15" i="47"/>
  <c r="E15" i="47"/>
  <c r="F15" i="47"/>
  <c r="G15" i="47"/>
  <c r="H15" i="47"/>
  <c r="I15" i="47"/>
  <c r="J15" i="47"/>
  <c r="K15" i="47"/>
  <c r="L15" i="47"/>
  <c r="M15" i="47"/>
  <c r="N15" i="47"/>
  <c r="O15" i="47"/>
  <c r="P15" i="47"/>
  <c r="Q15" i="47"/>
  <c r="R15" i="47"/>
  <c r="S15" i="47"/>
  <c r="T15" i="47"/>
  <c r="U15" i="47"/>
  <c r="V15" i="47"/>
  <c r="W15" i="47"/>
  <c r="X15" i="47"/>
  <c r="Y15" i="47"/>
  <c r="Z15" i="47"/>
  <c r="AA15" i="47"/>
  <c r="AB15" i="47"/>
  <c r="AC15" i="47"/>
  <c r="AD15" i="47"/>
  <c r="AE15" i="47"/>
  <c r="AF15" i="47"/>
  <c r="AG15" i="47"/>
  <c r="AH15" i="47"/>
  <c r="AI15" i="47"/>
  <c r="AJ15" i="47"/>
  <c r="AK15" i="47"/>
  <c r="AL15" i="47"/>
  <c r="AM15" i="47"/>
  <c r="AN15" i="47"/>
  <c r="AO15" i="47"/>
  <c r="AP15" i="47"/>
  <c r="AQ15" i="47"/>
  <c r="AR15" i="47"/>
  <c r="AS15" i="47"/>
  <c r="C16" i="47"/>
  <c r="D16" i="47"/>
  <c r="E16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V16" i="47"/>
  <c r="W16" i="47"/>
  <c r="X16" i="47"/>
  <c r="Y16" i="47"/>
  <c r="Z16" i="47"/>
  <c r="AA16" i="47"/>
  <c r="AB16" i="47"/>
  <c r="AC16" i="47"/>
  <c r="AD16" i="47"/>
  <c r="AE16" i="47"/>
  <c r="AF16" i="47"/>
  <c r="AG16" i="47"/>
  <c r="AH16" i="47"/>
  <c r="AI16" i="47"/>
  <c r="AJ16" i="47"/>
  <c r="AK16" i="47"/>
  <c r="AL16" i="47"/>
  <c r="AM16" i="47"/>
  <c r="AN16" i="47"/>
  <c r="AO16" i="47"/>
  <c r="AP16" i="47"/>
  <c r="AQ16" i="47"/>
  <c r="AR16" i="47"/>
  <c r="AS16" i="47"/>
  <c r="C17" i="47"/>
  <c r="D17" i="47"/>
  <c r="E17" i="47"/>
  <c r="F17" i="47"/>
  <c r="G17" i="47"/>
  <c r="H17" i="47"/>
  <c r="I17" i="47"/>
  <c r="J17" i="47"/>
  <c r="K17" i="47"/>
  <c r="L17" i="47"/>
  <c r="M17" i="47"/>
  <c r="N17" i="47"/>
  <c r="O17" i="47"/>
  <c r="P17" i="47"/>
  <c r="Q17" i="47"/>
  <c r="R17" i="47"/>
  <c r="S17" i="47"/>
  <c r="T17" i="47"/>
  <c r="U17" i="47"/>
  <c r="V17" i="47"/>
  <c r="W17" i="47"/>
  <c r="X17" i="47"/>
  <c r="Y17" i="47"/>
  <c r="Z17" i="47"/>
  <c r="AA17" i="47"/>
  <c r="AB17" i="47"/>
  <c r="AC17" i="47"/>
  <c r="AD17" i="47"/>
  <c r="AE17" i="47"/>
  <c r="AF17" i="47"/>
  <c r="AG17" i="47"/>
  <c r="AH17" i="47"/>
  <c r="AI17" i="47"/>
  <c r="AJ17" i="47"/>
  <c r="AK17" i="47"/>
  <c r="AL17" i="47"/>
  <c r="AM17" i="47"/>
  <c r="AN17" i="47"/>
  <c r="AO17" i="47"/>
  <c r="AP17" i="47"/>
  <c r="AQ17" i="47"/>
  <c r="AR17" i="47"/>
  <c r="AS17" i="47"/>
  <c r="C18" i="47"/>
  <c r="D18" i="47"/>
  <c r="E18" i="47"/>
  <c r="F18" i="47"/>
  <c r="G18" i="47"/>
  <c r="H18" i="47"/>
  <c r="I18" i="47"/>
  <c r="J18" i="47"/>
  <c r="K18" i="47"/>
  <c r="L18" i="47"/>
  <c r="M18" i="47"/>
  <c r="N18" i="47"/>
  <c r="O18" i="47"/>
  <c r="P18" i="47"/>
  <c r="Q18" i="47"/>
  <c r="R18" i="47"/>
  <c r="S18" i="47"/>
  <c r="T18" i="47"/>
  <c r="U18" i="47"/>
  <c r="V18" i="47"/>
  <c r="W18" i="47"/>
  <c r="X18" i="47"/>
  <c r="Y18" i="47"/>
  <c r="Z18" i="47"/>
  <c r="AA18" i="47"/>
  <c r="AB18" i="47"/>
  <c r="AC18" i="47"/>
  <c r="AD18" i="47"/>
  <c r="AE18" i="47"/>
  <c r="AF18" i="47"/>
  <c r="AG18" i="47"/>
  <c r="AH18" i="47"/>
  <c r="AI18" i="47"/>
  <c r="AJ18" i="47"/>
  <c r="AK18" i="47"/>
  <c r="AL18" i="47"/>
  <c r="AM18" i="47"/>
  <c r="AN18" i="47"/>
  <c r="AO18" i="47"/>
  <c r="AP18" i="47"/>
  <c r="AQ18" i="47"/>
  <c r="AR18" i="47"/>
  <c r="AS18" i="47"/>
  <c r="C19" i="47"/>
  <c r="D19" i="47"/>
  <c r="E19" i="47"/>
  <c r="F19" i="47"/>
  <c r="G19" i="47"/>
  <c r="H19" i="47"/>
  <c r="I19" i="47"/>
  <c r="J19" i="47"/>
  <c r="K19" i="47"/>
  <c r="L19" i="47"/>
  <c r="M19" i="47"/>
  <c r="N19" i="47"/>
  <c r="O19" i="47"/>
  <c r="P19" i="47"/>
  <c r="Q19" i="47"/>
  <c r="R19" i="47"/>
  <c r="S19" i="47"/>
  <c r="T19" i="47"/>
  <c r="U19" i="47"/>
  <c r="V19" i="47"/>
  <c r="W19" i="47"/>
  <c r="X19" i="47"/>
  <c r="Y19" i="47"/>
  <c r="Z19" i="47"/>
  <c r="AA19" i="47"/>
  <c r="AB19" i="47"/>
  <c r="AC19" i="47"/>
  <c r="AD19" i="47"/>
  <c r="AE19" i="47"/>
  <c r="AF19" i="47"/>
  <c r="AG19" i="47"/>
  <c r="AH19" i="47"/>
  <c r="AI19" i="47"/>
  <c r="AJ19" i="47"/>
  <c r="AK19" i="47"/>
  <c r="AL19" i="47"/>
  <c r="AM19" i="47"/>
  <c r="AN19" i="47"/>
  <c r="AO19" i="47"/>
  <c r="AP19" i="47"/>
  <c r="AQ19" i="47"/>
  <c r="AR19" i="47"/>
  <c r="AS19" i="47"/>
  <c r="C20" i="47"/>
  <c r="D20" i="47"/>
  <c r="E20" i="47"/>
  <c r="F20" i="47"/>
  <c r="G20" i="47"/>
  <c r="H20" i="47"/>
  <c r="I20" i="47"/>
  <c r="J20" i="47"/>
  <c r="K20" i="47"/>
  <c r="L20" i="47"/>
  <c r="M20" i="47"/>
  <c r="N20" i="47"/>
  <c r="O20" i="47"/>
  <c r="P20" i="47"/>
  <c r="Q20" i="47"/>
  <c r="R20" i="47"/>
  <c r="S20" i="47"/>
  <c r="T20" i="47"/>
  <c r="U20" i="47"/>
  <c r="V20" i="47"/>
  <c r="W20" i="47"/>
  <c r="AA20" i="47"/>
  <c r="AB20" i="47"/>
  <c r="AC20" i="47"/>
  <c r="AD20" i="47"/>
  <c r="AE20" i="47"/>
  <c r="AF20" i="47"/>
  <c r="AG20" i="47"/>
  <c r="AH20" i="47"/>
  <c r="AI20" i="47"/>
  <c r="AJ20" i="47"/>
  <c r="AL20" i="47"/>
  <c r="AM20" i="47"/>
  <c r="AN20" i="47"/>
  <c r="AO20" i="47"/>
  <c r="AQ20" i="47"/>
  <c r="AR20" i="47"/>
  <c r="AS20" i="47"/>
  <c r="C21" i="47"/>
  <c r="D21" i="47"/>
  <c r="E21" i="47"/>
  <c r="F21" i="47"/>
  <c r="G21" i="47"/>
  <c r="H21" i="47"/>
  <c r="I21" i="47"/>
  <c r="J21" i="47"/>
  <c r="K21" i="47"/>
  <c r="L21" i="47"/>
  <c r="M21" i="47"/>
  <c r="N21" i="47"/>
  <c r="O21" i="47"/>
  <c r="P21" i="47"/>
  <c r="Q21" i="47"/>
  <c r="R21" i="47"/>
  <c r="S21" i="47"/>
  <c r="T21" i="47"/>
  <c r="U21" i="47"/>
  <c r="V21" i="47"/>
  <c r="W21" i="47"/>
  <c r="X21" i="47"/>
  <c r="Y21" i="47"/>
  <c r="Z21" i="47"/>
  <c r="AA21" i="47"/>
  <c r="AB21" i="47"/>
  <c r="AC21" i="47"/>
  <c r="AD21" i="47"/>
  <c r="AE21" i="47"/>
  <c r="AF21" i="47"/>
  <c r="AG21" i="47"/>
  <c r="AH21" i="47"/>
  <c r="AI21" i="47"/>
  <c r="AJ21" i="47"/>
  <c r="AK21" i="47"/>
  <c r="AL21" i="47"/>
  <c r="AM21" i="47"/>
  <c r="AN21" i="47"/>
  <c r="AO21" i="47"/>
  <c r="AP21" i="47"/>
  <c r="AQ21" i="47"/>
  <c r="AR21" i="47"/>
  <c r="AS21" i="47"/>
  <c r="C22" i="47"/>
  <c r="D22" i="47"/>
  <c r="E22" i="47"/>
  <c r="F22" i="47"/>
  <c r="G22" i="47"/>
  <c r="H22" i="47"/>
  <c r="I22" i="47"/>
  <c r="J22" i="47"/>
  <c r="K22" i="47"/>
  <c r="L22" i="47"/>
  <c r="M22" i="47"/>
  <c r="N22" i="47"/>
  <c r="O22" i="47"/>
  <c r="P22" i="47"/>
  <c r="Q22" i="47"/>
  <c r="R22" i="47"/>
  <c r="S22" i="47"/>
  <c r="T22" i="47"/>
  <c r="U22" i="47"/>
  <c r="V22" i="47"/>
  <c r="W22" i="47"/>
  <c r="X22" i="47"/>
  <c r="Y22" i="47"/>
  <c r="Z22" i="47"/>
  <c r="AA22" i="47"/>
  <c r="AB22" i="47"/>
  <c r="AC22" i="47"/>
  <c r="AD22" i="47"/>
  <c r="AE22" i="47"/>
  <c r="AF22" i="47"/>
  <c r="AG22" i="47"/>
  <c r="AH22" i="47"/>
  <c r="AI22" i="47"/>
  <c r="AJ22" i="47"/>
  <c r="AK22" i="47"/>
  <c r="AL22" i="47"/>
  <c r="AM22" i="47"/>
  <c r="AN22" i="47"/>
  <c r="AO22" i="47"/>
  <c r="AP22" i="47"/>
  <c r="AQ22" i="47"/>
  <c r="AR22" i="47"/>
  <c r="AS22" i="47"/>
  <c r="B22" i="47"/>
  <c r="B21" i="47"/>
  <c r="B20" i="47"/>
  <c r="B19" i="47"/>
  <c r="B18" i="47"/>
  <c r="B17" i="47"/>
  <c r="B16" i="47"/>
  <c r="B15" i="47"/>
  <c r="AN212" i="42"/>
  <c r="AM212" i="42"/>
  <c r="AL212" i="42"/>
  <c r="AK212" i="42"/>
  <c r="AJ212" i="42"/>
  <c r="AI212" i="42"/>
  <c r="AH212" i="42"/>
  <c r="AE212" i="42"/>
  <c r="AD212" i="42"/>
  <c r="Y212" i="42"/>
  <c r="X212" i="42"/>
  <c r="W212" i="42"/>
  <c r="U212" i="42"/>
  <c r="T212" i="42"/>
  <c r="S212" i="42"/>
  <c r="Q212" i="42"/>
  <c r="P212" i="42"/>
  <c r="O212" i="42"/>
  <c r="N212" i="42"/>
  <c r="M212" i="42"/>
  <c r="L212" i="42"/>
  <c r="K212" i="42"/>
  <c r="J212" i="42"/>
  <c r="I212" i="42"/>
  <c r="AN211" i="42"/>
  <c r="AM211" i="42"/>
  <c r="AL211" i="42"/>
  <c r="AK211" i="42"/>
  <c r="AJ211" i="42"/>
  <c r="AI211" i="42"/>
  <c r="AH211" i="42"/>
  <c r="AE211" i="42"/>
  <c r="AD211" i="42"/>
  <c r="Y211" i="42"/>
  <c r="X211" i="42"/>
  <c r="W211" i="42"/>
  <c r="U211" i="42"/>
  <c r="T211" i="42"/>
  <c r="S211" i="42"/>
  <c r="Q211" i="42"/>
  <c r="P211" i="42"/>
  <c r="O211" i="42"/>
  <c r="N211" i="42"/>
  <c r="M211" i="42"/>
  <c r="L211" i="42"/>
  <c r="K211" i="42"/>
  <c r="J211" i="42"/>
  <c r="I211" i="42"/>
  <c r="AN210" i="42"/>
  <c r="AM210" i="42"/>
  <c r="AL210" i="42"/>
  <c r="AK210" i="42"/>
  <c r="AJ210" i="42"/>
  <c r="AI210" i="42"/>
  <c r="AH210" i="42"/>
  <c r="AE210" i="42"/>
  <c r="AD210" i="42"/>
  <c r="Y210" i="42"/>
  <c r="X210" i="42"/>
  <c r="W210" i="42"/>
  <c r="U210" i="42"/>
  <c r="T210" i="42"/>
  <c r="S210" i="42"/>
  <c r="Q210" i="42"/>
  <c r="P210" i="42"/>
  <c r="O210" i="42"/>
  <c r="N210" i="42"/>
  <c r="M210" i="42"/>
  <c r="L210" i="42"/>
  <c r="K210" i="42"/>
  <c r="J210" i="42"/>
  <c r="I210" i="42"/>
  <c r="AN209" i="42"/>
  <c r="AM209" i="42"/>
  <c r="AL209" i="42"/>
  <c r="AK209" i="42"/>
  <c r="AJ209" i="42"/>
  <c r="AI209" i="42"/>
  <c r="AH209" i="42"/>
  <c r="AE209" i="42"/>
  <c r="AD209" i="42"/>
  <c r="Y209" i="42"/>
  <c r="X209" i="42"/>
  <c r="W209" i="42"/>
  <c r="U209" i="42"/>
  <c r="T209" i="42"/>
  <c r="S209" i="42"/>
  <c r="Q209" i="42"/>
  <c r="P209" i="42"/>
  <c r="O209" i="42"/>
  <c r="N209" i="42"/>
  <c r="M209" i="42"/>
  <c r="L209" i="42"/>
  <c r="K209" i="42"/>
  <c r="J209" i="42"/>
  <c r="I209" i="42"/>
  <c r="AZ208" i="42"/>
  <c r="AY208" i="42"/>
  <c r="AX208" i="42"/>
  <c r="AW208" i="42"/>
  <c r="AV208" i="42"/>
  <c r="AU208" i="42"/>
  <c r="AT208" i="42"/>
  <c r="AS208" i="42"/>
  <c r="AR208" i="42"/>
  <c r="AQ208" i="42"/>
  <c r="AP208" i="42"/>
  <c r="AO208" i="42"/>
  <c r="AN208" i="42"/>
  <c r="AM208" i="42"/>
  <c r="AL208" i="42"/>
  <c r="AK208" i="42"/>
  <c r="AJ208" i="42"/>
  <c r="AI208" i="42"/>
  <c r="AH208" i="42"/>
  <c r="AG208" i="42"/>
  <c r="AF208" i="42"/>
  <c r="AE208" i="42"/>
  <c r="AD208" i="42"/>
  <c r="AC208" i="42"/>
  <c r="AB208" i="42"/>
  <c r="AA208" i="42"/>
  <c r="Z208" i="42"/>
  <c r="Y208" i="42"/>
  <c r="X208" i="42"/>
  <c r="W208" i="42"/>
  <c r="V208" i="42"/>
  <c r="U208" i="42"/>
  <c r="T208" i="42"/>
  <c r="S208" i="42"/>
  <c r="R208" i="42"/>
  <c r="Q208" i="42"/>
  <c r="P208" i="42"/>
  <c r="O208" i="42"/>
  <c r="N208" i="42"/>
  <c r="M208" i="42"/>
  <c r="L208" i="42"/>
  <c r="K208" i="42"/>
  <c r="J208" i="42"/>
  <c r="I208" i="42"/>
  <c r="AZ207" i="42"/>
  <c r="AY207" i="42"/>
  <c r="AX207" i="42"/>
  <c r="AW207" i="42"/>
  <c r="AV207" i="42"/>
  <c r="AU207" i="42"/>
  <c r="AT207" i="42"/>
  <c r="AS207" i="42"/>
  <c r="AR207" i="42"/>
  <c r="AQ207" i="42"/>
  <c r="AP207" i="42"/>
  <c r="AO207" i="42"/>
  <c r="AN207" i="42"/>
  <c r="AM207" i="42"/>
  <c r="AL207" i="42"/>
  <c r="AK207" i="42"/>
  <c r="AK202" i="42" s="1"/>
  <c r="AJ207" i="42"/>
  <c r="AI207" i="42"/>
  <c r="AH207" i="42"/>
  <c r="AG207" i="42"/>
  <c r="AF207" i="42"/>
  <c r="AE207" i="42"/>
  <c r="AD207" i="42"/>
  <c r="AC207" i="42"/>
  <c r="AB207" i="42"/>
  <c r="AA207" i="42"/>
  <c r="Z207" i="42"/>
  <c r="Y207" i="42"/>
  <c r="X207" i="42"/>
  <c r="W207" i="42"/>
  <c r="V207" i="42"/>
  <c r="U207" i="42"/>
  <c r="U202" i="42" s="1"/>
  <c r="T207" i="42"/>
  <c r="S207" i="42"/>
  <c r="R207" i="42"/>
  <c r="Q207" i="42"/>
  <c r="P207" i="42"/>
  <c r="O207" i="42"/>
  <c r="N207" i="42"/>
  <c r="M207" i="42"/>
  <c r="L207" i="42"/>
  <c r="K207" i="42"/>
  <c r="J207" i="42"/>
  <c r="I207" i="42"/>
  <c r="AN206" i="42"/>
  <c r="AM206" i="42"/>
  <c r="AL206" i="42"/>
  <c r="AK206" i="42"/>
  <c r="AJ206" i="42"/>
  <c r="AI206" i="42"/>
  <c r="AH206" i="42"/>
  <c r="AE206" i="42"/>
  <c r="AD206" i="42"/>
  <c r="Y206" i="42"/>
  <c r="X206" i="42"/>
  <c r="W206" i="42"/>
  <c r="U206" i="42"/>
  <c r="T206" i="42"/>
  <c r="S206" i="42"/>
  <c r="Q206" i="42"/>
  <c r="P206" i="42"/>
  <c r="O206" i="42"/>
  <c r="N206" i="42"/>
  <c r="M206" i="42"/>
  <c r="L206" i="42"/>
  <c r="K206" i="42"/>
  <c r="J206" i="42"/>
  <c r="I206" i="42"/>
  <c r="AN205" i="42"/>
  <c r="AM205" i="42"/>
  <c r="AL205" i="42"/>
  <c r="AK205" i="42"/>
  <c r="AJ205" i="42"/>
  <c r="AI205" i="42"/>
  <c r="AH205" i="42"/>
  <c r="AE205" i="42"/>
  <c r="AD205" i="42"/>
  <c r="Y205" i="42"/>
  <c r="X205" i="42"/>
  <c r="W205" i="42"/>
  <c r="U205" i="42"/>
  <c r="T205" i="42"/>
  <c r="S205" i="42"/>
  <c r="Q205" i="42"/>
  <c r="P205" i="42"/>
  <c r="O205" i="42"/>
  <c r="N205" i="42"/>
  <c r="M205" i="42"/>
  <c r="L205" i="42"/>
  <c r="K205" i="42"/>
  <c r="J205" i="42"/>
  <c r="I205" i="42"/>
  <c r="AN204" i="42"/>
  <c r="AM204" i="42"/>
  <c r="AL204" i="42"/>
  <c r="AK204" i="42"/>
  <c r="AJ204" i="42"/>
  <c r="AI204" i="42"/>
  <c r="AH204" i="42"/>
  <c r="AE204" i="42"/>
  <c r="AD204" i="42"/>
  <c r="Y204" i="42"/>
  <c r="X204" i="42"/>
  <c r="W204" i="42"/>
  <c r="W202" i="42" s="1"/>
  <c r="U204" i="42"/>
  <c r="T204" i="42"/>
  <c r="S204" i="42"/>
  <c r="Q204" i="42"/>
  <c r="P204" i="42"/>
  <c r="O204" i="42"/>
  <c r="N204" i="42"/>
  <c r="M204" i="42"/>
  <c r="L204" i="42"/>
  <c r="K204" i="42"/>
  <c r="J204" i="42"/>
  <c r="I204" i="42"/>
  <c r="AN203" i="42"/>
  <c r="AM203" i="42"/>
  <c r="AL203" i="42"/>
  <c r="AK203" i="42"/>
  <c r="AJ203" i="42"/>
  <c r="AI203" i="42"/>
  <c r="AH203" i="42"/>
  <c r="AE203" i="42"/>
  <c r="AD203" i="42"/>
  <c r="Y203" i="42"/>
  <c r="X203" i="42"/>
  <c r="W203" i="42"/>
  <c r="U203" i="42"/>
  <c r="T203" i="42"/>
  <c r="S203" i="42"/>
  <c r="S202" i="42" s="1"/>
  <c r="Q203" i="42"/>
  <c r="P203" i="42"/>
  <c r="O203" i="42"/>
  <c r="N203" i="42"/>
  <c r="M203" i="42"/>
  <c r="L203" i="42"/>
  <c r="K203" i="42"/>
  <c r="K202" i="42" s="1"/>
  <c r="J203" i="42"/>
  <c r="I203" i="42"/>
  <c r="AN202" i="42"/>
  <c r="AM202" i="42"/>
  <c r="AL202" i="42"/>
  <c r="AJ202" i="42"/>
  <c r="AI202" i="42"/>
  <c r="AH202" i="42"/>
  <c r="AE202" i="42"/>
  <c r="AF201" i="42" s="1"/>
  <c r="AD202" i="42"/>
  <c r="X202" i="42"/>
  <c r="T202" i="42"/>
  <c r="P202" i="42"/>
  <c r="O202" i="42"/>
  <c r="N202" i="42"/>
  <c r="L202" i="42"/>
  <c r="J202" i="42"/>
  <c r="AP201" i="42"/>
  <c r="AO201" i="42"/>
  <c r="AP200" i="42"/>
  <c r="AO200" i="42"/>
  <c r="Q199" i="42"/>
  <c r="O200" i="42" s="1"/>
  <c r="P199" i="42"/>
  <c r="O199" i="42"/>
  <c r="N199" i="42"/>
  <c r="M199" i="42"/>
  <c r="L199" i="42"/>
  <c r="K199" i="42"/>
  <c r="J199" i="42"/>
  <c r="I199" i="42"/>
  <c r="AN198" i="42"/>
  <c r="AM198" i="42"/>
  <c r="AL198" i="42"/>
  <c r="AK198" i="42"/>
  <c r="AJ198" i="42"/>
  <c r="AI198" i="42"/>
  <c r="AH198" i="42"/>
  <c r="AE198" i="42"/>
  <c r="AD198" i="42"/>
  <c r="Z198" i="42"/>
  <c r="Y198" i="42"/>
  <c r="X198" i="42"/>
  <c r="W198" i="42"/>
  <c r="V198" i="42"/>
  <c r="U198" i="42"/>
  <c r="T198" i="42"/>
  <c r="S198" i="42"/>
  <c r="R198" i="42"/>
  <c r="AW197" i="42"/>
  <c r="AT197" i="42"/>
  <c r="AS197" i="42"/>
  <c r="AP197" i="42"/>
  <c r="AZ197" i="42" s="1"/>
  <c r="AO197" i="42"/>
  <c r="AF197" i="42"/>
  <c r="Z197" i="42"/>
  <c r="V197" i="42"/>
  <c r="R197" i="42"/>
  <c r="AZ196" i="42"/>
  <c r="AW196" i="42"/>
  <c r="AT196" i="42"/>
  <c r="AP196" i="42"/>
  <c r="AO196" i="42"/>
  <c r="AF196" i="42"/>
  <c r="Z196" i="42"/>
  <c r="R196" i="42"/>
  <c r="V196" i="42" s="1"/>
  <c r="AW195" i="42"/>
  <c r="AT195" i="42"/>
  <c r="AP195" i="42"/>
  <c r="AZ195" i="42" s="1"/>
  <c r="AO195" i="42"/>
  <c r="AF195" i="42"/>
  <c r="Z195" i="42"/>
  <c r="V195" i="42"/>
  <c r="AS195" i="42" s="1"/>
  <c r="R195" i="42"/>
  <c r="AW194" i="42"/>
  <c r="AT194" i="42"/>
  <c r="AP194" i="42"/>
  <c r="AQ194" i="42" s="1"/>
  <c r="AX194" i="42" s="1"/>
  <c r="AO194" i="42"/>
  <c r="AY194" i="42" s="1"/>
  <c r="AF194" i="42"/>
  <c r="AA194" i="42"/>
  <c r="Z194" i="42"/>
  <c r="V194" i="42"/>
  <c r="AC194" i="42" s="1"/>
  <c r="AV194" i="42" s="1"/>
  <c r="R194" i="42"/>
  <c r="AZ193" i="42"/>
  <c r="AY193" i="42"/>
  <c r="AT193" i="42"/>
  <c r="AP193" i="42"/>
  <c r="AQ193" i="42" s="1"/>
  <c r="AX193" i="42" s="1"/>
  <c r="AO193" i="42"/>
  <c r="AF193" i="42"/>
  <c r="AW193" i="42" s="1"/>
  <c r="Z193" i="42"/>
  <c r="V193" i="42"/>
  <c r="R193" i="42"/>
  <c r="AY192" i="42"/>
  <c r="AT192" i="42"/>
  <c r="AP192" i="42"/>
  <c r="AO192" i="42"/>
  <c r="AF192" i="42"/>
  <c r="AF198" i="42" s="1"/>
  <c r="Z192" i="42"/>
  <c r="V192" i="42"/>
  <c r="AC192" i="42" s="1"/>
  <c r="R192" i="42"/>
  <c r="AP191" i="42"/>
  <c r="AN191" i="42"/>
  <c r="AM191" i="42"/>
  <c r="AL191" i="42"/>
  <c r="AK191" i="42"/>
  <c r="AJ191" i="42"/>
  <c r="AI191" i="42"/>
  <c r="AH191" i="42"/>
  <c r="AE191" i="42"/>
  <c r="AD191" i="42"/>
  <c r="Y191" i="42"/>
  <c r="X191" i="42"/>
  <c r="W191" i="42"/>
  <c r="U191" i="42"/>
  <c r="T191" i="42"/>
  <c r="S191" i="42"/>
  <c r="AY190" i="42"/>
  <c r="AW190" i="42"/>
  <c r="AQ190" i="42"/>
  <c r="AX190" i="42" s="1"/>
  <c r="AP190" i="42"/>
  <c r="AZ190" i="42" s="1"/>
  <c r="AO190" i="42"/>
  <c r="AF190" i="42"/>
  <c r="AB190" i="42"/>
  <c r="AU190" i="42" s="1"/>
  <c r="Z190" i="42"/>
  <c r="AT190" i="42" s="1"/>
  <c r="R190" i="42"/>
  <c r="V190" i="42" s="1"/>
  <c r="AS190" i="42" s="1"/>
  <c r="AW189" i="42"/>
  <c r="AP189" i="42"/>
  <c r="AZ189" i="42" s="1"/>
  <c r="AO189" i="42"/>
  <c r="AF189" i="42"/>
  <c r="Z189" i="42"/>
  <c r="AT189" i="42" s="1"/>
  <c r="R189" i="42"/>
  <c r="V189" i="42" s="1"/>
  <c r="AS188" i="42"/>
  <c r="AP188" i="42"/>
  <c r="AZ188" i="42" s="1"/>
  <c r="AO188" i="42"/>
  <c r="AF188" i="42"/>
  <c r="AW188" i="42" s="1"/>
  <c r="Z188" i="42"/>
  <c r="AT188" i="42" s="1"/>
  <c r="R188" i="42"/>
  <c r="V188" i="42" s="1"/>
  <c r="AY187" i="42"/>
  <c r="AS187" i="42"/>
  <c r="AQ187" i="42"/>
  <c r="AX187" i="42" s="1"/>
  <c r="AP187" i="42"/>
  <c r="AZ187" i="42" s="1"/>
  <c r="AO187" i="42"/>
  <c r="AF187" i="42"/>
  <c r="AW187" i="42" s="1"/>
  <c r="AB187" i="42"/>
  <c r="AU187" i="42" s="1"/>
  <c r="Z187" i="42"/>
  <c r="AT187" i="42" s="1"/>
  <c r="R187" i="42"/>
  <c r="V187" i="42" s="1"/>
  <c r="AY186" i="42"/>
  <c r="AW186" i="42"/>
  <c r="AQ186" i="42"/>
  <c r="AP186" i="42"/>
  <c r="AZ186" i="42" s="1"/>
  <c r="AO186" i="42"/>
  <c r="AF186" i="42"/>
  <c r="AB186" i="42"/>
  <c r="Z186" i="42"/>
  <c r="R186" i="42"/>
  <c r="V186" i="42" s="1"/>
  <c r="AO185" i="42"/>
  <c r="AN185" i="42"/>
  <c r="AM185" i="42"/>
  <c r="AL185" i="42"/>
  <c r="AK185" i="42"/>
  <c r="AJ185" i="42"/>
  <c r="AI185" i="42"/>
  <c r="AH185" i="42"/>
  <c r="AE185" i="42"/>
  <c r="AD185" i="42"/>
  <c r="Y185" i="42"/>
  <c r="X185" i="42"/>
  <c r="W185" i="42"/>
  <c r="U185" i="42"/>
  <c r="T185" i="42"/>
  <c r="S185" i="42"/>
  <c r="AT184" i="42"/>
  <c r="AP184" i="42"/>
  <c r="AZ184" i="42" s="1"/>
  <c r="AO184" i="42"/>
  <c r="AY184" i="42" s="1"/>
  <c r="AF184" i="42"/>
  <c r="AW184" i="42" s="1"/>
  <c r="AC184" i="42"/>
  <c r="AV184" i="42" s="1"/>
  <c r="AA184" i="42"/>
  <c r="Z184" i="42"/>
  <c r="V184" i="42"/>
  <c r="R184" i="42"/>
  <c r="AT183" i="42"/>
  <c r="AP183" i="42"/>
  <c r="AZ183" i="42" s="1"/>
  <c r="AO183" i="42"/>
  <c r="AF183" i="42"/>
  <c r="AW183" i="42" s="1"/>
  <c r="AB183" i="42"/>
  <c r="AU183" i="42" s="1"/>
  <c r="Z183" i="42"/>
  <c r="V183" i="42"/>
  <c r="AA183" i="42" s="1"/>
  <c r="R183" i="42"/>
  <c r="AW182" i="42"/>
  <c r="AT182" i="42"/>
  <c r="AP182" i="42"/>
  <c r="AZ182" i="42" s="1"/>
  <c r="AO182" i="42"/>
  <c r="AF182" i="42"/>
  <c r="AB182" i="42"/>
  <c r="AU182" i="42" s="1"/>
  <c r="Z182" i="42"/>
  <c r="V182" i="42"/>
  <c r="AA182" i="42" s="1"/>
  <c r="R182" i="42"/>
  <c r="AW181" i="42"/>
  <c r="AT181" i="42"/>
  <c r="AP181" i="42"/>
  <c r="AZ181" i="42" s="1"/>
  <c r="AO181" i="42"/>
  <c r="AF181" i="42"/>
  <c r="AB181" i="42"/>
  <c r="AU181" i="42" s="1"/>
  <c r="Z181" i="42"/>
  <c r="V181" i="42"/>
  <c r="AA181" i="42" s="1"/>
  <c r="R181" i="42"/>
  <c r="AW180" i="42"/>
  <c r="AW185" i="42" s="1"/>
  <c r="AT180" i="42"/>
  <c r="AT185" i="42" s="1"/>
  <c r="AP180" i="42"/>
  <c r="AO180" i="42"/>
  <c r="AF180" i="42"/>
  <c r="AF185" i="42" s="1"/>
  <c r="AB180" i="42"/>
  <c r="Z180" i="42"/>
  <c r="Z185" i="42" s="1"/>
  <c r="V180" i="42"/>
  <c r="AS180" i="42" s="1"/>
  <c r="R180" i="42"/>
  <c r="R185" i="42" s="1"/>
  <c r="AP179" i="42"/>
  <c r="AN179" i="42"/>
  <c r="AM179" i="42"/>
  <c r="AL179" i="42"/>
  <c r="AK179" i="42"/>
  <c r="AJ179" i="42"/>
  <c r="AI179" i="42"/>
  <c r="AH179" i="42"/>
  <c r="AE179" i="42"/>
  <c r="AD179" i="42"/>
  <c r="Z179" i="42"/>
  <c r="Y179" i="42"/>
  <c r="X179" i="42"/>
  <c r="W179" i="42"/>
  <c r="U179" i="42"/>
  <c r="T179" i="42"/>
  <c r="S179" i="42"/>
  <c r="AZ178" i="42"/>
  <c r="AW178" i="42"/>
  <c r="AV178" i="42"/>
  <c r="AS178" i="42"/>
  <c r="AP178" i="42"/>
  <c r="AO178" i="42"/>
  <c r="AF178" i="42"/>
  <c r="AA178" i="42"/>
  <c r="Z178" i="42"/>
  <c r="AT178" i="42" s="1"/>
  <c r="R178" i="42"/>
  <c r="V178" i="42" s="1"/>
  <c r="AC178" i="42" s="1"/>
  <c r="AZ177" i="42"/>
  <c r="AW177" i="42"/>
  <c r="AV177" i="42"/>
  <c r="AS177" i="42"/>
  <c r="AP177" i="42"/>
  <c r="AO177" i="42"/>
  <c r="AF177" i="42"/>
  <c r="AB177" i="42"/>
  <c r="AU177" i="42" s="1"/>
  <c r="AA177" i="42"/>
  <c r="Z177" i="42"/>
  <c r="AT177" i="42" s="1"/>
  <c r="R177" i="42"/>
  <c r="V177" i="42" s="1"/>
  <c r="AC177" i="42" s="1"/>
  <c r="AZ176" i="42"/>
  <c r="AW176" i="42"/>
  <c r="AP176" i="42"/>
  <c r="AO176" i="42"/>
  <c r="AF176" i="42"/>
  <c r="Z176" i="42"/>
  <c r="AT176" i="42" s="1"/>
  <c r="R176" i="42"/>
  <c r="V176" i="42" s="1"/>
  <c r="AZ175" i="42"/>
  <c r="AW175" i="42"/>
  <c r="AS175" i="42"/>
  <c r="AP175" i="42"/>
  <c r="AO175" i="42"/>
  <c r="AF175" i="42"/>
  <c r="Z175" i="42"/>
  <c r="AT175" i="42" s="1"/>
  <c r="R175" i="42"/>
  <c r="V175" i="42" s="1"/>
  <c r="AC175" i="42" s="1"/>
  <c r="AV175" i="42" s="1"/>
  <c r="AZ174" i="42"/>
  <c r="AW174" i="42"/>
  <c r="AV174" i="42"/>
  <c r="AS174" i="42"/>
  <c r="AP174" i="42"/>
  <c r="AO174" i="42"/>
  <c r="AF174" i="42"/>
  <c r="AA174" i="42"/>
  <c r="Z174" i="42"/>
  <c r="AT174" i="42" s="1"/>
  <c r="R174" i="42"/>
  <c r="V174" i="42" s="1"/>
  <c r="AC174" i="42" s="1"/>
  <c r="AZ173" i="42"/>
  <c r="AW173" i="42"/>
  <c r="AW179" i="42" s="1"/>
  <c r="AV173" i="42"/>
  <c r="AS173" i="42"/>
  <c r="AP173" i="42"/>
  <c r="AO173" i="42"/>
  <c r="AF173" i="42"/>
  <c r="AF179" i="42" s="1"/>
  <c r="AB173" i="42"/>
  <c r="AA173" i="42"/>
  <c r="AG173" i="42" s="1"/>
  <c r="Z173" i="42"/>
  <c r="AT173" i="42" s="1"/>
  <c r="AT179" i="42" s="1"/>
  <c r="R173" i="42"/>
  <c r="V173" i="42" s="1"/>
  <c r="AC173" i="42" s="1"/>
  <c r="AO172" i="42"/>
  <c r="AN172" i="42"/>
  <c r="AM172" i="42"/>
  <c r="AL172" i="42"/>
  <c r="AK172" i="42"/>
  <c r="AJ172" i="42"/>
  <c r="AI172" i="42"/>
  <c r="AH172" i="42"/>
  <c r="AE172" i="42"/>
  <c r="AD172" i="42"/>
  <c r="Y172" i="42"/>
  <c r="X172" i="42"/>
  <c r="W172" i="42"/>
  <c r="U172" i="42"/>
  <c r="T172" i="42"/>
  <c r="S172" i="42"/>
  <c r="AY171" i="42"/>
  <c r="AT171" i="42"/>
  <c r="AQ171" i="42"/>
  <c r="AX171" i="42" s="1"/>
  <c r="AP171" i="42"/>
  <c r="AZ171" i="42" s="1"/>
  <c r="AO171" i="42"/>
  <c r="AF171" i="42"/>
  <c r="AW171" i="42" s="1"/>
  <c r="Z171" i="42"/>
  <c r="V171" i="42"/>
  <c r="R171" i="42"/>
  <c r="AY170" i="42"/>
  <c r="AX170" i="42"/>
  <c r="AQ170" i="42"/>
  <c r="AP170" i="42"/>
  <c r="AZ170" i="42" s="1"/>
  <c r="AO170" i="42"/>
  <c r="AF170" i="42"/>
  <c r="AW170" i="42" s="1"/>
  <c r="Z170" i="42"/>
  <c r="AT170" i="42" s="1"/>
  <c r="V170" i="42"/>
  <c r="AC170" i="42" s="1"/>
  <c r="AV170" i="42" s="1"/>
  <c r="R170" i="42"/>
  <c r="AY169" i="42"/>
  <c r="AX169" i="42"/>
  <c r="AT169" i="42"/>
  <c r="AQ169" i="42"/>
  <c r="AP169" i="42"/>
  <c r="AZ169" i="42" s="1"/>
  <c r="AO169" i="42"/>
  <c r="AF169" i="42"/>
  <c r="AW169" i="42" s="1"/>
  <c r="AA169" i="42"/>
  <c r="Z169" i="42"/>
  <c r="V169" i="42"/>
  <c r="AC169" i="42" s="1"/>
  <c r="AV169" i="42" s="1"/>
  <c r="R169" i="42"/>
  <c r="AY168" i="42"/>
  <c r="AY172" i="42" s="1"/>
  <c r="AT168" i="42"/>
  <c r="AP168" i="42"/>
  <c r="AQ168" i="42" s="1"/>
  <c r="AX168" i="42" s="1"/>
  <c r="AO168" i="42"/>
  <c r="AF168" i="42"/>
  <c r="AW168" i="42" s="1"/>
  <c r="AC168" i="42"/>
  <c r="AV168" i="42" s="1"/>
  <c r="AA168" i="42"/>
  <c r="Z168" i="42"/>
  <c r="V168" i="42"/>
  <c r="R168" i="42"/>
  <c r="AY167" i="42"/>
  <c r="AT167" i="42"/>
  <c r="AQ167" i="42"/>
  <c r="AP167" i="42"/>
  <c r="AO167" i="42"/>
  <c r="AF167" i="42"/>
  <c r="Z167" i="42"/>
  <c r="V167" i="42"/>
  <c r="R167" i="42"/>
  <c r="R172" i="42" s="1"/>
  <c r="AN166" i="42"/>
  <c r="AM166" i="42"/>
  <c r="AL166" i="42"/>
  <c r="AK166" i="42"/>
  <c r="AJ166" i="42"/>
  <c r="AI166" i="42"/>
  <c r="AH166" i="42"/>
  <c r="AE166" i="42"/>
  <c r="AD166" i="42"/>
  <c r="Y166" i="42"/>
  <c r="X166" i="42"/>
  <c r="W166" i="42"/>
  <c r="U166" i="42"/>
  <c r="T166" i="42"/>
  <c r="S166" i="42"/>
  <c r="AP165" i="42"/>
  <c r="AZ165" i="42" s="1"/>
  <c r="AO165" i="42"/>
  <c r="AF165" i="42"/>
  <c r="AW165" i="42" s="1"/>
  <c r="Z165" i="42"/>
  <c r="AT165" i="42" s="1"/>
  <c r="V165" i="42"/>
  <c r="AC165" i="42" s="1"/>
  <c r="AV165" i="42" s="1"/>
  <c r="R165" i="42"/>
  <c r="AX164" i="42"/>
  <c r="AQ164" i="42"/>
  <c r="AP164" i="42"/>
  <c r="AZ164" i="42" s="1"/>
  <c r="AO164" i="42"/>
  <c r="AY164" i="42" s="1"/>
  <c r="AF164" i="42"/>
  <c r="Z164" i="42"/>
  <c r="AT164" i="42" s="1"/>
  <c r="V164" i="42"/>
  <c r="R164" i="42"/>
  <c r="AW163" i="42"/>
  <c r="AQ163" i="42"/>
  <c r="AP163" i="42"/>
  <c r="AZ163" i="42" s="1"/>
  <c r="AZ166" i="42" s="1"/>
  <c r="AO163" i="42"/>
  <c r="AF163" i="42"/>
  <c r="Z163" i="42"/>
  <c r="AT163" i="42" s="1"/>
  <c r="AT166" i="42" s="1"/>
  <c r="R163" i="42"/>
  <c r="AN162" i="42"/>
  <c r="AM162" i="42"/>
  <c r="AL162" i="42"/>
  <c r="AK162" i="42"/>
  <c r="AJ162" i="42"/>
  <c r="AI162" i="42"/>
  <c r="AH162" i="42"/>
  <c r="AE162" i="42"/>
  <c r="AD162" i="42"/>
  <c r="Z162" i="42"/>
  <c r="Y162" i="42"/>
  <c r="X162" i="42"/>
  <c r="W162" i="42"/>
  <c r="U162" i="42"/>
  <c r="T162" i="42"/>
  <c r="S162" i="42"/>
  <c r="AW161" i="42"/>
  <c r="AT161" i="42"/>
  <c r="AS161" i="42"/>
  <c r="AP161" i="42"/>
  <c r="AZ161" i="42" s="1"/>
  <c r="AO161" i="42"/>
  <c r="AF161" i="42"/>
  <c r="AA161" i="42"/>
  <c r="Z161" i="42"/>
  <c r="V161" i="42"/>
  <c r="AC161" i="42" s="1"/>
  <c r="AV161" i="42" s="1"/>
  <c r="R161" i="42"/>
  <c r="AZ160" i="42"/>
  <c r="AW160" i="42"/>
  <c r="AT160" i="42"/>
  <c r="AP160" i="42"/>
  <c r="AO160" i="42"/>
  <c r="AF160" i="42"/>
  <c r="AB160" i="42"/>
  <c r="AU160" i="42" s="1"/>
  <c r="Z160" i="42"/>
  <c r="R160" i="42"/>
  <c r="V160" i="42" s="1"/>
  <c r="AW159" i="42"/>
  <c r="AT159" i="42"/>
  <c r="AP159" i="42"/>
  <c r="AZ159" i="42" s="1"/>
  <c r="AO159" i="42"/>
  <c r="AF159" i="42"/>
  <c r="AC159" i="42"/>
  <c r="AV159" i="42" s="1"/>
  <c r="Z159" i="42"/>
  <c r="V159" i="42"/>
  <c r="R159" i="42"/>
  <c r="AW158" i="42"/>
  <c r="AT158" i="42"/>
  <c r="AP158" i="42"/>
  <c r="AZ158" i="42" s="1"/>
  <c r="AO158" i="42"/>
  <c r="AY158" i="42" s="1"/>
  <c r="AF158" i="42"/>
  <c r="Z158" i="42"/>
  <c r="V158" i="42"/>
  <c r="R158" i="42"/>
  <c r="AW157" i="42"/>
  <c r="AW162" i="42" s="1"/>
  <c r="AT157" i="42"/>
  <c r="AT162" i="42" s="1"/>
  <c r="AP157" i="42"/>
  <c r="AZ157" i="42" s="1"/>
  <c r="AO157" i="42"/>
  <c r="AO162" i="42" s="1"/>
  <c r="AF157" i="42"/>
  <c r="AF162" i="42" s="1"/>
  <c r="AC157" i="42"/>
  <c r="Z157" i="42"/>
  <c r="V157" i="42"/>
  <c r="R157" i="42"/>
  <c r="R162" i="42" s="1"/>
  <c r="AP156" i="42"/>
  <c r="AN156" i="42"/>
  <c r="AM156" i="42"/>
  <c r="AL156" i="42"/>
  <c r="AK156" i="42"/>
  <c r="AJ156" i="42"/>
  <c r="AI156" i="42"/>
  <c r="AH156" i="42"/>
  <c r="AE156" i="42"/>
  <c r="AD156" i="42"/>
  <c r="Z156" i="42"/>
  <c r="Y156" i="42"/>
  <c r="X156" i="42"/>
  <c r="W156" i="42"/>
  <c r="V156" i="42"/>
  <c r="U156" i="42"/>
  <c r="T156" i="42"/>
  <c r="S156" i="42"/>
  <c r="R156" i="42"/>
  <c r="AZ155" i="42"/>
  <c r="AW155" i="42"/>
  <c r="AS155" i="42"/>
  <c r="AP155" i="42"/>
  <c r="AO155" i="42"/>
  <c r="AF155" i="42"/>
  <c r="AB155" i="42"/>
  <c r="AU155" i="42" s="1"/>
  <c r="Z155" i="42"/>
  <c r="AT155" i="42" s="1"/>
  <c r="R155" i="42"/>
  <c r="V155" i="42" s="1"/>
  <c r="AZ154" i="42"/>
  <c r="AZ156" i="42" s="1"/>
  <c r="AW154" i="42"/>
  <c r="AW156" i="42" s="1"/>
  <c r="AS154" i="42"/>
  <c r="AS156" i="42" s="1"/>
  <c r="AP154" i="42"/>
  <c r="AO154" i="42"/>
  <c r="AF154" i="42"/>
  <c r="AF156" i="42" s="1"/>
  <c r="AB154" i="42"/>
  <c r="Z154" i="42"/>
  <c r="AT154" i="42" s="1"/>
  <c r="R154" i="42"/>
  <c r="V154" i="42" s="1"/>
  <c r="AO153" i="42"/>
  <c r="AN153" i="42"/>
  <c r="AM153" i="42"/>
  <c r="AL153" i="42"/>
  <c r="AK153" i="42"/>
  <c r="AJ153" i="42"/>
  <c r="AI153" i="42"/>
  <c r="AH153" i="42"/>
  <c r="AE153" i="42"/>
  <c r="AD153" i="42"/>
  <c r="AC153" i="42"/>
  <c r="Y153" i="42"/>
  <c r="X153" i="42"/>
  <c r="W153" i="42"/>
  <c r="U153" i="42"/>
  <c r="T153" i="42"/>
  <c r="S153" i="42"/>
  <c r="AZ152" i="42"/>
  <c r="AY152" i="42"/>
  <c r="AQ152" i="42"/>
  <c r="AX152" i="42" s="1"/>
  <c r="AP152" i="42"/>
  <c r="AO152" i="42"/>
  <c r="AF152" i="42"/>
  <c r="AW152" i="42" s="1"/>
  <c r="AA152" i="42"/>
  <c r="Z152" i="42"/>
  <c r="AT152" i="42" s="1"/>
  <c r="V152" i="42"/>
  <c r="AC152" i="42" s="1"/>
  <c r="AV152" i="42" s="1"/>
  <c r="R152" i="42"/>
  <c r="AZ151" i="42"/>
  <c r="AY151" i="42"/>
  <c r="AQ151" i="42"/>
  <c r="AX151" i="42" s="1"/>
  <c r="AP151" i="42"/>
  <c r="AO151" i="42"/>
  <c r="AF151" i="42"/>
  <c r="AW151" i="42" s="1"/>
  <c r="Z151" i="42"/>
  <c r="V151" i="42"/>
  <c r="AC151" i="42" s="1"/>
  <c r="AV151" i="42" s="1"/>
  <c r="R151" i="42"/>
  <c r="AZ150" i="42"/>
  <c r="AY150" i="42"/>
  <c r="AV150" i="42"/>
  <c r="AQ150" i="42"/>
  <c r="AX150" i="42" s="1"/>
  <c r="AP150" i="42"/>
  <c r="AO150" i="42"/>
  <c r="AF150" i="42"/>
  <c r="AW150" i="42" s="1"/>
  <c r="AA150" i="42"/>
  <c r="Z150" i="42"/>
  <c r="AT150" i="42" s="1"/>
  <c r="V150" i="42"/>
  <c r="AC150" i="42" s="1"/>
  <c r="R150" i="42"/>
  <c r="AZ149" i="42"/>
  <c r="AY149" i="42"/>
  <c r="AQ149" i="42"/>
  <c r="AP149" i="42"/>
  <c r="AP153" i="42" s="1"/>
  <c r="AO149" i="42"/>
  <c r="AF149" i="42"/>
  <c r="Z149" i="42"/>
  <c r="V149" i="42"/>
  <c r="AC149" i="42" s="1"/>
  <c r="AV149" i="42" s="1"/>
  <c r="R149" i="42"/>
  <c r="R153" i="42" s="1"/>
  <c r="AY148" i="42"/>
  <c r="AN148" i="42"/>
  <c r="AM148" i="42"/>
  <c r="AL148" i="42"/>
  <c r="AK148" i="42"/>
  <c r="AJ148" i="42"/>
  <c r="AI148" i="42"/>
  <c r="AH148" i="42"/>
  <c r="AF148" i="42"/>
  <c r="AE148" i="42"/>
  <c r="AD148" i="42"/>
  <c r="Y148" i="42"/>
  <c r="X148" i="42"/>
  <c r="W148" i="42"/>
  <c r="U148" i="42"/>
  <c r="T148" i="42"/>
  <c r="S148" i="42"/>
  <c r="AY147" i="42"/>
  <c r="AP147" i="42"/>
  <c r="AO147" i="42"/>
  <c r="AF147" i="42"/>
  <c r="AW147" i="42" s="1"/>
  <c r="Z147" i="42"/>
  <c r="AT147" i="42" s="1"/>
  <c r="V147" i="42"/>
  <c r="R147" i="42"/>
  <c r="AY146" i="42"/>
  <c r="AP146" i="42"/>
  <c r="AO146" i="42"/>
  <c r="AO148" i="42" s="1"/>
  <c r="AF146" i="42"/>
  <c r="AW146" i="42" s="1"/>
  <c r="AW148" i="42" s="1"/>
  <c r="Z146" i="42"/>
  <c r="V146" i="42"/>
  <c r="R146" i="42"/>
  <c r="R148" i="42" s="1"/>
  <c r="AN145" i="42"/>
  <c r="AM145" i="42"/>
  <c r="AL145" i="42"/>
  <c r="AK145" i="42"/>
  <c r="AJ145" i="42"/>
  <c r="AI145" i="42"/>
  <c r="AH145" i="42"/>
  <c r="AE145" i="42"/>
  <c r="AD145" i="42"/>
  <c r="Z145" i="42"/>
  <c r="Y145" i="42"/>
  <c r="X145" i="42"/>
  <c r="W145" i="42"/>
  <c r="U145" i="42"/>
  <c r="T145" i="42"/>
  <c r="S145" i="42"/>
  <c r="AW144" i="42"/>
  <c r="AT144" i="42"/>
  <c r="AP144" i="42"/>
  <c r="AZ144" i="42" s="1"/>
  <c r="AO144" i="42"/>
  <c r="AF144" i="42"/>
  <c r="Z144" i="42"/>
  <c r="R144" i="42"/>
  <c r="V144" i="42" s="1"/>
  <c r="AW143" i="42"/>
  <c r="AT143" i="42"/>
  <c r="AP143" i="42"/>
  <c r="AZ143" i="42" s="1"/>
  <c r="AO143" i="42"/>
  <c r="AF143" i="42"/>
  <c r="AB143" i="42"/>
  <c r="AU143" i="42" s="1"/>
  <c r="Z143" i="42"/>
  <c r="R143" i="42"/>
  <c r="V143" i="42" s="1"/>
  <c r="AW142" i="42"/>
  <c r="AT142" i="42"/>
  <c r="AP142" i="42"/>
  <c r="AZ142" i="42" s="1"/>
  <c r="AO142" i="42"/>
  <c r="AF142" i="42"/>
  <c r="AB142" i="42"/>
  <c r="AU142" i="42" s="1"/>
  <c r="Z142" i="42"/>
  <c r="R142" i="42"/>
  <c r="V142" i="42" s="1"/>
  <c r="AW141" i="42"/>
  <c r="AT141" i="42"/>
  <c r="AP141" i="42"/>
  <c r="AZ141" i="42" s="1"/>
  <c r="AO141" i="42"/>
  <c r="AF141" i="42"/>
  <c r="Z141" i="42"/>
  <c r="R141" i="42"/>
  <c r="V141" i="42" s="1"/>
  <c r="AW140" i="42"/>
  <c r="AT140" i="42"/>
  <c r="AP140" i="42"/>
  <c r="AZ140" i="42" s="1"/>
  <c r="AO140" i="42"/>
  <c r="AF140" i="42"/>
  <c r="Z140" i="42"/>
  <c r="R140" i="42"/>
  <c r="V140" i="42" s="1"/>
  <c r="AW139" i="42"/>
  <c r="AT139" i="42"/>
  <c r="AT145" i="42" s="1"/>
  <c r="AP139" i="42"/>
  <c r="AO139" i="42"/>
  <c r="AF139" i="42"/>
  <c r="AF145" i="42" s="1"/>
  <c r="AB139" i="42"/>
  <c r="Z139" i="42"/>
  <c r="R139" i="42"/>
  <c r="V139" i="42" s="1"/>
  <c r="AP138" i="42"/>
  <c r="AN138" i="42"/>
  <c r="AM138" i="42"/>
  <c r="AL138" i="42"/>
  <c r="AK138" i="42"/>
  <c r="AJ138" i="42"/>
  <c r="AI138" i="42"/>
  <c r="AH138" i="42"/>
  <c r="AE138" i="42"/>
  <c r="AD138" i="42"/>
  <c r="AC138" i="42"/>
  <c r="Z138" i="42"/>
  <c r="Y138" i="42"/>
  <c r="X138" i="42"/>
  <c r="W138" i="42"/>
  <c r="V138" i="42"/>
  <c r="U138" i="42"/>
  <c r="T138" i="42"/>
  <c r="S138" i="42"/>
  <c r="R138" i="42"/>
  <c r="AZ137" i="42"/>
  <c r="AW137" i="42"/>
  <c r="AV137" i="42"/>
  <c r="AS137" i="42"/>
  <c r="AP137" i="42"/>
  <c r="AO137" i="42"/>
  <c r="AF137" i="42"/>
  <c r="AB137" i="42"/>
  <c r="AU137" i="42" s="1"/>
  <c r="AA137" i="42"/>
  <c r="AG137" i="42" s="1"/>
  <c r="AR137" i="42" s="1"/>
  <c r="Z137" i="42"/>
  <c r="AT137" i="42" s="1"/>
  <c r="R137" i="42"/>
  <c r="V137" i="42" s="1"/>
  <c r="AC137" i="42" s="1"/>
  <c r="AZ136" i="42"/>
  <c r="AZ138" i="42" s="1"/>
  <c r="AW136" i="42"/>
  <c r="AW138" i="42" s="1"/>
  <c r="AV136" i="42"/>
  <c r="AV138" i="42" s="1"/>
  <c r="AP136" i="42"/>
  <c r="AO136" i="42"/>
  <c r="AF136" i="42"/>
  <c r="AF138" i="42" s="1"/>
  <c r="AB136" i="42"/>
  <c r="AA136" i="42"/>
  <c r="Z136" i="42"/>
  <c r="AT136" i="42" s="1"/>
  <c r="R136" i="42"/>
  <c r="V136" i="42" s="1"/>
  <c r="AC136" i="42" s="1"/>
  <c r="AY135" i="42"/>
  <c r="AO135" i="42"/>
  <c r="AN135" i="42"/>
  <c r="AM135" i="42"/>
  <c r="AL135" i="42"/>
  <c r="AK135" i="42"/>
  <c r="AJ135" i="42"/>
  <c r="AI135" i="42"/>
  <c r="AH135" i="42"/>
  <c r="AE135" i="42"/>
  <c r="AD135" i="42"/>
  <c r="Y135" i="42"/>
  <c r="X135" i="42"/>
  <c r="W135" i="42"/>
  <c r="U135" i="42"/>
  <c r="T135" i="42"/>
  <c r="S135" i="42"/>
  <c r="AZ134" i="42"/>
  <c r="AY134" i="42"/>
  <c r="AQ134" i="42"/>
  <c r="AX134" i="42" s="1"/>
  <c r="AP134" i="42"/>
  <c r="AO134" i="42"/>
  <c r="AF134" i="42"/>
  <c r="AW134" i="42" s="1"/>
  <c r="AC134" i="42"/>
  <c r="AV134" i="42" s="1"/>
  <c r="Z134" i="42"/>
  <c r="AT134" i="42" s="1"/>
  <c r="V134" i="42"/>
  <c r="R134" i="42"/>
  <c r="AY133" i="42"/>
  <c r="AQ133" i="42"/>
  <c r="AP133" i="42"/>
  <c r="AO133" i="42"/>
  <c r="AF133" i="42"/>
  <c r="Z133" i="42"/>
  <c r="V133" i="42"/>
  <c r="R133" i="42"/>
  <c r="R135" i="42" s="1"/>
  <c r="AO132" i="42"/>
  <c r="AN132" i="42"/>
  <c r="AM132" i="42"/>
  <c r="AL132" i="42"/>
  <c r="AK132" i="42"/>
  <c r="AJ132" i="42"/>
  <c r="AI132" i="42"/>
  <c r="AH132" i="42"/>
  <c r="AE132" i="42"/>
  <c r="AD132" i="42"/>
  <c r="Y132" i="42"/>
  <c r="X132" i="42"/>
  <c r="W132" i="42"/>
  <c r="U132" i="42"/>
  <c r="T132" i="42"/>
  <c r="S132" i="42"/>
  <c r="AZ131" i="42"/>
  <c r="AY131" i="42"/>
  <c r="AQ131" i="42"/>
  <c r="AX131" i="42" s="1"/>
  <c r="AP131" i="42"/>
  <c r="AO131" i="42"/>
  <c r="AF131" i="42"/>
  <c r="AW131" i="42" s="1"/>
  <c r="Z131" i="42"/>
  <c r="V131" i="42"/>
  <c r="AC131" i="42" s="1"/>
  <c r="AV131" i="42" s="1"/>
  <c r="R131" i="42"/>
  <c r="AZ130" i="42"/>
  <c r="AY130" i="42"/>
  <c r="AV130" i="42"/>
  <c r="AQ130" i="42"/>
  <c r="AX130" i="42" s="1"/>
  <c r="AP130" i="42"/>
  <c r="AO130" i="42"/>
  <c r="AF130" i="42"/>
  <c r="AW130" i="42" s="1"/>
  <c r="AA130" i="42"/>
  <c r="Z130" i="42"/>
  <c r="AT130" i="42" s="1"/>
  <c r="V130" i="42"/>
  <c r="AC130" i="42" s="1"/>
  <c r="R130" i="42"/>
  <c r="AZ129" i="42"/>
  <c r="AY129" i="42"/>
  <c r="AQ129" i="42"/>
  <c r="AX129" i="42" s="1"/>
  <c r="AP129" i="42"/>
  <c r="AO129" i="42"/>
  <c r="AF129" i="42"/>
  <c r="AW129" i="42" s="1"/>
  <c r="Z129" i="42"/>
  <c r="V129" i="42"/>
  <c r="AC129" i="42" s="1"/>
  <c r="AV129" i="42" s="1"/>
  <c r="R129" i="42"/>
  <c r="AZ128" i="42"/>
  <c r="AY128" i="42"/>
  <c r="AY132" i="42" s="1"/>
  <c r="AV128" i="42"/>
  <c r="AQ128" i="42"/>
  <c r="AX128" i="42" s="1"/>
  <c r="AP128" i="42"/>
  <c r="AO128" i="42"/>
  <c r="AF128" i="42"/>
  <c r="AW128" i="42" s="1"/>
  <c r="AA128" i="42"/>
  <c r="Z128" i="42"/>
  <c r="AT128" i="42" s="1"/>
  <c r="V128" i="42"/>
  <c r="AC128" i="42" s="1"/>
  <c r="R128" i="42"/>
  <c r="AZ127" i="42"/>
  <c r="AY127" i="42"/>
  <c r="AQ127" i="42"/>
  <c r="AP127" i="42"/>
  <c r="AP132" i="42" s="1"/>
  <c r="AO127" i="42"/>
  <c r="AF127" i="42"/>
  <c r="AW127" i="42" s="1"/>
  <c r="Z127" i="42"/>
  <c r="V127" i="42"/>
  <c r="AC127" i="42" s="1"/>
  <c r="AV127" i="42" s="1"/>
  <c r="AV132" i="42" s="1"/>
  <c r="R127" i="42"/>
  <c r="R132" i="42" s="1"/>
  <c r="AY126" i="42"/>
  <c r="AN126" i="42"/>
  <c r="AM126" i="42"/>
  <c r="AL126" i="42"/>
  <c r="AK126" i="42"/>
  <c r="AJ126" i="42"/>
  <c r="AI126" i="42"/>
  <c r="AH126" i="42"/>
  <c r="AF126" i="42"/>
  <c r="AE126" i="42"/>
  <c r="AD126" i="42"/>
  <c r="Y126" i="42"/>
  <c r="X126" i="42"/>
  <c r="W126" i="42"/>
  <c r="U126" i="42"/>
  <c r="T126" i="42"/>
  <c r="S126" i="42"/>
  <c r="AY125" i="42"/>
  <c r="AP125" i="42"/>
  <c r="AO125" i="42"/>
  <c r="AF125" i="42"/>
  <c r="AW125" i="42" s="1"/>
  <c r="Z125" i="42"/>
  <c r="AT125" i="42" s="1"/>
  <c r="V125" i="42"/>
  <c r="R125" i="42"/>
  <c r="AY124" i="42"/>
  <c r="AP124" i="42"/>
  <c r="AO124" i="42"/>
  <c r="AF124" i="42"/>
  <c r="AW124" i="42" s="1"/>
  <c r="Z124" i="42"/>
  <c r="AT124" i="42" s="1"/>
  <c r="V124" i="42"/>
  <c r="R124" i="42"/>
  <c r="AY123" i="42"/>
  <c r="AP123" i="42"/>
  <c r="AO123" i="42"/>
  <c r="AO126" i="42" s="1"/>
  <c r="AF123" i="42"/>
  <c r="AW123" i="42" s="1"/>
  <c r="AW126" i="42" s="1"/>
  <c r="Z123" i="42"/>
  <c r="V123" i="42"/>
  <c r="R123" i="42"/>
  <c r="R126" i="42" s="1"/>
  <c r="AN122" i="42"/>
  <c r="AM122" i="42"/>
  <c r="AL122" i="42"/>
  <c r="AK122" i="42"/>
  <c r="AJ122" i="42"/>
  <c r="AI122" i="42"/>
  <c r="AH122" i="42"/>
  <c r="AE122" i="42"/>
  <c r="AD122" i="42"/>
  <c r="Z122" i="42"/>
  <c r="Y122" i="42"/>
  <c r="X122" i="42"/>
  <c r="W122" i="42"/>
  <c r="U122" i="42"/>
  <c r="T122" i="42"/>
  <c r="S122" i="42"/>
  <c r="AW121" i="42"/>
  <c r="AT121" i="42"/>
  <c r="AP121" i="42"/>
  <c r="AZ121" i="42" s="1"/>
  <c r="AO121" i="42"/>
  <c r="AF121" i="42"/>
  <c r="Z121" i="42"/>
  <c r="R121" i="42"/>
  <c r="V121" i="42" s="1"/>
  <c r="AW120" i="42"/>
  <c r="AT120" i="42"/>
  <c r="AP120" i="42"/>
  <c r="AZ120" i="42" s="1"/>
  <c r="AO120" i="42"/>
  <c r="AF120" i="42"/>
  <c r="Z120" i="42"/>
  <c r="R120" i="42"/>
  <c r="V120" i="42" s="1"/>
  <c r="AW119" i="42"/>
  <c r="AT119" i="42"/>
  <c r="AP119" i="42"/>
  <c r="AZ119" i="42" s="1"/>
  <c r="AO119" i="42"/>
  <c r="AF119" i="42"/>
  <c r="AB119" i="42"/>
  <c r="AU119" i="42" s="1"/>
  <c r="Z119" i="42"/>
  <c r="R119" i="42"/>
  <c r="V119" i="42" s="1"/>
  <c r="AW118" i="42"/>
  <c r="AT118" i="42"/>
  <c r="AP118" i="42"/>
  <c r="AZ118" i="42" s="1"/>
  <c r="AO118" i="42"/>
  <c r="AF118" i="42"/>
  <c r="AB118" i="42"/>
  <c r="AU118" i="42" s="1"/>
  <c r="Z118" i="42"/>
  <c r="R118" i="42"/>
  <c r="V118" i="42" s="1"/>
  <c r="AW117" i="42"/>
  <c r="AW122" i="42" s="1"/>
  <c r="AT117" i="42"/>
  <c r="AT122" i="42" s="1"/>
  <c r="AP117" i="42"/>
  <c r="AZ117" i="42" s="1"/>
  <c r="AO117" i="42"/>
  <c r="AF117" i="42"/>
  <c r="AF122" i="42" s="1"/>
  <c r="Z117" i="42"/>
  <c r="R117" i="42"/>
  <c r="V117" i="42" s="1"/>
  <c r="AP116" i="42"/>
  <c r="AN116" i="42"/>
  <c r="AM116" i="42"/>
  <c r="AL116" i="42"/>
  <c r="AK116" i="42"/>
  <c r="AJ116" i="42"/>
  <c r="AI116" i="42"/>
  <c r="AH116" i="42"/>
  <c r="AE116" i="42"/>
  <c r="AD116" i="42"/>
  <c r="AC116" i="42"/>
  <c r="Z116" i="42"/>
  <c r="Y116" i="42"/>
  <c r="X116" i="42"/>
  <c r="W116" i="42"/>
  <c r="V116" i="42"/>
  <c r="U116" i="42"/>
  <c r="T116" i="42"/>
  <c r="S116" i="42"/>
  <c r="R116" i="42"/>
  <c r="AZ115" i="42"/>
  <c r="AW115" i="42"/>
  <c r="AV115" i="42"/>
  <c r="AS115" i="42"/>
  <c r="AP115" i="42"/>
  <c r="AO115" i="42"/>
  <c r="AF115" i="42"/>
  <c r="AB115" i="42"/>
  <c r="AU115" i="42" s="1"/>
  <c r="AA115" i="42"/>
  <c r="AG115" i="42" s="1"/>
  <c r="AR115" i="42" s="1"/>
  <c r="Z115" i="42"/>
  <c r="AT115" i="42" s="1"/>
  <c r="R115" i="42"/>
  <c r="V115" i="42" s="1"/>
  <c r="AC115" i="42" s="1"/>
  <c r="AZ114" i="42"/>
  <c r="AZ116" i="42" s="1"/>
  <c r="AW114" i="42"/>
  <c r="AW116" i="42" s="1"/>
  <c r="AV114" i="42"/>
  <c r="AV116" i="42" s="1"/>
  <c r="AP114" i="42"/>
  <c r="AO114" i="42"/>
  <c r="AF114" i="42"/>
  <c r="AF116" i="42" s="1"/>
  <c r="AB114" i="42"/>
  <c r="AA114" i="42"/>
  <c r="Z114" i="42"/>
  <c r="AT114" i="42" s="1"/>
  <c r="AT116" i="42" s="1"/>
  <c r="R114" i="42"/>
  <c r="V114" i="42" s="1"/>
  <c r="AC114" i="42" s="1"/>
  <c r="AO113" i="42"/>
  <c r="AN113" i="42"/>
  <c r="AM113" i="42"/>
  <c r="AL113" i="42"/>
  <c r="AK113" i="42"/>
  <c r="AJ113" i="42"/>
  <c r="AI113" i="42"/>
  <c r="AH113" i="42"/>
  <c r="AE113" i="42"/>
  <c r="AD113" i="42"/>
  <c r="Y113" i="42"/>
  <c r="X113" i="42"/>
  <c r="W113" i="42"/>
  <c r="U113" i="42"/>
  <c r="T113" i="42"/>
  <c r="S113" i="42"/>
  <c r="AZ112" i="42"/>
  <c r="AY112" i="42"/>
  <c r="AQ112" i="42"/>
  <c r="AX112" i="42" s="1"/>
  <c r="AP112" i="42"/>
  <c r="AO112" i="42"/>
  <c r="AF112" i="42"/>
  <c r="AW112" i="42" s="1"/>
  <c r="Z112" i="42"/>
  <c r="V112" i="42"/>
  <c r="AC112" i="42" s="1"/>
  <c r="AV112" i="42" s="1"/>
  <c r="R112" i="42"/>
  <c r="AZ111" i="42"/>
  <c r="AY111" i="42"/>
  <c r="AV111" i="42"/>
  <c r="AQ111" i="42"/>
  <c r="AX111" i="42" s="1"/>
  <c r="AP111" i="42"/>
  <c r="AO111" i="42"/>
  <c r="AF111" i="42"/>
  <c r="AW111" i="42" s="1"/>
  <c r="AA111" i="42"/>
  <c r="Z111" i="42"/>
  <c r="AT111" i="42" s="1"/>
  <c r="V111" i="42"/>
  <c r="AC111" i="42" s="1"/>
  <c r="R111" i="42"/>
  <c r="AZ110" i="42"/>
  <c r="AY110" i="42"/>
  <c r="AQ110" i="42"/>
  <c r="AX110" i="42" s="1"/>
  <c r="AP110" i="42"/>
  <c r="AO110" i="42"/>
  <c r="AF110" i="42"/>
  <c r="AW110" i="42" s="1"/>
  <c r="Z110" i="42"/>
  <c r="AT110" i="42" s="1"/>
  <c r="V110" i="42"/>
  <c r="R110" i="42"/>
  <c r="AY109" i="42"/>
  <c r="AX109" i="42"/>
  <c r="AP109" i="42"/>
  <c r="AQ109" i="42" s="1"/>
  <c r="AO109" i="42"/>
  <c r="AF109" i="42"/>
  <c r="AW109" i="42" s="1"/>
  <c r="AC109" i="42"/>
  <c r="AV109" i="42" s="1"/>
  <c r="Z109" i="42"/>
  <c r="AT109" i="42" s="1"/>
  <c r="V109" i="42"/>
  <c r="R109" i="42"/>
  <c r="AZ108" i="42"/>
  <c r="AY108" i="42"/>
  <c r="AT108" i="42"/>
  <c r="AP108" i="42"/>
  <c r="AQ108" i="42" s="1"/>
  <c r="AX108" i="42" s="1"/>
  <c r="AO108" i="42"/>
  <c r="AF108" i="42"/>
  <c r="AW108" i="42" s="1"/>
  <c r="AC108" i="42"/>
  <c r="AV108" i="42" s="1"/>
  <c r="AA108" i="42"/>
  <c r="Z108" i="42"/>
  <c r="V108" i="42"/>
  <c r="R108" i="42"/>
  <c r="AZ107" i="42"/>
  <c r="AY107" i="42"/>
  <c r="AQ107" i="42"/>
  <c r="AP107" i="42"/>
  <c r="AO107" i="42"/>
  <c r="AF107" i="42"/>
  <c r="AC107" i="42"/>
  <c r="AV107" i="42" s="1"/>
  <c r="Z107" i="42"/>
  <c r="V107" i="42"/>
  <c r="R107" i="42"/>
  <c r="R113" i="42" s="1"/>
  <c r="AN106" i="42"/>
  <c r="AM106" i="42"/>
  <c r="AL106" i="42"/>
  <c r="AK106" i="42"/>
  <c r="AJ106" i="42"/>
  <c r="AI106" i="42"/>
  <c r="AH106" i="42"/>
  <c r="AE106" i="42"/>
  <c r="AD106" i="42"/>
  <c r="Z106" i="42"/>
  <c r="Y106" i="42"/>
  <c r="X106" i="42"/>
  <c r="W106" i="42"/>
  <c r="U106" i="42"/>
  <c r="T106" i="42"/>
  <c r="S106" i="42"/>
  <c r="AZ105" i="42"/>
  <c r="AW105" i="42"/>
  <c r="AT105" i="42"/>
  <c r="AP105" i="42"/>
  <c r="AO105" i="42"/>
  <c r="AF105" i="42"/>
  <c r="AB105" i="42"/>
  <c r="AU105" i="42" s="1"/>
  <c r="Z105" i="42"/>
  <c r="R105" i="42"/>
  <c r="V105" i="42" s="1"/>
  <c r="AZ104" i="42"/>
  <c r="AW104" i="42"/>
  <c r="AT104" i="42"/>
  <c r="AS104" i="42"/>
  <c r="AP104" i="42"/>
  <c r="AO104" i="42"/>
  <c r="AF104" i="42"/>
  <c r="AA104" i="42"/>
  <c r="Z104" i="42"/>
  <c r="R104" i="42"/>
  <c r="V104" i="42" s="1"/>
  <c r="AC104" i="42" s="1"/>
  <c r="AV104" i="42" s="1"/>
  <c r="AZ103" i="42"/>
  <c r="AW103" i="42"/>
  <c r="AT103" i="42"/>
  <c r="AP103" i="42"/>
  <c r="AO103" i="42"/>
  <c r="AF103" i="42"/>
  <c r="Z103" i="42"/>
  <c r="R103" i="42"/>
  <c r="V103" i="42" s="1"/>
  <c r="AZ102" i="42"/>
  <c r="AW102" i="42"/>
  <c r="AT102" i="42"/>
  <c r="AS102" i="42"/>
  <c r="AP102" i="42"/>
  <c r="AO102" i="42"/>
  <c r="AF102" i="42"/>
  <c r="AA102" i="42"/>
  <c r="Z102" i="42"/>
  <c r="R102" i="42"/>
  <c r="V102" i="42" s="1"/>
  <c r="AC102" i="42" s="1"/>
  <c r="AV102" i="42" s="1"/>
  <c r="AZ101" i="42"/>
  <c r="AW101" i="42"/>
  <c r="AW106" i="42" s="1"/>
  <c r="AT101" i="42"/>
  <c r="AT106" i="42" s="1"/>
  <c r="AP101" i="42"/>
  <c r="AP106" i="42" s="1"/>
  <c r="AO101" i="42"/>
  <c r="AF101" i="42"/>
  <c r="AF106" i="42" s="1"/>
  <c r="Z101" i="42"/>
  <c r="R101" i="42"/>
  <c r="AP100" i="42"/>
  <c r="AO100" i="42"/>
  <c r="AN100" i="42"/>
  <c r="AM100" i="42"/>
  <c r="AL100" i="42"/>
  <c r="AK100" i="42"/>
  <c r="AJ100" i="42"/>
  <c r="AI100" i="42"/>
  <c r="AH100" i="42"/>
  <c r="AE100" i="42"/>
  <c r="AD100" i="42"/>
  <c r="Y100" i="42"/>
  <c r="X100" i="42"/>
  <c r="W100" i="42"/>
  <c r="U100" i="42"/>
  <c r="T100" i="42"/>
  <c r="S100" i="42"/>
  <c r="AZ99" i="42"/>
  <c r="AY99" i="42"/>
  <c r="AQ99" i="42"/>
  <c r="AX99" i="42" s="1"/>
  <c r="AP99" i="42"/>
  <c r="AO99" i="42"/>
  <c r="AF99" i="42"/>
  <c r="AW99" i="42" s="1"/>
  <c r="AA99" i="42"/>
  <c r="Z99" i="42"/>
  <c r="AT99" i="42" s="1"/>
  <c r="R99" i="42"/>
  <c r="V99" i="42" s="1"/>
  <c r="AZ98" i="42"/>
  <c r="AY98" i="42"/>
  <c r="AQ98" i="42"/>
  <c r="AX98" i="42" s="1"/>
  <c r="AP98" i="42"/>
  <c r="AO98" i="42"/>
  <c r="AF98" i="42"/>
  <c r="AW98" i="42" s="1"/>
  <c r="Z98" i="42"/>
  <c r="AT98" i="42" s="1"/>
  <c r="R98" i="42"/>
  <c r="V98" i="42" s="1"/>
  <c r="AZ97" i="42"/>
  <c r="AZ100" i="42" s="1"/>
  <c r="AY97" i="42"/>
  <c r="AQ97" i="42"/>
  <c r="AP97" i="42"/>
  <c r="AO97" i="42"/>
  <c r="AF97" i="42"/>
  <c r="AW97" i="42" s="1"/>
  <c r="AW100" i="42" s="1"/>
  <c r="Z97" i="42"/>
  <c r="R97" i="42"/>
  <c r="V97" i="42" s="1"/>
  <c r="AO96" i="42"/>
  <c r="AN96" i="42"/>
  <c r="AM96" i="42"/>
  <c r="AL96" i="42"/>
  <c r="AK96" i="42"/>
  <c r="AJ96" i="42"/>
  <c r="AI96" i="42"/>
  <c r="AH96" i="42"/>
  <c r="AF96" i="42"/>
  <c r="AE96" i="42"/>
  <c r="AD96" i="42"/>
  <c r="Y96" i="42"/>
  <c r="X96" i="42"/>
  <c r="W96" i="42"/>
  <c r="U96" i="42"/>
  <c r="T96" i="42"/>
  <c r="S96" i="42"/>
  <c r="AY95" i="42"/>
  <c r="AP95" i="42"/>
  <c r="AO95" i="42"/>
  <c r="AF95" i="42"/>
  <c r="AW95" i="42" s="1"/>
  <c r="Z95" i="42"/>
  <c r="AT95" i="42" s="1"/>
  <c r="V95" i="42"/>
  <c r="R95" i="42"/>
  <c r="AY94" i="42"/>
  <c r="AP94" i="42"/>
  <c r="AO94" i="42"/>
  <c r="AF94" i="42"/>
  <c r="AW94" i="42" s="1"/>
  <c r="Z94" i="42"/>
  <c r="AT94" i="42" s="1"/>
  <c r="V94" i="42"/>
  <c r="R94" i="42"/>
  <c r="AY93" i="42"/>
  <c r="AP93" i="42"/>
  <c r="AO93" i="42"/>
  <c r="AF93" i="42"/>
  <c r="AW93" i="42" s="1"/>
  <c r="Z93" i="42"/>
  <c r="AT93" i="42" s="1"/>
  <c r="V93" i="42"/>
  <c r="R93" i="42"/>
  <c r="AY92" i="42"/>
  <c r="AP92" i="42"/>
  <c r="AO92" i="42"/>
  <c r="AF92" i="42"/>
  <c r="AW92" i="42" s="1"/>
  <c r="Z92" i="42"/>
  <c r="AT92" i="42" s="1"/>
  <c r="V92" i="42"/>
  <c r="R92" i="42"/>
  <c r="AY91" i="42"/>
  <c r="AY96" i="42" s="1"/>
  <c r="AP91" i="42"/>
  <c r="AO91" i="42"/>
  <c r="AF91" i="42"/>
  <c r="AW91" i="42" s="1"/>
  <c r="AW96" i="42" s="1"/>
  <c r="Z91" i="42"/>
  <c r="V91" i="42"/>
  <c r="R91" i="42"/>
  <c r="R96" i="42" s="1"/>
  <c r="AN90" i="42"/>
  <c r="AM90" i="42"/>
  <c r="AL90" i="42"/>
  <c r="AK90" i="42"/>
  <c r="AJ90" i="42"/>
  <c r="AI90" i="42"/>
  <c r="AH90" i="42"/>
  <c r="AE90" i="42"/>
  <c r="AD90" i="42"/>
  <c r="Z90" i="42"/>
  <c r="Y90" i="42"/>
  <c r="X90" i="42"/>
  <c r="W90" i="42"/>
  <c r="U90" i="42"/>
  <c r="T90" i="42"/>
  <c r="S90" i="42"/>
  <c r="AW89" i="42"/>
  <c r="AT89" i="42"/>
  <c r="AP89" i="42"/>
  <c r="AZ89" i="42" s="1"/>
  <c r="AO89" i="42"/>
  <c r="AF89" i="42"/>
  <c r="AB89" i="42"/>
  <c r="AU89" i="42" s="1"/>
  <c r="Z89" i="42"/>
  <c r="V89" i="42"/>
  <c r="AA89" i="42" s="1"/>
  <c r="R89" i="42"/>
  <c r="AW88" i="42"/>
  <c r="AT88" i="42"/>
  <c r="AP88" i="42"/>
  <c r="AZ88" i="42" s="1"/>
  <c r="AO88" i="42"/>
  <c r="AF88" i="42"/>
  <c r="AB88" i="42"/>
  <c r="AU88" i="42" s="1"/>
  <c r="Z88" i="42"/>
  <c r="V88" i="42"/>
  <c r="AA88" i="42" s="1"/>
  <c r="R88" i="42"/>
  <c r="AW87" i="42"/>
  <c r="AW90" i="42" s="1"/>
  <c r="AT87" i="42"/>
  <c r="AT90" i="42" s="1"/>
  <c r="AP87" i="42"/>
  <c r="AZ87" i="42" s="1"/>
  <c r="AO87" i="42"/>
  <c r="AF87" i="42"/>
  <c r="AF90" i="42" s="1"/>
  <c r="AB87" i="42"/>
  <c r="Z87" i="42"/>
  <c r="V87" i="42"/>
  <c r="AA87" i="42" s="1"/>
  <c r="R87" i="42"/>
  <c r="R90" i="42" s="1"/>
  <c r="AT86" i="42"/>
  <c r="AP86" i="42"/>
  <c r="AN86" i="42"/>
  <c r="AM86" i="42"/>
  <c r="AL86" i="42"/>
  <c r="AK86" i="42"/>
  <c r="AJ86" i="42"/>
  <c r="AI86" i="42"/>
  <c r="AH86" i="42"/>
  <c r="AE86" i="42"/>
  <c r="AD86" i="42"/>
  <c r="Z86" i="42"/>
  <c r="Y86" i="42"/>
  <c r="X86" i="42"/>
  <c r="W86" i="42"/>
  <c r="U86" i="42"/>
  <c r="T86" i="42"/>
  <c r="S86" i="42"/>
  <c r="AZ85" i="42"/>
  <c r="AW85" i="42"/>
  <c r="AV85" i="42"/>
  <c r="AT85" i="42"/>
  <c r="AS85" i="42"/>
  <c r="AP85" i="42"/>
  <c r="AO85" i="42"/>
  <c r="AF85" i="42"/>
  <c r="AB85" i="42"/>
  <c r="AU85" i="42" s="1"/>
  <c r="AA85" i="42"/>
  <c r="AG85" i="42" s="1"/>
  <c r="AR85" i="42" s="1"/>
  <c r="Z85" i="42"/>
  <c r="R85" i="42"/>
  <c r="V85" i="42" s="1"/>
  <c r="AC85" i="42" s="1"/>
  <c r="AZ84" i="42"/>
  <c r="AW84" i="42"/>
  <c r="AT84" i="42"/>
  <c r="AP84" i="42"/>
  <c r="AO84" i="42"/>
  <c r="AF84" i="42"/>
  <c r="Z84" i="42"/>
  <c r="R84" i="42"/>
  <c r="V84" i="42" s="1"/>
  <c r="AZ83" i="42"/>
  <c r="AW83" i="42"/>
  <c r="AV83" i="42"/>
  <c r="AT83" i="42"/>
  <c r="AS83" i="42"/>
  <c r="AP83" i="42"/>
  <c r="AO83" i="42"/>
  <c r="AF83" i="42"/>
  <c r="AB83" i="42"/>
  <c r="AU83" i="42" s="1"/>
  <c r="AA83" i="42"/>
  <c r="AG83" i="42" s="1"/>
  <c r="AR83" i="42" s="1"/>
  <c r="Z83" i="42"/>
  <c r="R83" i="42"/>
  <c r="V83" i="42" s="1"/>
  <c r="AC83" i="42" s="1"/>
  <c r="AZ82" i="42"/>
  <c r="AW82" i="42"/>
  <c r="AT82" i="42"/>
  <c r="AS82" i="42"/>
  <c r="AP82" i="42"/>
  <c r="AO82" i="42"/>
  <c r="AF82" i="42"/>
  <c r="Z82" i="42"/>
  <c r="R82" i="42"/>
  <c r="V82" i="42" s="1"/>
  <c r="AZ81" i="42"/>
  <c r="AW81" i="42"/>
  <c r="AV81" i="42"/>
  <c r="AT81" i="42"/>
  <c r="AS81" i="42"/>
  <c r="AP81" i="42"/>
  <c r="AO81" i="42"/>
  <c r="AF81" i="42"/>
  <c r="AB81" i="42"/>
  <c r="AU81" i="42" s="1"/>
  <c r="AA81" i="42"/>
  <c r="Z81" i="42"/>
  <c r="R81" i="42"/>
  <c r="V81" i="42" s="1"/>
  <c r="AC81" i="42" s="1"/>
  <c r="AZ80" i="42"/>
  <c r="AZ86" i="42" s="1"/>
  <c r="AW80" i="42"/>
  <c r="AW86" i="42" s="1"/>
  <c r="AT80" i="42"/>
  <c r="AS80" i="42"/>
  <c r="AP80" i="42"/>
  <c r="AO80" i="42"/>
  <c r="AF80" i="42"/>
  <c r="AF86" i="42" s="1"/>
  <c r="Z80" i="42"/>
  <c r="R80" i="42"/>
  <c r="V80" i="42" s="1"/>
  <c r="AP79" i="42"/>
  <c r="AO79" i="42"/>
  <c r="AN79" i="42"/>
  <c r="AM79" i="42"/>
  <c r="AL79" i="42"/>
  <c r="AK79" i="42"/>
  <c r="AJ79" i="42"/>
  <c r="AI79" i="42"/>
  <c r="AH79" i="42"/>
  <c r="AF79" i="42"/>
  <c r="AE79" i="42"/>
  <c r="AD79" i="42"/>
  <c r="Y79" i="42"/>
  <c r="X79" i="42"/>
  <c r="W79" i="42"/>
  <c r="U79" i="42"/>
  <c r="T79" i="42"/>
  <c r="S79" i="42"/>
  <c r="AZ78" i="42"/>
  <c r="AY78" i="42"/>
  <c r="AQ78" i="42"/>
  <c r="AP78" i="42"/>
  <c r="AP211" i="42" s="1"/>
  <c r="AO78" i="42"/>
  <c r="AO211" i="42" s="1"/>
  <c r="AF78" i="42"/>
  <c r="Z78" i="42"/>
  <c r="R78" i="42"/>
  <c r="AN77" i="42"/>
  <c r="AM77" i="42"/>
  <c r="AL77" i="42"/>
  <c r="AK77" i="42"/>
  <c r="AJ77" i="42"/>
  <c r="AI77" i="42"/>
  <c r="AH77" i="42"/>
  <c r="AE77" i="42"/>
  <c r="AD77" i="42"/>
  <c r="Y77" i="42"/>
  <c r="X77" i="42"/>
  <c r="W77" i="42"/>
  <c r="U77" i="42"/>
  <c r="T77" i="42"/>
  <c r="S77" i="42"/>
  <c r="AY76" i="42"/>
  <c r="AT76" i="42"/>
  <c r="AP76" i="42"/>
  <c r="AZ76" i="42" s="1"/>
  <c r="AO76" i="42"/>
  <c r="AQ76" i="42" s="1"/>
  <c r="AX76" i="42" s="1"/>
  <c r="AF76" i="42"/>
  <c r="AW76" i="42" s="1"/>
  <c r="AB76" i="42"/>
  <c r="AU76" i="42" s="1"/>
  <c r="Z76" i="42"/>
  <c r="R76" i="42"/>
  <c r="V76" i="42" s="1"/>
  <c r="AZ75" i="42"/>
  <c r="AW75" i="42"/>
  <c r="AP75" i="42"/>
  <c r="AO75" i="42"/>
  <c r="AF75" i="42"/>
  <c r="Z75" i="42"/>
  <c r="AT75" i="42" s="1"/>
  <c r="R75" i="42"/>
  <c r="V75" i="42" s="1"/>
  <c r="AC75" i="42" s="1"/>
  <c r="AV75" i="42" s="1"/>
  <c r="AZ74" i="42"/>
  <c r="AW74" i="42"/>
  <c r="AV74" i="42"/>
  <c r="AS74" i="42"/>
  <c r="AP74" i="42"/>
  <c r="AO74" i="42"/>
  <c r="AG74" i="42"/>
  <c r="AR74" i="42" s="1"/>
  <c r="AF74" i="42"/>
  <c r="AB74" i="42"/>
  <c r="AU74" i="42" s="1"/>
  <c r="AA74" i="42"/>
  <c r="Z74" i="42"/>
  <c r="AT74" i="42" s="1"/>
  <c r="R74" i="42"/>
  <c r="V74" i="42" s="1"/>
  <c r="AC74" i="42" s="1"/>
  <c r="AZ73" i="42"/>
  <c r="AW73" i="42"/>
  <c r="AV73" i="42"/>
  <c r="AP73" i="42"/>
  <c r="AO73" i="42"/>
  <c r="AF73" i="42"/>
  <c r="AB73" i="42"/>
  <c r="AU73" i="42" s="1"/>
  <c r="AA73" i="42"/>
  <c r="AG73" i="42" s="1"/>
  <c r="AR73" i="42" s="1"/>
  <c r="Z73" i="42"/>
  <c r="AT73" i="42" s="1"/>
  <c r="R73" i="42"/>
  <c r="V73" i="42" s="1"/>
  <c r="AC73" i="42" s="1"/>
  <c r="AZ72" i="42"/>
  <c r="AW72" i="42"/>
  <c r="AW77" i="42" s="1"/>
  <c r="AP72" i="42"/>
  <c r="AO72" i="42"/>
  <c r="AF72" i="42"/>
  <c r="AB72" i="42"/>
  <c r="AU72" i="42" s="1"/>
  <c r="Z72" i="42"/>
  <c r="AT72" i="42" s="1"/>
  <c r="R72" i="42"/>
  <c r="V72" i="42" s="1"/>
  <c r="AC72" i="42" s="1"/>
  <c r="AV72" i="42" s="1"/>
  <c r="AZ71" i="42"/>
  <c r="AZ77" i="42" s="1"/>
  <c r="AW71" i="42"/>
  <c r="AP71" i="42"/>
  <c r="AP77" i="42" s="1"/>
  <c r="AO71" i="42"/>
  <c r="AF71" i="42"/>
  <c r="AF77" i="42" s="1"/>
  <c r="Z71" i="42"/>
  <c r="Z77" i="42" s="1"/>
  <c r="R71" i="42"/>
  <c r="AO70" i="42"/>
  <c r="AN70" i="42"/>
  <c r="AM70" i="42"/>
  <c r="AL70" i="42"/>
  <c r="AK70" i="42"/>
  <c r="AJ70" i="42"/>
  <c r="AI70" i="42"/>
  <c r="AH70" i="42"/>
  <c r="AE70" i="42"/>
  <c r="AD70" i="42"/>
  <c r="Y70" i="42"/>
  <c r="X70" i="42"/>
  <c r="W70" i="42"/>
  <c r="U70" i="42"/>
  <c r="T70" i="42"/>
  <c r="S70" i="42"/>
  <c r="AZ69" i="42"/>
  <c r="AY69" i="42"/>
  <c r="AV69" i="42"/>
  <c r="AQ69" i="42"/>
  <c r="AX69" i="42" s="1"/>
  <c r="AP69" i="42"/>
  <c r="AO69" i="42"/>
  <c r="AF69" i="42"/>
  <c r="AW69" i="42" s="1"/>
  <c r="AA69" i="42"/>
  <c r="Z69" i="42"/>
  <c r="AT69" i="42" s="1"/>
  <c r="V69" i="42"/>
  <c r="AC69" i="42" s="1"/>
  <c r="R69" i="42"/>
  <c r="AZ68" i="42"/>
  <c r="AY68" i="42"/>
  <c r="AQ68" i="42"/>
  <c r="AX68" i="42" s="1"/>
  <c r="AP68" i="42"/>
  <c r="AO68" i="42"/>
  <c r="AF68" i="42"/>
  <c r="AW68" i="42" s="1"/>
  <c r="Z68" i="42"/>
  <c r="AT68" i="42" s="1"/>
  <c r="V68" i="42"/>
  <c r="AC68" i="42" s="1"/>
  <c r="AV68" i="42" s="1"/>
  <c r="R68" i="42"/>
  <c r="AZ67" i="42"/>
  <c r="AY67" i="42"/>
  <c r="AV67" i="42"/>
  <c r="AQ67" i="42"/>
  <c r="AX67" i="42" s="1"/>
  <c r="AP67" i="42"/>
  <c r="AO67" i="42"/>
  <c r="AF67" i="42"/>
  <c r="AW67" i="42" s="1"/>
  <c r="AW70" i="42" s="1"/>
  <c r="AA67" i="42"/>
  <c r="Z67" i="42"/>
  <c r="AT67" i="42" s="1"/>
  <c r="V67" i="42"/>
  <c r="AC67" i="42" s="1"/>
  <c r="R67" i="42"/>
  <c r="AZ66" i="42"/>
  <c r="AZ70" i="42" s="1"/>
  <c r="AY66" i="42"/>
  <c r="AQ66" i="42"/>
  <c r="AP66" i="42"/>
  <c r="AP70" i="42" s="1"/>
  <c r="AO66" i="42"/>
  <c r="AF66" i="42"/>
  <c r="AW66" i="42" s="1"/>
  <c r="Z66" i="42"/>
  <c r="V66" i="42"/>
  <c r="AC66" i="42" s="1"/>
  <c r="AC70" i="42" s="1"/>
  <c r="R66" i="42"/>
  <c r="R70" i="42" s="1"/>
  <c r="AY65" i="42"/>
  <c r="AN65" i="42"/>
  <c r="AM65" i="42"/>
  <c r="AL65" i="42"/>
  <c r="AK65" i="42"/>
  <c r="AJ65" i="42"/>
  <c r="AI65" i="42"/>
  <c r="AH65" i="42"/>
  <c r="AF65" i="42"/>
  <c r="AE65" i="42"/>
  <c r="AD65" i="42"/>
  <c r="Y65" i="42"/>
  <c r="X65" i="42"/>
  <c r="W65" i="42"/>
  <c r="U65" i="42"/>
  <c r="T65" i="42"/>
  <c r="S65" i="42"/>
  <c r="AY64" i="42"/>
  <c r="AP64" i="42"/>
  <c r="AZ64" i="42" s="1"/>
  <c r="AO64" i="42"/>
  <c r="AF64" i="42"/>
  <c r="AW64" i="42" s="1"/>
  <c r="Z64" i="42"/>
  <c r="AT64" i="42" s="1"/>
  <c r="V64" i="42"/>
  <c r="R64" i="42"/>
  <c r="AY63" i="42"/>
  <c r="AP63" i="42"/>
  <c r="AZ63" i="42" s="1"/>
  <c r="AO63" i="42"/>
  <c r="AF63" i="42"/>
  <c r="AW63" i="42" s="1"/>
  <c r="Z63" i="42"/>
  <c r="AT63" i="42" s="1"/>
  <c r="V63" i="42"/>
  <c r="AC63" i="42" s="1"/>
  <c r="AV63" i="42" s="1"/>
  <c r="R63" i="42"/>
  <c r="AY62" i="42"/>
  <c r="AP62" i="42"/>
  <c r="AZ62" i="42" s="1"/>
  <c r="AO62" i="42"/>
  <c r="AF62" i="42"/>
  <c r="AW62" i="42" s="1"/>
  <c r="Z62" i="42"/>
  <c r="AT62" i="42" s="1"/>
  <c r="V62" i="42"/>
  <c r="R62" i="42"/>
  <c r="AY61" i="42"/>
  <c r="AP61" i="42"/>
  <c r="AZ61" i="42" s="1"/>
  <c r="AO61" i="42"/>
  <c r="AF61" i="42"/>
  <c r="AW61" i="42" s="1"/>
  <c r="Z61" i="42"/>
  <c r="AT61" i="42" s="1"/>
  <c r="V61" i="42"/>
  <c r="AC61" i="42" s="1"/>
  <c r="AV61" i="42" s="1"/>
  <c r="R61" i="42"/>
  <c r="AY60" i="42"/>
  <c r="AP60" i="42"/>
  <c r="AO60" i="42"/>
  <c r="AO65" i="42" s="1"/>
  <c r="AF60" i="42"/>
  <c r="Z60" i="42"/>
  <c r="V60" i="42"/>
  <c r="R60" i="42"/>
  <c r="AN59" i="42"/>
  <c r="AM59" i="42"/>
  <c r="AL59" i="42"/>
  <c r="AK59" i="42"/>
  <c r="AJ59" i="42"/>
  <c r="AI59" i="42"/>
  <c r="AH59" i="42"/>
  <c r="AE59" i="42"/>
  <c r="AD59" i="42"/>
  <c r="Z59" i="42"/>
  <c r="Y59" i="42"/>
  <c r="X59" i="42"/>
  <c r="W59" i="42"/>
  <c r="U59" i="42"/>
  <c r="T59" i="42"/>
  <c r="S59" i="42"/>
  <c r="AW58" i="42"/>
  <c r="AT58" i="42"/>
  <c r="AP58" i="42"/>
  <c r="AZ58" i="42" s="1"/>
  <c r="AO58" i="42"/>
  <c r="AF58" i="42"/>
  <c r="Z58" i="42"/>
  <c r="R58" i="42"/>
  <c r="V58" i="42" s="1"/>
  <c r="AW57" i="42"/>
  <c r="AT57" i="42"/>
  <c r="AP57" i="42"/>
  <c r="AZ57" i="42" s="1"/>
  <c r="AO57" i="42"/>
  <c r="AF57" i="42"/>
  <c r="Z57" i="42"/>
  <c r="R57" i="42"/>
  <c r="V57" i="42" s="1"/>
  <c r="AW56" i="42"/>
  <c r="AT56" i="42"/>
  <c r="AP56" i="42"/>
  <c r="AZ56" i="42" s="1"/>
  <c r="AO56" i="42"/>
  <c r="AF56" i="42"/>
  <c r="Z56" i="42"/>
  <c r="R56" i="42"/>
  <c r="V56" i="42" s="1"/>
  <c r="AW55" i="42"/>
  <c r="AT55" i="42"/>
  <c r="AP55" i="42"/>
  <c r="AZ55" i="42" s="1"/>
  <c r="AO55" i="42"/>
  <c r="AF55" i="42"/>
  <c r="Z55" i="42"/>
  <c r="R55" i="42"/>
  <c r="V55" i="42" s="1"/>
  <c r="AW54" i="42"/>
  <c r="AW59" i="42" s="1"/>
  <c r="AT54" i="42"/>
  <c r="AT59" i="42" s="1"/>
  <c r="AP54" i="42"/>
  <c r="AZ54" i="42" s="1"/>
  <c r="AZ59" i="42" s="1"/>
  <c r="AO54" i="42"/>
  <c r="AF54" i="42"/>
  <c r="AF59" i="42" s="1"/>
  <c r="Z54" i="42"/>
  <c r="R54" i="42"/>
  <c r="V54" i="42" s="1"/>
  <c r="AP53" i="42"/>
  <c r="AN53" i="42"/>
  <c r="AM53" i="42"/>
  <c r="AL53" i="42"/>
  <c r="AK53" i="42"/>
  <c r="AJ53" i="42"/>
  <c r="AI53" i="42"/>
  <c r="AH53" i="42"/>
  <c r="AE53" i="42"/>
  <c r="AD53" i="42"/>
  <c r="Z53" i="42"/>
  <c r="Y53" i="42"/>
  <c r="X53" i="42"/>
  <c r="W53" i="42"/>
  <c r="U53" i="42"/>
  <c r="T53" i="42"/>
  <c r="S53" i="42"/>
  <c r="AZ52" i="42"/>
  <c r="AW52" i="42"/>
  <c r="AV52" i="42"/>
  <c r="AS52" i="42"/>
  <c r="AP52" i="42"/>
  <c r="AO52" i="42"/>
  <c r="AG52" i="42"/>
  <c r="AR52" i="42" s="1"/>
  <c r="AF52" i="42"/>
  <c r="AB52" i="42"/>
  <c r="AU52" i="42" s="1"/>
  <c r="AA52" i="42"/>
  <c r="Z52" i="42"/>
  <c r="AT52" i="42" s="1"/>
  <c r="R52" i="42"/>
  <c r="V52" i="42" s="1"/>
  <c r="AC52" i="42" s="1"/>
  <c r="AZ51" i="42"/>
  <c r="AW51" i="42"/>
  <c r="AP51" i="42"/>
  <c r="AO51" i="42"/>
  <c r="AF51" i="42"/>
  <c r="Z51" i="42"/>
  <c r="AT51" i="42" s="1"/>
  <c r="R51" i="42"/>
  <c r="AZ50" i="42"/>
  <c r="AW50" i="42"/>
  <c r="AW53" i="42" s="1"/>
  <c r="AP50" i="42"/>
  <c r="AO50" i="42"/>
  <c r="AF50" i="42"/>
  <c r="AB50" i="42"/>
  <c r="AU50" i="42" s="1"/>
  <c r="Z50" i="42"/>
  <c r="AT50" i="42" s="1"/>
  <c r="R50" i="42"/>
  <c r="V50" i="42" s="1"/>
  <c r="AC50" i="42" s="1"/>
  <c r="AV50" i="42" s="1"/>
  <c r="AZ49" i="42"/>
  <c r="AW49" i="42"/>
  <c r="AP49" i="42"/>
  <c r="AO49" i="42"/>
  <c r="AF49" i="42"/>
  <c r="Z49" i="42"/>
  <c r="AT49" i="42" s="1"/>
  <c r="R49" i="42"/>
  <c r="V49" i="42" s="1"/>
  <c r="AC49" i="42" s="1"/>
  <c r="AV49" i="42" s="1"/>
  <c r="AZ48" i="42"/>
  <c r="AW48" i="42"/>
  <c r="AP48" i="42"/>
  <c r="AO48" i="42"/>
  <c r="AF48" i="42"/>
  <c r="AF204" i="42" s="1"/>
  <c r="Z48" i="42"/>
  <c r="AT48" i="42" s="1"/>
  <c r="R48" i="42"/>
  <c r="AO47" i="42"/>
  <c r="AN47" i="42"/>
  <c r="AM47" i="42"/>
  <c r="AL47" i="42"/>
  <c r="AK47" i="42"/>
  <c r="AJ47" i="42"/>
  <c r="AI47" i="42"/>
  <c r="AH47" i="42"/>
  <c r="AE47" i="42"/>
  <c r="AD47" i="42"/>
  <c r="Y47" i="42"/>
  <c r="X47" i="42"/>
  <c r="W47" i="42"/>
  <c r="U47" i="42"/>
  <c r="T47" i="42"/>
  <c r="S47" i="42"/>
  <c r="AZ46" i="42"/>
  <c r="AZ212" i="42" s="1"/>
  <c r="AY46" i="42"/>
  <c r="AQ46" i="42"/>
  <c r="AP46" i="42"/>
  <c r="AP212" i="42" s="1"/>
  <c r="AO46" i="42"/>
  <c r="AO212" i="42" s="1"/>
  <c r="AF46" i="42"/>
  <c r="Z46" i="42"/>
  <c r="V46" i="42"/>
  <c r="V212" i="42" s="1"/>
  <c r="R46" i="42"/>
  <c r="R212" i="42" s="1"/>
  <c r="AY45" i="42"/>
  <c r="AN45" i="42"/>
  <c r="AM45" i="42"/>
  <c r="AL45" i="42"/>
  <c r="AK45" i="42"/>
  <c r="AJ45" i="42"/>
  <c r="AI45" i="42"/>
  <c r="AH45" i="42"/>
  <c r="AE45" i="42"/>
  <c r="AD45" i="42"/>
  <c r="Y45" i="42"/>
  <c r="X45" i="42"/>
  <c r="W45" i="42"/>
  <c r="U45" i="42"/>
  <c r="T45" i="42"/>
  <c r="S45" i="42"/>
  <c r="AY44" i="42"/>
  <c r="AT44" i="42"/>
  <c r="AP44" i="42"/>
  <c r="AZ44" i="42" s="1"/>
  <c r="AO44" i="42"/>
  <c r="AF44" i="42"/>
  <c r="AW44" i="42" s="1"/>
  <c r="Z44" i="42"/>
  <c r="V44" i="42"/>
  <c r="R44" i="42"/>
  <c r="AY43" i="42"/>
  <c r="AT43" i="42"/>
  <c r="AP43" i="42"/>
  <c r="AZ43" i="42" s="1"/>
  <c r="AO43" i="42"/>
  <c r="AF43" i="42"/>
  <c r="AW43" i="42" s="1"/>
  <c r="Z43" i="42"/>
  <c r="V43" i="42"/>
  <c r="R43" i="42"/>
  <c r="AY42" i="42"/>
  <c r="AT42" i="42"/>
  <c r="AT45" i="42" s="1"/>
  <c r="AP42" i="42"/>
  <c r="AO42" i="42"/>
  <c r="AO45" i="42" s="1"/>
  <c r="AF42" i="42"/>
  <c r="AW42" i="42" s="1"/>
  <c r="AW45" i="42" s="1"/>
  <c r="Z42" i="42"/>
  <c r="Z45" i="42" s="1"/>
  <c r="V42" i="42"/>
  <c r="R42" i="42"/>
  <c r="R45" i="42" s="1"/>
  <c r="AN41" i="42"/>
  <c r="AM41" i="42"/>
  <c r="AL41" i="42"/>
  <c r="AK41" i="42"/>
  <c r="AJ41" i="42"/>
  <c r="AI41" i="42"/>
  <c r="AH41" i="42"/>
  <c r="AE41" i="42"/>
  <c r="AD41" i="42"/>
  <c r="Z41" i="42"/>
  <c r="Y41" i="42"/>
  <c r="X41" i="42"/>
  <c r="W41" i="42"/>
  <c r="U41" i="42"/>
  <c r="T41" i="42"/>
  <c r="S41" i="42"/>
  <c r="AW40" i="42"/>
  <c r="AT40" i="42"/>
  <c r="AP40" i="42"/>
  <c r="AZ40" i="42" s="1"/>
  <c r="AO40" i="42"/>
  <c r="AF40" i="42"/>
  <c r="Z40" i="42"/>
  <c r="V40" i="42"/>
  <c r="AA40" i="42" s="1"/>
  <c r="R40" i="42"/>
  <c r="AW39" i="42"/>
  <c r="AW41" i="42" s="1"/>
  <c r="AT39" i="42"/>
  <c r="AT41" i="42" s="1"/>
  <c r="AP39" i="42"/>
  <c r="AZ39" i="42" s="1"/>
  <c r="AZ41" i="42" s="1"/>
  <c r="AO39" i="42"/>
  <c r="AF39" i="42"/>
  <c r="AF41" i="42" s="1"/>
  <c r="Z39" i="42"/>
  <c r="V39" i="42"/>
  <c r="AA39" i="42" s="1"/>
  <c r="AA41" i="42" s="1"/>
  <c r="R39" i="42"/>
  <c r="R41" i="42" s="1"/>
  <c r="AT38" i="42"/>
  <c r="AP38" i="42"/>
  <c r="AO38" i="42"/>
  <c r="AN38" i="42"/>
  <c r="AM38" i="42"/>
  <c r="AL38" i="42"/>
  <c r="AK38" i="42"/>
  <c r="AJ38" i="42"/>
  <c r="AI38" i="42"/>
  <c r="AH38" i="42"/>
  <c r="AE38" i="42"/>
  <c r="AD38" i="42"/>
  <c r="Z38" i="42"/>
  <c r="Y38" i="42"/>
  <c r="X38" i="42"/>
  <c r="W38" i="42"/>
  <c r="U38" i="42"/>
  <c r="T38" i="42"/>
  <c r="S38" i="42"/>
  <c r="AZ37" i="42"/>
  <c r="AQ37" i="42"/>
  <c r="AX37" i="42" s="1"/>
  <c r="AP37" i="42"/>
  <c r="AO37" i="42"/>
  <c r="AY37" i="42" s="1"/>
  <c r="AF37" i="42"/>
  <c r="AW37" i="42" s="1"/>
  <c r="AB37" i="42"/>
  <c r="AU37" i="42" s="1"/>
  <c r="Z37" i="42"/>
  <c r="AT37" i="42" s="1"/>
  <c r="R37" i="42"/>
  <c r="V37" i="42" s="1"/>
  <c r="AC37" i="42" s="1"/>
  <c r="AV37" i="42" s="1"/>
  <c r="AZ36" i="42"/>
  <c r="AQ36" i="42"/>
  <c r="AX36" i="42" s="1"/>
  <c r="AP36" i="42"/>
  <c r="AO36" i="42"/>
  <c r="AY36" i="42" s="1"/>
  <c r="AF36" i="42"/>
  <c r="AW36" i="42" s="1"/>
  <c r="AB36" i="42"/>
  <c r="AU36" i="42" s="1"/>
  <c r="Z36" i="42"/>
  <c r="AT36" i="42" s="1"/>
  <c r="R36" i="42"/>
  <c r="V36" i="42" s="1"/>
  <c r="AC36" i="42" s="1"/>
  <c r="AV36" i="42" s="1"/>
  <c r="AZ35" i="42"/>
  <c r="AZ38" i="42" s="1"/>
  <c r="AQ35" i="42"/>
  <c r="AP35" i="42"/>
  <c r="AO35" i="42"/>
  <c r="AY35" i="42" s="1"/>
  <c r="AY38" i="42" s="1"/>
  <c r="AF35" i="42"/>
  <c r="AF38" i="42" s="1"/>
  <c r="AB35" i="42"/>
  <c r="AB38" i="42" s="1"/>
  <c r="Z35" i="42"/>
  <c r="AT35" i="42" s="1"/>
  <c r="R35" i="42"/>
  <c r="V35" i="42" s="1"/>
  <c r="AC35" i="42" s="1"/>
  <c r="AC38" i="42" s="1"/>
  <c r="AO34" i="42"/>
  <c r="AN34" i="42"/>
  <c r="AM34" i="42"/>
  <c r="AL34" i="42"/>
  <c r="AK34" i="42"/>
  <c r="AJ34" i="42"/>
  <c r="AI34" i="42"/>
  <c r="AH34" i="42"/>
  <c r="AE34" i="42"/>
  <c r="AD34" i="42"/>
  <c r="Y34" i="42"/>
  <c r="X34" i="42"/>
  <c r="W34" i="42"/>
  <c r="U34" i="42"/>
  <c r="T34" i="42"/>
  <c r="S34" i="42"/>
  <c r="AY33" i="42"/>
  <c r="AQ33" i="42"/>
  <c r="AX33" i="42" s="1"/>
  <c r="AP33" i="42"/>
  <c r="AZ33" i="42" s="1"/>
  <c r="AO33" i="42"/>
  <c r="AF33" i="42"/>
  <c r="AW33" i="42" s="1"/>
  <c r="Z33" i="42"/>
  <c r="AT33" i="42" s="1"/>
  <c r="V33" i="42"/>
  <c r="R33" i="42"/>
  <c r="AY32" i="42"/>
  <c r="AP32" i="42"/>
  <c r="AQ32" i="42" s="1"/>
  <c r="AX32" i="42" s="1"/>
  <c r="AO32" i="42"/>
  <c r="AF32" i="42"/>
  <c r="AW32" i="42" s="1"/>
  <c r="AC32" i="42"/>
  <c r="AV32" i="42" s="1"/>
  <c r="Z32" i="42"/>
  <c r="AT32" i="42" s="1"/>
  <c r="V32" i="42"/>
  <c r="R32" i="42"/>
  <c r="AY31" i="42"/>
  <c r="AY34" i="42" s="1"/>
  <c r="AT31" i="42"/>
  <c r="AP31" i="42"/>
  <c r="AP34" i="42" s="1"/>
  <c r="AO31" i="42"/>
  <c r="AF31" i="42"/>
  <c r="AW31" i="42" s="1"/>
  <c r="AW34" i="42" s="1"/>
  <c r="AC31" i="42"/>
  <c r="AV31" i="42" s="1"/>
  <c r="AA31" i="42"/>
  <c r="Z31" i="42"/>
  <c r="V31" i="42"/>
  <c r="R31" i="42"/>
  <c r="R34" i="42" s="1"/>
  <c r="AN30" i="42"/>
  <c r="AM30" i="42"/>
  <c r="AL30" i="42"/>
  <c r="AK30" i="42"/>
  <c r="AJ30" i="42"/>
  <c r="AI30" i="42"/>
  <c r="AH30" i="42"/>
  <c r="AF30" i="42"/>
  <c r="AE30" i="42"/>
  <c r="AD30" i="42"/>
  <c r="Y30" i="42"/>
  <c r="X30" i="42"/>
  <c r="W30" i="42"/>
  <c r="U30" i="42"/>
  <c r="T30" i="42"/>
  <c r="S30" i="42"/>
  <c r="AW29" i="42"/>
  <c r="AQ29" i="42"/>
  <c r="AX29" i="42" s="1"/>
  <c r="AP29" i="42"/>
  <c r="AZ29" i="42" s="1"/>
  <c r="AO29" i="42"/>
  <c r="AY29" i="42" s="1"/>
  <c r="AF29" i="42"/>
  <c r="Z29" i="42"/>
  <c r="AT29" i="42" s="1"/>
  <c r="R29" i="42"/>
  <c r="V29" i="42" s="1"/>
  <c r="AW28" i="42"/>
  <c r="AP28" i="42"/>
  <c r="AZ28" i="42" s="1"/>
  <c r="AZ30" i="42" s="1"/>
  <c r="AO28" i="42"/>
  <c r="AY28" i="42" s="1"/>
  <c r="AF28" i="42"/>
  <c r="Z28" i="42"/>
  <c r="AT28" i="42" s="1"/>
  <c r="R28" i="42"/>
  <c r="V28" i="42" s="1"/>
  <c r="AW27" i="42"/>
  <c r="AP27" i="42"/>
  <c r="AZ27" i="42" s="1"/>
  <c r="AO27" i="42"/>
  <c r="AO30" i="42" s="1"/>
  <c r="AF27" i="42"/>
  <c r="Z27" i="42"/>
  <c r="Z30" i="42" s="1"/>
  <c r="R27" i="42"/>
  <c r="R30" i="42" s="1"/>
  <c r="AN26" i="42"/>
  <c r="AM26" i="42"/>
  <c r="AL26" i="42"/>
  <c r="AK26" i="42"/>
  <c r="AJ26" i="42"/>
  <c r="AI26" i="42"/>
  <c r="AH26" i="42"/>
  <c r="AE26" i="42"/>
  <c r="AD26" i="42"/>
  <c r="Z26" i="42"/>
  <c r="Y26" i="42"/>
  <c r="X26" i="42"/>
  <c r="W26" i="42"/>
  <c r="U26" i="42"/>
  <c r="T26" i="42"/>
  <c r="S26" i="42"/>
  <c r="R26" i="42"/>
  <c r="AW25" i="42"/>
  <c r="AT25" i="42"/>
  <c r="AP25" i="42"/>
  <c r="AZ25" i="42" s="1"/>
  <c r="AO25" i="42"/>
  <c r="AF25" i="42"/>
  <c r="Z25" i="42"/>
  <c r="V25" i="42"/>
  <c r="AB25" i="42" s="1"/>
  <c r="AU25" i="42" s="1"/>
  <c r="R25" i="42"/>
  <c r="AZ24" i="42"/>
  <c r="AW24" i="42"/>
  <c r="AT24" i="42"/>
  <c r="AP24" i="42"/>
  <c r="AO24" i="42"/>
  <c r="AF24" i="42"/>
  <c r="Z24" i="42"/>
  <c r="R24" i="42"/>
  <c r="V24" i="42" s="1"/>
  <c r="AZ23" i="42"/>
  <c r="AW23" i="42"/>
  <c r="AW26" i="42" s="1"/>
  <c r="AT23" i="42"/>
  <c r="AT26" i="42" s="1"/>
  <c r="AP23" i="42"/>
  <c r="AP26" i="42" s="1"/>
  <c r="AO23" i="42"/>
  <c r="AF23" i="42"/>
  <c r="AF26" i="42" s="1"/>
  <c r="Z23" i="42"/>
  <c r="R23" i="42"/>
  <c r="V23" i="42" s="1"/>
  <c r="AZ22" i="42"/>
  <c r="AT22" i="42"/>
  <c r="AP22" i="42"/>
  <c r="AN22" i="42"/>
  <c r="AM22" i="42"/>
  <c r="AL22" i="42"/>
  <c r="AK22" i="42"/>
  <c r="AJ22" i="42"/>
  <c r="AI22" i="42"/>
  <c r="AH22" i="42"/>
  <c r="AE22" i="42"/>
  <c r="AD22" i="42"/>
  <c r="AC22" i="42"/>
  <c r="Z22" i="42"/>
  <c r="Y22" i="42"/>
  <c r="X22" i="42"/>
  <c r="W22" i="42"/>
  <c r="U22" i="42"/>
  <c r="T22" i="42"/>
  <c r="S22" i="42"/>
  <c r="AZ21" i="42"/>
  <c r="AS21" i="42"/>
  <c r="AP21" i="42"/>
  <c r="AO21" i="42"/>
  <c r="AQ21" i="42" s="1"/>
  <c r="AX21" i="42" s="1"/>
  <c r="AF21" i="42"/>
  <c r="AW21" i="42" s="1"/>
  <c r="AB21" i="42"/>
  <c r="AU21" i="42" s="1"/>
  <c r="AA21" i="42"/>
  <c r="AG21" i="42" s="1"/>
  <c r="AR21" i="42" s="1"/>
  <c r="Z21" i="42"/>
  <c r="AT21" i="42" s="1"/>
  <c r="R21" i="42"/>
  <c r="V21" i="42" s="1"/>
  <c r="AC21" i="42" s="1"/>
  <c r="AV21" i="42" s="1"/>
  <c r="AZ20" i="42"/>
  <c r="AS20" i="42"/>
  <c r="AP20" i="42"/>
  <c r="AO20" i="42"/>
  <c r="AY20" i="42" s="1"/>
  <c r="AF20" i="42"/>
  <c r="AW20" i="42" s="1"/>
  <c r="AB20" i="42"/>
  <c r="AU20" i="42" s="1"/>
  <c r="AA20" i="42"/>
  <c r="AG20" i="42" s="1"/>
  <c r="AR20" i="42" s="1"/>
  <c r="Z20" i="42"/>
  <c r="AT20" i="42" s="1"/>
  <c r="R20" i="42"/>
  <c r="V20" i="42" s="1"/>
  <c r="AC20" i="42" s="1"/>
  <c r="AV20" i="42" s="1"/>
  <c r="AZ19" i="42"/>
  <c r="AS19" i="42"/>
  <c r="AS22" i="42" s="1"/>
  <c r="AP19" i="42"/>
  <c r="AO19" i="42"/>
  <c r="AQ19" i="42" s="1"/>
  <c r="AF19" i="42"/>
  <c r="AF22" i="42" s="1"/>
  <c r="AB19" i="42"/>
  <c r="AB22" i="42" s="1"/>
  <c r="AA19" i="42"/>
  <c r="AA22" i="42" s="1"/>
  <c r="Z19" i="42"/>
  <c r="AT19" i="42" s="1"/>
  <c r="R19" i="42"/>
  <c r="V19" i="42" s="1"/>
  <c r="AC19" i="42" s="1"/>
  <c r="AV19" i="42" s="1"/>
  <c r="AO18" i="42"/>
  <c r="AN18" i="42"/>
  <c r="AM18" i="42"/>
  <c r="AL18" i="42"/>
  <c r="AK18" i="42"/>
  <c r="AJ18" i="42"/>
  <c r="AI18" i="42"/>
  <c r="AH18" i="42"/>
  <c r="AE18" i="42"/>
  <c r="AD18" i="42"/>
  <c r="Y18" i="42"/>
  <c r="X18" i="42"/>
  <c r="W18" i="42"/>
  <c r="U18" i="42"/>
  <c r="T18" i="42"/>
  <c r="S18" i="42"/>
  <c r="AY17" i="42"/>
  <c r="AP17" i="42"/>
  <c r="AP209" i="42" s="1"/>
  <c r="AO17" i="42"/>
  <c r="AF17" i="42"/>
  <c r="AC17" i="42"/>
  <c r="Z17" i="42"/>
  <c r="V17" i="42"/>
  <c r="R17" i="42"/>
  <c r="AQ16" i="42"/>
  <c r="AX16" i="42" s="1"/>
  <c r="AP16" i="42"/>
  <c r="AZ16" i="42" s="1"/>
  <c r="AO16" i="42"/>
  <c r="AY16" i="42" s="1"/>
  <c r="AF16" i="42"/>
  <c r="AW16" i="42" s="1"/>
  <c r="Z16" i="42"/>
  <c r="AT16" i="42" s="1"/>
  <c r="R16" i="42"/>
  <c r="V16" i="42" s="1"/>
  <c r="AZ15" i="42"/>
  <c r="AY15" i="42"/>
  <c r="AQ15" i="42"/>
  <c r="AX15" i="42" s="1"/>
  <c r="AP15" i="42"/>
  <c r="AO15" i="42"/>
  <c r="AF15" i="42"/>
  <c r="AW15" i="42" s="1"/>
  <c r="Z15" i="42"/>
  <c r="AT15" i="42" s="1"/>
  <c r="R15" i="42"/>
  <c r="V15" i="42" s="1"/>
  <c r="AZ14" i="42"/>
  <c r="AY14" i="42"/>
  <c r="AQ14" i="42"/>
  <c r="AQ205" i="42" s="1"/>
  <c r="AP14" i="42"/>
  <c r="AP205" i="42" s="1"/>
  <c r="AO14" i="42"/>
  <c r="AO205" i="42" s="1"/>
  <c r="AF14" i="42"/>
  <c r="AF205" i="42" s="1"/>
  <c r="Z14" i="42"/>
  <c r="Z205" i="42" s="1"/>
  <c r="R14" i="42"/>
  <c r="R205" i="42" s="1"/>
  <c r="AZ13" i="42"/>
  <c r="AY13" i="42"/>
  <c r="AQ13" i="42"/>
  <c r="AX13" i="42" s="1"/>
  <c r="AP13" i="42"/>
  <c r="AO13" i="42"/>
  <c r="AF13" i="42"/>
  <c r="AW13" i="42" s="1"/>
  <c r="Z13" i="42"/>
  <c r="AT13" i="42" s="1"/>
  <c r="R13" i="42"/>
  <c r="V13" i="42" s="1"/>
  <c r="AZ12" i="42"/>
  <c r="AY12" i="42"/>
  <c r="AQ12" i="42"/>
  <c r="AP12" i="42"/>
  <c r="AO12" i="42"/>
  <c r="AF12" i="42"/>
  <c r="AF203" i="42" s="1"/>
  <c r="Z12" i="42"/>
  <c r="R12" i="42"/>
  <c r="AN156" i="41"/>
  <c r="AM156" i="41"/>
  <c r="AL156" i="41"/>
  <c r="AK156" i="41"/>
  <c r="AJ156" i="41"/>
  <c r="AI156" i="41"/>
  <c r="AH156" i="41"/>
  <c r="AE156" i="41"/>
  <c r="AD156" i="41"/>
  <c r="Y156" i="41"/>
  <c r="X156" i="41"/>
  <c r="W156" i="41"/>
  <c r="U156" i="41"/>
  <c r="T156" i="41"/>
  <c r="S156" i="41"/>
  <c r="Q156" i="41"/>
  <c r="P156" i="41"/>
  <c r="O156" i="41"/>
  <c r="N156" i="41"/>
  <c r="M156" i="41"/>
  <c r="L156" i="41"/>
  <c r="K156" i="41"/>
  <c r="J156" i="41"/>
  <c r="I156" i="41"/>
  <c r="AN155" i="41"/>
  <c r="AM155" i="41"/>
  <c r="AL155" i="41"/>
  <c r="AK155" i="41"/>
  <c r="AJ155" i="41"/>
  <c r="AI155" i="41"/>
  <c r="AH155" i="41"/>
  <c r="AE155" i="41"/>
  <c r="AD155" i="41"/>
  <c r="Y155" i="41"/>
  <c r="X155" i="41"/>
  <c r="W155" i="41"/>
  <c r="U155" i="41"/>
  <c r="T155" i="41"/>
  <c r="S155" i="41"/>
  <c r="Q155" i="41"/>
  <c r="P155" i="41"/>
  <c r="O155" i="41"/>
  <c r="N155" i="41"/>
  <c r="M155" i="41"/>
  <c r="L155" i="41"/>
  <c r="K155" i="41"/>
  <c r="J155" i="41"/>
  <c r="I155" i="41"/>
  <c r="AN154" i="41"/>
  <c r="AM154" i="41"/>
  <c r="AL154" i="41"/>
  <c r="AK154" i="41"/>
  <c r="AJ154" i="41"/>
  <c r="AI154" i="41"/>
  <c r="AH154" i="41"/>
  <c r="AE154" i="41"/>
  <c r="AD154" i="41"/>
  <c r="Y154" i="41"/>
  <c r="X154" i="41"/>
  <c r="W154" i="41"/>
  <c r="U154" i="41"/>
  <c r="T154" i="41"/>
  <c r="S154" i="41"/>
  <c r="Q154" i="41"/>
  <c r="P154" i="41"/>
  <c r="O154" i="41"/>
  <c r="N154" i="41"/>
  <c r="M154" i="41"/>
  <c r="L154" i="41"/>
  <c r="K154" i="41"/>
  <c r="J154" i="41"/>
  <c r="I154" i="41"/>
  <c r="AN153" i="41"/>
  <c r="AM153" i="41"/>
  <c r="AL153" i="41"/>
  <c r="AK153" i="41"/>
  <c r="AJ153" i="41"/>
  <c r="AI153" i="41"/>
  <c r="AH153" i="41"/>
  <c r="AE153" i="41"/>
  <c r="AD153" i="41"/>
  <c r="Y153" i="41"/>
  <c r="X153" i="41"/>
  <c r="W153" i="41"/>
  <c r="U153" i="41"/>
  <c r="T153" i="41"/>
  <c r="S153" i="41"/>
  <c r="Q153" i="41"/>
  <c r="P153" i="41"/>
  <c r="O153" i="41"/>
  <c r="N153" i="41"/>
  <c r="M153" i="41"/>
  <c r="L153" i="41"/>
  <c r="K153" i="41"/>
  <c r="J153" i="41"/>
  <c r="I153" i="41"/>
  <c r="AZ152" i="41"/>
  <c r="AY152" i="41"/>
  <c r="AX152" i="41"/>
  <c r="AW152" i="41"/>
  <c r="AV152" i="41"/>
  <c r="AU152" i="41"/>
  <c r="AT152" i="41"/>
  <c r="AS152" i="41"/>
  <c r="AR152" i="41"/>
  <c r="AQ152" i="41"/>
  <c r="AP152" i="41"/>
  <c r="AO152" i="41"/>
  <c r="AN152" i="41"/>
  <c r="AM152" i="41"/>
  <c r="AL152" i="41"/>
  <c r="AK152" i="41"/>
  <c r="AJ152" i="41"/>
  <c r="AI152" i="41"/>
  <c r="AH152" i="41"/>
  <c r="AG152" i="41"/>
  <c r="AF152" i="41"/>
  <c r="AE152" i="41"/>
  <c r="AD152" i="41"/>
  <c r="AC152" i="41"/>
  <c r="AB152" i="41"/>
  <c r="AA152" i="41"/>
  <c r="Z152" i="41"/>
  <c r="Y152" i="41"/>
  <c r="X152" i="41"/>
  <c r="W152" i="41"/>
  <c r="V152" i="41"/>
  <c r="U152" i="41"/>
  <c r="T152" i="41"/>
  <c r="S152" i="41"/>
  <c r="R152" i="41"/>
  <c r="Q152" i="41"/>
  <c r="P152" i="41"/>
  <c r="O152" i="41"/>
  <c r="N152" i="41"/>
  <c r="M152" i="41"/>
  <c r="L152" i="41"/>
  <c r="K152" i="41"/>
  <c r="J152" i="41"/>
  <c r="I152" i="41"/>
  <c r="AZ151" i="41"/>
  <c r="AY151" i="41"/>
  <c r="AX151" i="41"/>
  <c r="AW151" i="41"/>
  <c r="AV151" i="41"/>
  <c r="AU151" i="41"/>
  <c r="AT151" i="41"/>
  <c r="AS151" i="41"/>
  <c r="AR151" i="41"/>
  <c r="AQ151" i="41"/>
  <c r="AP151" i="41"/>
  <c r="AO151" i="41"/>
  <c r="AN151" i="41"/>
  <c r="AM151" i="41"/>
  <c r="AL151" i="41"/>
  <c r="AK151" i="41"/>
  <c r="AJ151" i="41"/>
  <c r="AI151" i="41"/>
  <c r="AH151" i="41"/>
  <c r="AG151" i="41"/>
  <c r="AF151" i="41"/>
  <c r="AE151" i="41"/>
  <c r="AD151" i="41"/>
  <c r="AC151" i="41"/>
  <c r="AB151" i="41"/>
  <c r="AA151" i="41"/>
  <c r="Z151" i="41"/>
  <c r="Y151" i="41"/>
  <c r="X151" i="41"/>
  <c r="W151" i="41"/>
  <c r="V151" i="41"/>
  <c r="U151" i="41"/>
  <c r="T151" i="41"/>
  <c r="S151" i="41"/>
  <c r="R151" i="41"/>
  <c r="Q151" i="41"/>
  <c r="P151" i="41"/>
  <c r="O151" i="41"/>
  <c r="N151" i="41"/>
  <c r="M151" i="41"/>
  <c r="L151" i="41"/>
  <c r="K151" i="41"/>
  <c r="J151" i="41"/>
  <c r="I151" i="41"/>
  <c r="AN150" i="41"/>
  <c r="AM150" i="41"/>
  <c r="AL150" i="41"/>
  <c r="AK150" i="41"/>
  <c r="AJ150" i="41"/>
  <c r="AI150" i="41"/>
  <c r="AH150" i="41"/>
  <c r="AE150" i="41"/>
  <c r="AD150" i="41"/>
  <c r="Y150" i="41"/>
  <c r="X150" i="41"/>
  <c r="W150" i="41"/>
  <c r="U150" i="41"/>
  <c r="T150" i="41"/>
  <c r="S150" i="41"/>
  <c r="Q150" i="41"/>
  <c r="P150" i="41"/>
  <c r="O150" i="41"/>
  <c r="N150" i="41"/>
  <c r="M150" i="41"/>
  <c r="L150" i="41"/>
  <c r="K150" i="41"/>
  <c r="J150" i="41"/>
  <c r="I150" i="41"/>
  <c r="AZ149" i="41"/>
  <c r="AY149" i="41"/>
  <c r="AX149" i="41"/>
  <c r="AW149" i="41"/>
  <c r="AV149" i="41"/>
  <c r="AU149" i="41"/>
  <c r="AT149" i="41"/>
  <c r="AS149" i="41"/>
  <c r="AR149" i="41"/>
  <c r="AQ149" i="41"/>
  <c r="AP149" i="41"/>
  <c r="AO149" i="41"/>
  <c r="AN149" i="41"/>
  <c r="AM149" i="41"/>
  <c r="AL149" i="41"/>
  <c r="AK149" i="41"/>
  <c r="AK146" i="41" s="1"/>
  <c r="AJ149" i="41"/>
  <c r="AI149" i="41"/>
  <c r="AH149" i="41"/>
  <c r="AG149" i="41"/>
  <c r="AF149" i="41"/>
  <c r="AE149" i="41"/>
  <c r="AD149" i="41"/>
  <c r="AC149" i="41"/>
  <c r="AB149" i="41"/>
  <c r="AA149" i="41"/>
  <c r="Z149" i="41"/>
  <c r="Y149" i="41"/>
  <c r="Y146" i="41" s="1"/>
  <c r="X149" i="41"/>
  <c r="W149" i="41"/>
  <c r="V149" i="41"/>
  <c r="U149" i="41"/>
  <c r="U146" i="41" s="1"/>
  <c r="T149" i="41"/>
  <c r="S149" i="41"/>
  <c r="R149" i="41"/>
  <c r="Q149" i="41"/>
  <c r="Q146" i="41" s="1"/>
  <c r="O145" i="41" s="1"/>
  <c r="P149" i="41"/>
  <c r="O149" i="41"/>
  <c r="N149" i="41"/>
  <c r="M149" i="41"/>
  <c r="M146" i="41" s="1"/>
  <c r="I145" i="41" s="1"/>
  <c r="L149" i="41"/>
  <c r="K149" i="41"/>
  <c r="J149" i="41"/>
  <c r="I149" i="41"/>
  <c r="I146" i="41" s="1"/>
  <c r="AN148" i="41"/>
  <c r="AM148" i="41"/>
  <c r="AL148" i="41"/>
  <c r="AK148" i="41"/>
  <c r="AJ148" i="41"/>
  <c r="AI148" i="41"/>
  <c r="AH148" i="41"/>
  <c r="AE148" i="41"/>
  <c r="AD148" i="41"/>
  <c r="Y148" i="41"/>
  <c r="X148" i="41"/>
  <c r="W148" i="41"/>
  <c r="U148" i="41"/>
  <c r="T148" i="41"/>
  <c r="S148" i="41"/>
  <c r="Q148" i="41"/>
  <c r="P148" i="41"/>
  <c r="O148" i="41"/>
  <c r="N148" i="41"/>
  <c r="M148" i="41"/>
  <c r="L148" i="41"/>
  <c r="K148" i="41"/>
  <c r="J148" i="41"/>
  <c r="I148" i="41"/>
  <c r="AN147" i="41"/>
  <c r="AM147" i="41"/>
  <c r="AL147" i="41"/>
  <c r="AL146" i="41" s="1"/>
  <c r="AK147" i="41"/>
  <c r="AJ147" i="41"/>
  <c r="AI147" i="41"/>
  <c r="AH147" i="41"/>
  <c r="AH146" i="41" s="1"/>
  <c r="AE147" i="41"/>
  <c r="AD147" i="41"/>
  <c r="AD146" i="41" s="1"/>
  <c r="AF145" i="41" s="1"/>
  <c r="Y147" i="41"/>
  <c r="X147" i="41"/>
  <c r="W147" i="41"/>
  <c r="U147" i="41"/>
  <c r="T147" i="41"/>
  <c r="S147" i="41"/>
  <c r="Q147" i="41"/>
  <c r="P147" i="41"/>
  <c r="O147" i="41"/>
  <c r="O146" i="41" s="1"/>
  <c r="N147" i="41"/>
  <c r="M147" i="41"/>
  <c r="L147" i="41"/>
  <c r="K147" i="41"/>
  <c r="K146" i="41" s="1"/>
  <c r="J147" i="41"/>
  <c r="I147" i="41"/>
  <c r="AN146" i="41"/>
  <c r="AM146" i="41"/>
  <c r="AJ146" i="41"/>
  <c r="AI146" i="41"/>
  <c r="AE146" i="41"/>
  <c r="X146" i="41"/>
  <c r="W146" i="41"/>
  <c r="T146" i="41"/>
  <c r="S146" i="41"/>
  <c r="P146" i="41"/>
  <c r="N146" i="41"/>
  <c r="L146" i="41"/>
  <c r="J146" i="41"/>
  <c r="AP145" i="41"/>
  <c r="AO145" i="41"/>
  <c r="AP144" i="41"/>
  <c r="AO144" i="41"/>
  <c r="Q143" i="41"/>
  <c r="P143" i="41"/>
  <c r="O143" i="41"/>
  <c r="N143" i="41"/>
  <c r="M143" i="41"/>
  <c r="L143" i="41"/>
  <c r="K143" i="41"/>
  <c r="I144" i="41" s="1"/>
  <c r="J143" i="41"/>
  <c r="I143" i="41"/>
  <c r="AO142" i="41"/>
  <c r="AN142" i="41"/>
  <c r="AM142" i="41"/>
  <c r="AL142" i="41"/>
  <c r="AK142" i="41"/>
  <c r="AJ142" i="41"/>
  <c r="AI142" i="41"/>
  <c r="AH142" i="41"/>
  <c r="AF142" i="41"/>
  <c r="AE142" i="41"/>
  <c r="AD142" i="41"/>
  <c r="Y142" i="41"/>
  <c r="X142" i="41"/>
  <c r="W142" i="41"/>
  <c r="U142" i="41"/>
  <c r="T142" i="41"/>
  <c r="S142" i="41"/>
  <c r="AZ141" i="41"/>
  <c r="AY141" i="41"/>
  <c r="AP141" i="41"/>
  <c r="AQ141" i="41" s="1"/>
  <c r="AX141" i="41" s="1"/>
  <c r="AO141" i="41"/>
  <c r="AF141" i="41"/>
  <c r="AW141" i="41" s="1"/>
  <c r="AC141" i="41"/>
  <c r="AV141" i="41" s="1"/>
  <c r="Z141" i="41"/>
  <c r="V141" i="41"/>
  <c r="R141" i="41"/>
  <c r="AY140" i="41"/>
  <c r="AV140" i="41"/>
  <c r="AT140" i="41"/>
  <c r="AP140" i="41"/>
  <c r="AO140" i="41"/>
  <c r="AF140" i="41"/>
  <c r="AW140" i="41" s="1"/>
  <c r="AC140" i="41"/>
  <c r="AA140" i="41"/>
  <c r="Z140" i="41"/>
  <c r="V140" i="41"/>
  <c r="R140" i="41"/>
  <c r="AY139" i="41"/>
  <c r="AV139" i="41"/>
  <c r="AP139" i="41"/>
  <c r="AO139" i="41"/>
  <c r="AF139" i="41"/>
  <c r="AW139" i="41" s="1"/>
  <c r="AC139" i="41"/>
  <c r="Z139" i="41"/>
  <c r="AT139" i="41" s="1"/>
  <c r="V139" i="41"/>
  <c r="R139" i="41"/>
  <c r="AY138" i="41"/>
  <c r="AX138" i="41"/>
  <c r="AQ138" i="41"/>
  <c r="AP138" i="41"/>
  <c r="AZ138" i="41" s="1"/>
  <c r="AO138" i="41"/>
  <c r="AF138" i="41"/>
  <c r="AW138" i="41" s="1"/>
  <c r="Z138" i="41"/>
  <c r="AT138" i="41" s="1"/>
  <c r="V138" i="41"/>
  <c r="R138" i="41"/>
  <c r="AY137" i="41"/>
  <c r="AP137" i="41"/>
  <c r="AO137" i="41"/>
  <c r="AF137" i="41"/>
  <c r="AW137" i="41" s="1"/>
  <c r="AC137" i="41"/>
  <c r="AV137" i="41" s="1"/>
  <c r="AA137" i="41"/>
  <c r="Z137" i="41"/>
  <c r="AT137" i="41" s="1"/>
  <c r="V137" i="41"/>
  <c r="R137" i="41"/>
  <c r="AZ136" i="41"/>
  <c r="AY136" i="41"/>
  <c r="AT136" i="41"/>
  <c r="AP136" i="41"/>
  <c r="AO136" i="41"/>
  <c r="AF136" i="41"/>
  <c r="AW136" i="41" s="1"/>
  <c r="AW142" i="41" s="1"/>
  <c r="Z136" i="41"/>
  <c r="V136" i="41"/>
  <c r="R136" i="41"/>
  <c r="R142" i="41" s="1"/>
  <c r="AN135" i="41"/>
  <c r="AM135" i="41"/>
  <c r="AL135" i="41"/>
  <c r="AK135" i="41"/>
  <c r="AJ135" i="41"/>
  <c r="AI135" i="41"/>
  <c r="AH135" i="41"/>
  <c r="AF135" i="41"/>
  <c r="AE135" i="41"/>
  <c r="AD135" i="41"/>
  <c r="Y135" i="41"/>
  <c r="X135" i="41"/>
  <c r="W135" i="41"/>
  <c r="U135" i="41"/>
  <c r="T135" i="41"/>
  <c r="S135" i="41"/>
  <c r="AY134" i="41"/>
  <c r="AX134" i="41"/>
  <c r="AW134" i="41"/>
  <c r="AT134" i="41"/>
  <c r="AS134" i="41"/>
  <c r="AP134" i="41"/>
  <c r="AZ134" i="41" s="1"/>
  <c r="AO134" i="41"/>
  <c r="AQ134" i="41" s="1"/>
  <c r="AF134" i="41"/>
  <c r="Z134" i="41"/>
  <c r="R134" i="41"/>
  <c r="V134" i="41" s="1"/>
  <c r="AZ133" i="41"/>
  <c r="AW133" i="41"/>
  <c r="AT133" i="41"/>
  <c r="AP133" i="41"/>
  <c r="AO133" i="41"/>
  <c r="AF133" i="41"/>
  <c r="AA133" i="41"/>
  <c r="Z133" i="41"/>
  <c r="R133" i="41"/>
  <c r="V133" i="41" s="1"/>
  <c r="AC133" i="41" s="1"/>
  <c r="AV133" i="41" s="1"/>
  <c r="AW132" i="41"/>
  <c r="AT132" i="41"/>
  <c r="AP132" i="41"/>
  <c r="AZ132" i="41" s="1"/>
  <c r="AO132" i="41"/>
  <c r="AF132" i="41"/>
  <c r="Z132" i="41"/>
  <c r="V132" i="41"/>
  <c r="R132" i="41"/>
  <c r="AW131" i="41"/>
  <c r="AW135" i="41" s="1"/>
  <c r="AT131" i="41"/>
  <c r="AP131" i="41"/>
  <c r="AZ131" i="41" s="1"/>
  <c r="AO131" i="41"/>
  <c r="AF131" i="41"/>
  <c r="Z131" i="41"/>
  <c r="Z135" i="41" s="1"/>
  <c r="V131" i="41"/>
  <c r="R131" i="41"/>
  <c r="AZ130" i="41"/>
  <c r="AP130" i="41"/>
  <c r="AN130" i="41"/>
  <c r="AM130" i="41"/>
  <c r="AL130" i="41"/>
  <c r="AK130" i="41"/>
  <c r="AJ130" i="41"/>
  <c r="AI130" i="41"/>
  <c r="AH130" i="41"/>
  <c r="AE130" i="41"/>
  <c r="AD130" i="41"/>
  <c r="Y130" i="41"/>
  <c r="X130" i="41"/>
  <c r="W130" i="41"/>
  <c r="U130" i="41"/>
  <c r="T130" i="41"/>
  <c r="S130" i="41"/>
  <c r="AZ129" i="41"/>
  <c r="AQ129" i="41"/>
  <c r="AX129" i="41" s="1"/>
  <c r="AP129" i="41"/>
  <c r="AO129" i="41"/>
  <c r="AY129" i="41" s="1"/>
  <c r="AF129" i="41"/>
  <c r="AW129" i="41" s="1"/>
  <c r="Z129" i="41"/>
  <c r="AT129" i="41" s="1"/>
  <c r="R129" i="41"/>
  <c r="V129" i="41" s="1"/>
  <c r="AZ128" i="41"/>
  <c r="AW128" i="41"/>
  <c r="AQ128" i="41"/>
  <c r="AX128" i="41" s="1"/>
  <c r="AP128" i="41"/>
  <c r="AO128" i="41"/>
  <c r="AY128" i="41" s="1"/>
  <c r="AF128" i="41"/>
  <c r="Z128" i="41"/>
  <c r="AT128" i="41" s="1"/>
  <c r="R128" i="41"/>
  <c r="V128" i="41" s="1"/>
  <c r="AZ127" i="41"/>
  <c r="AQ127" i="41"/>
  <c r="AP127" i="41"/>
  <c r="AO127" i="41"/>
  <c r="AO130" i="41" s="1"/>
  <c r="AF127" i="41"/>
  <c r="Z127" i="41"/>
  <c r="AT127" i="41" s="1"/>
  <c r="R127" i="41"/>
  <c r="AO126" i="41"/>
  <c r="AN126" i="41"/>
  <c r="AM126" i="41"/>
  <c r="AL126" i="41"/>
  <c r="AK126" i="41"/>
  <c r="AJ126" i="41"/>
  <c r="AI126" i="41"/>
  <c r="AH126" i="41"/>
  <c r="AE126" i="41"/>
  <c r="AD126" i="41"/>
  <c r="Y126" i="41"/>
  <c r="X126" i="41"/>
  <c r="W126" i="41"/>
  <c r="U126" i="41"/>
  <c r="T126" i="41"/>
  <c r="S126" i="41"/>
  <c r="AY125" i="41"/>
  <c r="AX125" i="41"/>
  <c r="AP125" i="41"/>
  <c r="AQ125" i="41" s="1"/>
  <c r="AO125" i="41"/>
  <c r="AF125" i="41"/>
  <c r="AW125" i="41" s="1"/>
  <c r="AC125" i="41"/>
  <c r="AV125" i="41" s="1"/>
  <c r="Z125" i="41"/>
  <c r="V125" i="41"/>
  <c r="R125" i="41"/>
  <c r="AY124" i="41"/>
  <c r="AT124" i="41"/>
  <c r="AP124" i="41"/>
  <c r="AQ124" i="41" s="1"/>
  <c r="AX124" i="41" s="1"/>
  <c r="AO124" i="41"/>
  <c r="AF124" i="41"/>
  <c r="AW124" i="41" s="1"/>
  <c r="AC124" i="41"/>
  <c r="AV124" i="41" s="1"/>
  <c r="AA124" i="41"/>
  <c r="Z124" i="41"/>
  <c r="V124" i="41"/>
  <c r="R124" i="41"/>
  <c r="AY123" i="41"/>
  <c r="AP123" i="41"/>
  <c r="AO123" i="41"/>
  <c r="AF123" i="41"/>
  <c r="AW123" i="41" s="1"/>
  <c r="Z123" i="41"/>
  <c r="AT123" i="41" s="1"/>
  <c r="V123" i="41"/>
  <c r="R123" i="41"/>
  <c r="AY122" i="41"/>
  <c r="AX122" i="41"/>
  <c r="AQ122" i="41"/>
  <c r="AP122" i="41"/>
  <c r="AZ122" i="41" s="1"/>
  <c r="AO122" i="41"/>
  <c r="AF122" i="41"/>
  <c r="AW122" i="41" s="1"/>
  <c r="Z122" i="41"/>
  <c r="AT122" i="41" s="1"/>
  <c r="V122" i="41"/>
  <c r="R122" i="41"/>
  <c r="AY121" i="41"/>
  <c r="AX121" i="41"/>
  <c r="AT121" i="41"/>
  <c r="AP121" i="41"/>
  <c r="AQ121" i="41" s="1"/>
  <c r="AO121" i="41"/>
  <c r="AF121" i="41"/>
  <c r="AW121" i="41" s="1"/>
  <c r="AC121" i="41"/>
  <c r="AV121" i="41" s="1"/>
  <c r="AA121" i="41"/>
  <c r="Z121" i="41"/>
  <c r="V121" i="41"/>
  <c r="R121" i="41"/>
  <c r="AZ120" i="41"/>
  <c r="AY120" i="41"/>
  <c r="AT120" i="41"/>
  <c r="AP120" i="41"/>
  <c r="AQ120" i="41" s="1"/>
  <c r="AX120" i="41" s="1"/>
  <c r="AO120" i="41"/>
  <c r="AF120" i="41"/>
  <c r="AW120" i="41" s="1"/>
  <c r="AC120" i="41"/>
  <c r="AV120" i="41" s="1"/>
  <c r="AA120" i="41"/>
  <c r="Z120" i="41"/>
  <c r="V120" i="41"/>
  <c r="R120" i="41"/>
  <c r="AZ119" i="41"/>
  <c r="AY119" i="41"/>
  <c r="AP119" i="41"/>
  <c r="AO119" i="41"/>
  <c r="AF119" i="41"/>
  <c r="AC119" i="41"/>
  <c r="Z119" i="41"/>
  <c r="V119" i="41"/>
  <c r="R119" i="41"/>
  <c r="R126" i="41" s="1"/>
  <c r="AN118" i="41"/>
  <c r="AM118" i="41"/>
  <c r="AL118" i="41"/>
  <c r="AK118" i="41"/>
  <c r="AJ118" i="41"/>
  <c r="AI118" i="41"/>
  <c r="AH118" i="41"/>
  <c r="AE118" i="41"/>
  <c r="AD118" i="41"/>
  <c r="Y118" i="41"/>
  <c r="X118" i="41"/>
  <c r="W118" i="41"/>
  <c r="U118" i="41"/>
  <c r="T118" i="41"/>
  <c r="S118" i="41"/>
  <c r="R118" i="41"/>
  <c r="AY117" i="41"/>
  <c r="AT117" i="41"/>
  <c r="AS117" i="41"/>
  <c r="AP117" i="41"/>
  <c r="AZ117" i="41" s="1"/>
  <c r="AO117" i="41"/>
  <c r="AQ117" i="41" s="1"/>
  <c r="AX117" i="41" s="1"/>
  <c r="AF117" i="41"/>
  <c r="AW117" i="41" s="1"/>
  <c r="AB117" i="41"/>
  <c r="AU117" i="41" s="1"/>
  <c r="Z117" i="41"/>
  <c r="V117" i="41"/>
  <c r="R117" i="41"/>
  <c r="AT116" i="41"/>
  <c r="AS116" i="41"/>
  <c r="AP116" i="41"/>
  <c r="AZ116" i="41" s="1"/>
  <c r="AO116" i="41"/>
  <c r="AQ116" i="41" s="1"/>
  <c r="AX116" i="41" s="1"/>
  <c r="AF116" i="41"/>
  <c r="AW116" i="41" s="1"/>
  <c r="Z116" i="41"/>
  <c r="R116" i="41"/>
  <c r="V116" i="41" s="1"/>
  <c r="AS115" i="41"/>
  <c r="AP115" i="41"/>
  <c r="AZ115" i="41" s="1"/>
  <c r="AO115" i="41"/>
  <c r="AY115" i="41" s="1"/>
  <c r="AF115" i="41"/>
  <c r="AW115" i="41" s="1"/>
  <c r="Z115" i="41"/>
  <c r="AT115" i="41" s="1"/>
  <c r="V115" i="41"/>
  <c r="R115" i="41"/>
  <c r="AW114" i="41"/>
  <c r="AU114" i="41"/>
  <c r="AP114" i="41"/>
  <c r="AZ114" i="41" s="1"/>
  <c r="AO114" i="41"/>
  <c r="AF114" i="41"/>
  <c r="AC114" i="41"/>
  <c r="AV114" i="41" s="1"/>
  <c r="AB114" i="41"/>
  <c r="Z114" i="41"/>
  <c r="AT114" i="41" s="1"/>
  <c r="R114" i="41"/>
  <c r="V114" i="41" s="1"/>
  <c r="AP113" i="41"/>
  <c r="AZ113" i="41" s="1"/>
  <c r="AO113" i="41"/>
  <c r="AF113" i="41"/>
  <c r="AW113" i="41" s="1"/>
  <c r="Z113" i="41"/>
  <c r="AT113" i="41" s="1"/>
  <c r="V113" i="41"/>
  <c r="R113" i="41"/>
  <c r="AY112" i="41"/>
  <c r="AW112" i="41"/>
  <c r="AQ112" i="41"/>
  <c r="AP112" i="41"/>
  <c r="AZ112" i="41" s="1"/>
  <c r="AZ118" i="41" s="1"/>
  <c r="AO112" i="41"/>
  <c r="AF112" i="41"/>
  <c r="AC112" i="41"/>
  <c r="Z112" i="41"/>
  <c r="R112" i="41"/>
  <c r="V112" i="41" s="1"/>
  <c r="AN111" i="41"/>
  <c r="AM111" i="41"/>
  <c r="AL111" i="41"/>
  <c r="AK111" i="41"/>
  <c r="AJ111" i="41"/>
  <c r="AI111" i="41"/>
  <c r="AH111" i="41"/>
  <c r="AE111" i="41"/>
  <c r="AD111" i="41"/>
  <c r="Y111" i="41"/>
  <c r="X111" i="41"/>
  <c r="W111" i="41"/>
  <c r="U111" i="41"/>
  <c r="T111" i="41"/>
  <c r="S111" i="41"/>
  <c r="AZ110" i="41"/>
  <c r="AW110" i="41"/>
  <c r="AT110" i="41"/>
  <c r="AP110" i="41"/>
  <c r="AO110" i="41"/>
  <c r="AF110" i="41"/>
  <c r="AB110" i="41"/>
  <c r="AU110" i="41" s="1"/>
  <c r="Z110" i="41"/>
  <c r="R110" i="41"/>
  <c r="V110" i="41" s="1"/>
  <c r="AZ109" i="41"/>
  <c r="AW109" i="41"/>
  <c r="AT109" i="41"/>
  <c r="AP109" i="41"/>
  <c r="AO109" i="41"/>
  <c r="AF109" i="41"/>
  <c r="Z109" i="41"/>
  <c r="R109" i="41"/>
  <c r="V109" i="41" s="1"/>
  <c r="AW108" i="41"/>
  <c r="AV108" i="41"/>
  <c r="AT108" i="41"/>
  <c r="AP108" i="41"/>
  <c r="AZ108" i="41" s="1"/>
  <c r="AO108" i="41"/>
  <c r="AF108" i="41"/>
  <c r="AC108" i="41"/>
  <c r="AA108" i="41"/>
  <c r="AG108" i="41" s="1"/>
  <c r="AR108" i="41" s="1"/>
  <c r="Z108" i="41"/>
  <c r="V108" i="41"/>
  <c r="AB108" i="41" s="1"/>
  <c r="AU108" i="41" s="1"/>
  <c r="R108" i="41"/>
  <c r="AZ107" i="41"/>
  <c r="AW107" i="41"/>
  <c r="AT107" i="41"/>
  <c r="AS107" i="41"/>
  <c r="AP107" i="41"/>
  <c r="AO107" i="41"/>
  <c r="AG107" i="41"/>
  <c r="AR107" i="41" s="1"/>
  <c r="AF107" i="41"/>
  <c r="AB107" i="41"/>
  <c r="AU107" i="41" s="1"/>
  <c r="AA107" i="41"/>
  <c r="Z107" i="41"/>
  <c r="R107" i="41"/>
  <c r="V107" i="41" s="1"/>
  <c r="AC107" i="41" s="1"/>
  <c r="AV107" i="41" s="1"/>
  <c r="AZ106" i="41"/>
  <c r="AX106" i="41"/>
  <c r="AQ106" i="41"/>
  <c r="AP106" i="41"/>
  <c r="AO106" i="41"/>
  <c r="AY106" i="41" s="1"/>
  <c r="AF106" i="41"/>
  <c r="AW106" i="41" s="1"/>
  <c r="Z106" i="41"/>
  <c r="AT106" i="41" s="1"/>
  <c r="V106" i="41"/>
  <c r="R106" i="41"/>
  <c r="AY105" i="41"/>
  <c r="AX105" i="41"/>
  <c r="AT105" i="41"/>
  <c r="AT111" i="41" s="1"/>
  <c r="AP105" i="41"/>
  <c r="AQ105" i="41" s="1"/>
  <c r="AO105" i="41"/>
  <c r="AO111" i="41" s="1"/>
  <c r="AF105" i="41"/>
  <c r="AC105" i="41"/>
  <c r="AV105" i="41" s="1"/>
  <c r="Z105" i="41"/>
  <c r="V105" i="41"/>
  <c r="R105" i="41"/>
  <c r="AN104" i="41"/>
  <c r="AM104" i="41"/>
  <c r="AL104" i="41"/>
  <c r="AK104" i="41"/>
  <c r="AJ104" i="41"/>
  <c r="AI104" i="41"/>
  <c r="AH104" i="41"/>
  <c r="AF104" i="41"/>
  <c r="AE104" i="41"/>
  <c r="AD104" i="41"/>
  <c r="Z104" i="41"/>
  <c r="Y104" i="41"/>
  <c r="X104" i="41"/>
  <c r="W104" i="41"/>
  <c r="U104" i="41"/>
  <c r="T104" i="41"/>
  <c r="S104" i="41"/>
  <c r="R104" i="41"/>
  <c r="AW103" i="41"/>
  <c r="AP103" i="41"/>
  <c r="AZ103" i="41" s="1"/>
  <c r="AZ104" i="41" s="1"/>
  <c r="AO103" i="41"/>
  <c r="AY103" i="41" s="1"/>
  <c r="AF103" i="41"/>
  <c r="AC103" i="41"/>
  <c r="AV103" i="41" s="1"/>
  <c r="AB103" i="41"/>
  <c r="AU103" i="41" s="1"/>
  <c r="Z103" i="41"/>
  <c r="AT103" i="41" s="1"/>
  <c r="R103" i="41"/>
  <c r="V103" i="41" s="1"/>
  <c r="AW102" i="41"/>
  <c r="AP102" i="41"/>
  <c r="AZ102" i="41" s="1"/>
  <c r="AO102" i="41"/>
  <c r="AF102" i="41"/>
  <c r="Z102" i="41"/>
  <c r="AT102" i="41" s="1"/>
  <c r="AT104" i="41" s="1"/>
  <c r="R102" i="41"/>
  <c r="V102" i="41" s="1"/>
  <c r="AO101" i="41"/>
  <c r="AN101" i="41"/>
  <c r="AM101" i="41"/>
  <c r="AL101" i="41"/>
  <c r="AK101" i="41"/>
  <c r="AJ101" i="41"/>
  <c r="AI101" i="41"/>
  <c r="AH101" i="41"/>
  <c r="AE101" i="41"/>
  <c r="AD101" i="41"/>
  <c r="Z101" i="41"/>
  <c r="Y101" i="41"/>
  <c r="X101" i="41"/>
  <c r="W101" i="41"/>
  <c r="U101" i="41"/>
  <c r="T101" i="41"/>
  <c r="S101" i="41"/>
  <c r="R101" i="41"/>
  <c r="AW100" i="41"/>
  <c r="AT100" i="41"/>
  <c r="AP100" i="41"/>
  <c r="AZ100" i="41" s="1"/>
  <c r="AO100" i="41"/>
  <c r="AF100" i="41"/>
  <c r="AC100" i="41"/>
  <c r="AV100" i="41" s="1"/>
  <c r="Z100" i="41"/>
  <c r="V100" i="41"/>
  <c r="R100" i="41"/>
  <c r="AZ99" i="41"/>
  <c r="AW99" i="41"/>
  <c r="AT99" i="41"/>
  <c r="AS99" i="41"/>
  <c r="AP99" i="41"/>
  <c r="AO99" i="41"/>
  <c r="AF99" i="41"/>
  <c r="Z99" i="41"/>
  <c r="R99" i="41"/>
  <c r="V99" i="41" s="1"/>
  <c r="AZ98" i="41"/>
  <c r="AZ101" i="41" s="1"/>
  <c r="AW98" i="41"/>
  <c r="AW101" i="41" s="1"/>
  <c r="AT98" i="41"/>
  <c r="AT101" i="41" s="1"/>
  <c r="AP98" i="41"/>
  <c r="AP101" i="41" s="1"/>
  <c r="AO98" i="41"/>
  <c r="AG98" i="41"/>
  <c r="AR98" i="41" s="1"/>
  <c r="AF98" i="41"/>
  <c r="AF101" i="41" s="1"/>
  <c r="AB98" i="41"/>
  <c r="AA98" i="41"/>
  <c r="Z98" i="41"/>
  <c r="R98" i="41"/>
  <c r="V98" i="41" s="1"/>
  <c r="AC98" i="41" s="1"/>
  <c r="AZ97" i="41"/>
  <c r="AP97" i="41"/>
  <c r="AN97" i="41"/>
  <c r="AM97" i="41"/>
  <c r="AL97" i="41"/>
  <c r="AK97" i="41"/>
  <c r="AJ97" i="41"/>
  <c r="AI97" i="41"/>
  <c r="AH97" i="41"/>
  <c r="AE97" i="41"/>
  <c r="AD97" i="41"/>
  <c r="Z97" i="41"/>
  <c r="Y97" i="41"/>
  <c r="X97" i="41"/>
  <c r="W97" i="41"/>
  <c r="U97" i="41"/>
  <c r="T97" i="41"/>
  <c r="S97" i="41"/>
  <c r="AZ96" i="41"/>
  <c r="AZ156" i="41" s="1"/>
  <c r="AP96" i="41"/>
  <c r="AP156" i="41" s="1"/>
  <c r="AO96" i="41"/>
  <c r="AF96" i="41"/>
  <c r="AF156" i="41" s="1"/>
  <c r="Z96" i="41"/>
  <c r="R96" i="41"/>
  <c r="AO95" i="41"/>
  <c r="AN95" i="41"/>
  <c r="AM95" i="41"/>
  <c r="AL95" i="41"/>
  <c r="AK95" i="41"/>
  <c r="AJ95" i="41"/>
  <c r="AI95" i="41"/>
  <c r="AH95" i="41"/>
  <c r="AE95" i="41"/>
  <c r="AD95" i="41"/>
  <c r="Y95" i="41"/>
  <c r="X95" i="41"/>
  <c r="W95" i="41"/>
  <c r="U95" i="41"/>
  <c r="T95" i="41"/>
  <c r="S95" i="41"/>
  <c r="AZ94" i="41"/>
  <c r="AY94" i="41"/>
  <c r="AQ94" i="41"/>
  <c r="AX94" i="41" s="1"/>
  <c r="AP94" i="41"/>
  <c r="AO94" i="41"/>
  <c r="AF94" i="41"/>
  <c r="AW94" i="41" s="1"/>
  <c r="AC94" i="41"/>
  <c r="AV94" i="41" s="1"/>
  <c r="Z94" i="41"/>
  <c r="AT94" i="41" s="1"/>
  <c r="V94" i="41"/>
  <c r="R94" i="41"/>
  <c r="AY93" i="41"/>
  <c r="AQ93" i="41"/>
  <c r="AX93" i="41" s="1"/>
  <c r="AP93" i="41"/>
  <c r="AZ93" i="41" s="1"/>
  <c r="AO93" i="41"/>
  <c r="AF93" i="41"/>
  <c r="AW93" i="41" s="1"/>
  <c r="Z93" i="41"/>
  <c r="AT93" i="41" s="1"/>
  <c r="V93" i="41"/>
  <c r="R93" i="41"/>
  <c r="AY92" i="41"/>
  <c r="AP92" i="41"/>
  <c r="AQ92" i="41" s="1"/>
  <c r="AX92" i="41" s="1"/>
  <c r="AO92" i="41"/>
  <c r="AF92" i="41"/>
  <c r="AW92" i="41" s="1"/>
  <c r="AC92" i="41"/>
  <c r="AV92" i="41" s="1"/>
  <c r="Z92" i="41"/>
  <c r="AA92" i="41" s="1"/>
  <c r="V92" i="41"/>
  <c r="R92" i="41"/>
  <c r="AY91" i="41"/>
  <c r="AY95" i="41" s="1"/>
  <c r="AT91" i="41"/>
  <c r="AP91" i="41"/>
  <c r="AQ91" i="41" s="1"/>
  <c r="AX91" i="41" s="1"/>
  <c r="AO91" i="41"/>
  <c r="AF91" i="41"/>
  <c r="AW91" i="41" s="1"/>
  <c r="AC91" i="41"/>
  <c r="AV91" i="41" s="1"/>
  <c r="AA91" i="41"/>
  <c r="Z91" i="41"/>
  <c r="V91" i="41"/>
  <c r="R91" i="41"/>
  <c r="AZ90" i="41"/>
  <c r="AY90" i="41"/>
  <c r="AQ90" i="41"/>
  <c r="AP90" i="41"/>
  <c r="AP95" i="41" s="1"/>
  <c r="AO90" i="41"/>
  <c r="AF90" i="41"/>
  <c r="Z90" i="41"/>
  <c r="V90" i="41"/>
  <c r="R90" i="41"/>
  <c r="R95" i="41" s="1"/>
  <c r="AN89" i="41"/>
  <c r="AM89" i="41"/>
  <c r="AL89" i="41"/>
  <c r="AK89" i="41"/>
  <c r="AJ89" i="41"/>
  <c r="AI89" i="41"/>
  <c r="AH89" i="41"/>
  <c r="AE89" i="41"/>
  <c r="AD89" i="41"/>
  <c r="Z89" i="41"/>
  <c r="Y89" i="41"/>
  <c r="X89" i="41"/>
  <c r="W89" i="41"/>
  <c r="U89" i="41"/>
  <c r="T89" i="41"/>
  <c r="S89" i="41"/>
  <c r="AW88" i="41"/>
  <c r="AT88" i="41"/>
  <c r="AP88" i="41"/>
  <c r="AZ88" i="41" s="1"/>
  <c r="AO88" i="41"/>
  <c r="AF88" i="41"/>
  <c r="Z88" i="41"/>
  <c r="V88" i="41"/>
  <c r="R88" i="41"/>
  <c r="AW87" i="41"/>
  <c r="AT87" i="41"/>
  <c r="AP87" i="41"/>
  <c r="AZ87" i="41" s="1"/>
  <c r="AO87" i="41"/>
  <c r="AF87" i="41"/>
  <c r="Z87" i="41"/>
  <c r="V87" i="41"/>
  <c r="R87" i="41"/>
  <c r="AW86" i="41"/>
  <c r="AW89" i="41" s="1"/>
  <c r="AT86" i="41"/>
  <c r="AT89" i="41" s="1"/>
  <c r="AP86" i="41"/>
  <c r="AZ86" i="41" s="1"/>
  <c r="AZ89" i="41" s="1"/>
  <c r="AO86" i="41"/>
  <c r="AF86" i="41"/>
  <c r="AF89" i="41" s="1"/>
  <c r="Z86" i="41"/>
  <c r="V86" i="41"/>
  <c r="R86" i="41"/>
  <c r="R89" i="41" s="1"/>
  <c r="AT85" i="41"/>
  <c r="AP85" i="41"/>
  <c r="AN85" i="41"/>
  <c r="AM85" i="41"/>
  <c r="AL85" i="41"/>
  <c r="AK85" i="41"/>
  <c r="AJ85" i="41"/>
  <c r="AI85" i="41"/>
  <c r="AH85" i="41"/>
  <c r="AE85" i="41"/>
  <c r="AD85" i="41"/>
  <c r="Z85" i="41"/>
  <c r="Y85" i="41"/>
  <c r="X85" i="41"/>
  <c r="W85" i="41"/>
  <c r="U85" i="41"/>
  <c r="T85" i="41"/>
  <c r="S85" i="41"/>
  <c r="AZ84" i="41"/>
  <c r="AW84" i="41"/>
  <c r="AV84" i="41"/>
  <c r="AT84" i="41"/>
  <c r="AS84" i="41"/>
  <c r="AP84" i="41"/>
  <c r="AO84" i="41"/>
  <c r="AF84" i="41"/>
  <c r="AB84" i="41"/>
  <c r="AU84" i="41" s="1"/>
  <c r="AA84" i="41"/>
  <c r="AG84" i="41" s="1"/>
  <c r="AR84" i="41" s="1"/>
  <c r="Z84" i="41"/>
  <c r="R84" i="41"/>
  <c r="V84" i="41" s="1"/>
  <c r="AC84" i="41" s="1"/>
  <c r="AZ83" i="41"/>
  <c r="AW83" i="41"/>
  <c r="AW85" i="41" s="1"/>
  <c r="AT83" i="41"/>
  <c r="AP83" i="41"/>
  <c r="AO83" i="41"/>
  <c r="AF83" i="41"/>
  <c r="Z83" i="41"/>
  <c r="R83" i="41"/>
  <c r="AZ82" i="41"/>
  <c r="AZ85" i="41" s="1"/>
  <c r="AW82" i="41"/>
  <c r="AV82" i="41"/>
  <c r="AT82" i="41"/>
  <c r="AS82" i="41"/>
  <c r="AP82" i="41"/>
  <c r="AO82" i="41"/>
  <c r="AF82" i="41"/>
  <c r="AF85" i="41" s="1"/>
  <c r="AB82" i="41"/>
  <c r="AA82" i="41"/>
  <c r="Z82" i="41"/>
  <c r="R82" i="41"/>
  <c r="V82" i="41" s="1"/>
  <c r="AC82" i="41" s="1"/>
  <c r="AP81" i="41"/>
  <c r="AO81" i="41"/>
  <c r="AN81" i="41"/>
  <c r="AM81" i="41"/>
  <c r="AL81" i="41"/>
  <c r="AK81" i="41"/>
  <c r="AJ81" i="41"/>
  <c r="AI81" i="41"/>
  <c r="AH81" i="41"/>
  <c r="AE81" i="41"/>
  <c r="AD81" i="41"/>
  <c r="Y81" i="41"/>
  <c r="X81" i="41"/>
  <c r="W81" i="41"/>
  <c r="U81" i="41"/>
  <c r="T81" i="41"/>
  <c r="S81" i="41"/>
  <c r="AZ80" i="41"/>
  <c r="AY80" i="41"/>
  <c r="AQ80" i="41"/>
  <c r="AX80" i="41" s="1"/>
  <c r="AP80" i="41"/>
  <c r="AO80" i="41"/>
  <c r="AF80" i="41"/>
  <c r="AW80" i="41" s="1"/>
  <c r="Z80" i="41"/>
  <c r="AT80" i="41" s="1"/>
  <c r="R80" i="41"/>
  <c r="V80" i="41" s="1"/>
  <c r="AZ79" i="41"/>
  <c r="AY79" i="41"/>
  <c r="AQ79" i="41"/>
  <c r="AX79" i="41" s="1"/>
  <c r="AP79" i="41"/>
  <c r="AO79" i="41"/>
  <c r="AF79" i="41"/>
  <c r="AW79" i="41" s="1"/>
  <c r="Z79" i="41"/>
  <c r="AT79" i="41" s="1"/>
  <c r="R79" i="41"/>
  <c r="V79" i="41" s="1"/>
  <c r="AZ78" i="41"/>
  <c r="AY78" i="41"/>
  <c r="AQ78" i="41"/>
  <c r="AX78" i="41" s="1"/>
  <c r="AP78" i="41"/>
  <c r="AO78" i="41"/>
  <c r="AF78" i="41"/>
  <c r="AW78" i="41" s="1"/>
  <c r="AA78" i="41"/>
  <c r="Z78" i="41"/>
  <c r="AT78" i="41" s="1"/>
  <c r="R78" i="41"/>
  <c r="V78" i="41" s="1"/>
  <c r="AZ77" i="41"/>
  <c r="AY77" i="41"/>
  <c r="AQ77" i="41"/>
  <c r="AX77" i="41" s="1"/>
  <c r="AP77" i="41"/>
  <c r="AO77" i="41"/>
  <c r="AF77" i="41"/>
  <c r="AW77" i="41" s="1"/>
  <c r="AW81" i="41" s="1"/>
  <c r="Z77" i="41"/>
  <c r="AT77" i="41" s="1"/>
  <c r="R77" i="41"/>
  <c r="V77" i="41" s="1"/>
  <c r="AZ76" i="41"/>
  <c r="AY76" i="41"/>
  <c r="AQ76" i="41"/>
  <c r="AX76" i="41" s="1"/>
  <c r="AP76" i="41"/>
  <c r="AO76" i="41"/>
  <c r="AF76" i="41"/>
  <c r="AW76" i="41" s="1"/>
  <c r="Z76" i="41"/>
  <c r="AT76" i="41" s="1"/>
  <c r="R76" i="41"/>
  <c r="V76" i="41" s="1"/>
  <c r="AZ75" i="41"/>
  <c r="AY75" i="41"/>
  <c r="AQ75" i="41"/>
  <c r="AP75" i="41"/>
  <c r="AO75" i="41"/>
  <c r="AF75" i="41"/>
  <c r="AW75" i="41" s="1"/>
  <c r="AA75" i="41"/>
  <c r="Z75" i="41"/>
  <c r="R75" i="41"/>
  <c r="V75" i="41" s="1"/>
  <c r="AO74" i="41"/>
  <c r="AN74" i="41"/>
  <c r="AM74" i="41"/>
  <c r="AL74" i="41"/>
  <c r="AK74" i="41"/>
  <c r="AJ74" i="41"/>
  <c r="AI74" i="41"/>
  <c r="AH74" i="41"/>
  <c r="AE74" i="41"/>
  <c r="AD74" i="41"/>
  <c r="Y74" i="41"/>
  <c r="X74" i="41"/>
  <c r="W74" i="41"/>
  <c r="U74" i="41"/>
  <c r="T74" i="41"/>
  <c r="S74" i="41"/>
  <c r="AY73" i="41"/>
  <c r="AQ73" i="41"/>
  <c r="AX73" i="41" s="1"/>
  <c r="AP73" i="41"/>
  <c r="AZ73" i="41" s="1"/>
  <c r="AO73" i="41"/>
  <c r="AF73" i="41"/>
  <c r="AW73" i="41" s="1"/>
  <c r="AC73" i="41"/>
  <c r="AV73" i="41" s="1"/>
  <c r="Z73" i="41"/>
  <c r="AT73" i="41" s="1"/>
  <c r="V73" i="41"/>
  <c r="R73" i="41"/>
  <c r="AY72" i="41"/>
  <c r="AT72" i="41"/>
  <c r="AP72" i="41"/>
  <c r="AZ72" i="41" s="1"/>
  <c r="AO72" i="41"/>
  <c r="AF72" i="41"/>
  <c r="AW72" i="41" s="1"/>
  <c r="AC72" i="41"/>
  <c r="AV72" i="41" s="1"/>
  <c r="AA72" i="41"/>
  <c r="Z72" i="41"/>
  <c r="V72" i="41"/>
  <c r="R72" i="41"/>
  <c r="AZ71" i="41"/>
  <c r="AY71" i="41"/>
  <c r="AQ71" i="41"/>
  <c r="AX71" i="41" s="1"/>
  <c r="AP71" i="41"/>
  <c r="AO71" i="41"/>
  <c r="AF71" i="41"/>
  <c r="AW71" i="41" s="1"/>
  <c r="AC71" i="41"/>
  <c r="AV71" i="41" s="1"/>
  <c r="Z71" i="41"/>
  <c r="AT71" i="41" s="1"/>
  <c r="V71" i="41"/>
  <c r="R71" i="41"/>
  <c r="AY70" i="41"/>
  <c r="AQ70" i="41"/>
  <c r="AX70" i="41" s="1"/>
  <c r="AP70" i="41"/>
  <c r="AZ70" i="41" s="1"/>
  <c r="AO70" i="41"/>
  <c r="AF70" i="41"/>
  <c r="AW70" i="41" s="1"/>
  <c r="Z70" i="41"/>
  <c r="AT70" i="41" s="1"/>
  <c r="V70" i="41"/>
  <c r="R70" i="41"/>
  <c r="AY69" i="41"/>
  <c r="AY74" i="41" s="1"/>
  <c r="AP69" i="41"/>
  <c r="AQ69" i="41" s="1"/>
  <c r="AX69" i="41" s="1"/>
  <c r="AO69" i="41"/>
  <c r="AF69" i="41"/>
  <c r="AW69" i="41" s="1"/>
  <c r="AC69" i="41"/>
  <c r="AV69" i="41" s="1"/>
  <c r="AA69" i="41"/>
  <c r="Z69" i="41"/>
  <c r="AT69" i="41" s="1"/>
  <c r="V69" i="41"/>
  <c r="R69" i="41"/>
  <c r="AY68" i="41"/>
  <c r="AT68" i="41"/>
  <c r="AP68" i="41"/>
  <c r="AO68" i="41"/>
  <c r="AF68" i="41"/>
  <c r="AW68" i="41" s="1"/>
  <c r="AC68" i="41"/>
  <c r="AA68" i="41"/>
  <c r="Z68" i="41"/>
  <c r="V68" i="41"/>
  <c r="R68" i="41"/>
  <c r="R74" i="41" s="1"/>
  <c r="AN67" i="41"/>
  <c r="AM67" i="41"/>
  <c r="AL67" i="41"/>
  <c r="AK67" i="41"/>
  <c r="AJ67" i="41"/>
  <c r="AI67" i="41"/>
  <c r="AH67" i="41"/>
  <c r="AF67" i="41"/>
  <c r="AE67" i="41"/>
  <c r="AD67" i="41"/>
  <c r="Y67" i="41"/>
  <c r="X67" i="41"/>
  <c r="W67" i="41"/>
  <c r="U67" i="41"/>
  <c r="T67" i="41"/>
  <c r="S67" i="41"/>
  <c r="AX66" i="41"/>
  <c r="AW66" i="41"/>
  <c r="AQ66" i="41"/>
  <c r="AP66" i="41"/>
  <c r="AZ66" i="41" s="1"/>
  <c r="AO66" i="41"/>
  <c r="AY66" i="41" s="1"/>
  <c r="AF66" i="41"/>
  <c r="AC66" i="41"/>
  <c r="AV66" i="41" s="1"/>
  <c r="Z66" i="41"/>
  <c r="AT66" i="41" s="1"/>
  <c r="V66" i="41"/>
  <c r="AS66" i="41" s="1"/>
  <c r="R66" i="41"/>
  <c r="AW65" i="41"/>
  <c r="AQ65" i="41"/>
  <c r="AX65" i="41" s="1"/>
  <c r="AP65" i="41"/>
  <c r="AZ65" i="41" s="1"/>
  <c r="AO65" i="41"/>
  <c r="AY65" i="41" s="1"/>
  <c r="AF65" i="41"/>
  <c r="Z65" i="41"/>
  <c r="AT65" i="41" s="1"/>
  <c r="R65" i="41"/>
  <c r="V65" i="41" s="1"/>
  <c r="AY64" i="41"/>
  <c r="AW64" i="41"/>
  <c r="AT64" i="41"/>
  <c r="AT67" i="41" s="1"/>
  <c r="AP64" i="41"/>
  <c r="AZ64" i="41" s="1"/>
  <c r="AZ67" i="41" s="1"/>
  <c r="AO64" i="41"/>
  <c r="AF64" i="41"/>
  <c r="Z64" i="41"/>
  <c r="Z67" i="41" s="1"/>
  <c r="R64" i="41"/>
  <c r="AO63" i="41"/>
  <c r="AN63" i="41"/>
  <c r="AM63" i="41"/>
  <c r="AL63" i="41"/>
  <c r="AK63" i="41"/>
  <c r="AJ63" i="41"/>
  <c r="AI63" i="41"/>
  <c r="AH63" i="41"/>
  <c r="AE63" i="41"/>
  <c r="AD63" i="41"/>
  <c r="Y63" i="41"/>
  <c r="X63" i="41"/>
  <c r="W63" i="41"/>
  <c r="U63" i="41"/>
  <c r="T63" i="41"/>
  <c r="S63" i="41"/>
  <c r="AZ62" i="41"/>
  <c r="AY62" i="41"/>
  <c r="AY63" i="41" s="1"/>
  <c r="AQ62" i="41"/>
  <c r="AX62" i="41" s="1"/>
  <c r="AP62" i="41"/>
  <c r="AO62" i="41"/>
  <c r="AF62" i="41"/>
  <c r="AW62" i="41" s="1"/>
  <c r="Z62" i="41"/>
  <c r="AT62" i="41" s="1"/>
  <c r="R62" i="41"/>
  <c r="V62" i="41" s="1"/>
  <c r="AZ61" i="41"/>
  <c r="AZ63" i="41" s="1"/>
  <c r="AY61" i="41"/>
  <c r="AQ61" i="41"/>
  <c r="AP61" i="41"/>
  <c r="AP63" i="41" s="1"/>
  <c r="AO61" i="41"/>
  <c r="AF61" i="41"/>
  <c r="AW61" i="41" s="1"/>
  <c r="Z61" i="41"/>
  <c r="R61" i="41"/>
  <c r="V61" i="41" s="1"/>
  <c r="AA61" i="41" s="1"/>
  <c r="AN60" i="41"/>
  <c r="AM60" i="41"/>
  <c r="AL60" i="41"/>
  <c r="AK60" i="41"/>
  <c r="AJ60" i="41"/>
  <c r="AI60" i="41"/>
  <c r="AH60" i="41"/>
  <c r="AE60" i="41"/>
  <c r="AD60" i="41"/>
  <c r="Y60" i="41"/>
  <c r="X60" i="41"/>
  <c r="W60" i="41"/>
  <c r="U60" i="41"/>
  <c r="T60" i="41"/>
  <c r="S60" i="41"/>
  <c r="AY59" i="41"/>
  <c r="AT59" i="41"/>
  <c r="AQ59" i="41"/>
  <c r="AX59" i="41" s="1"/>
  <c r="AP59" i="41"/>
  <c r="AZ59" i="41" s="1"/>
  <c r="AO59" i="41"/>
  <c r="AF59" i="41"/>
  <c r="AW59" i="41" s="1"/>
  <c r="Z59" i="41"/>
  <c r="V59" i="41"/>
  <c r="R59" i="41"/>
  <c r="AY58" i="41"/>
  <c r="AT58" i="41"/>
  <c r="AQ58" i="41"/>
  <c r="AX58" i="41" s="1"/>
  <c r="AP58" i="41"/>
  <c r="AZ58" i="41" s="1"/>
  <c r="AO58" i="41"/>
  <c r="AF58" i="41"/>
  <c r="AW58" i="41" s="1"/>
  <c r="Z58" i="41"/>
  <c r="V58" i="41"/>
  <c r="R58" i="41"/>
  <c r="AY57" i="41"/>
  <c r="AT57" i="41"/>
  <c r="AQ57" i="41"/>
  <c r="AX57" i="41" s="1"/>
  <c r="AP57" i="41"/>
  <c r="AZ57" i="41" s="1"/>
  <c r="AO57" i="41"/>
  <c r="AF57" i="41"/>
  <c r="AW57" i="41" s="1"/>
  <c r="Z57" i="41"/>
  <c r="V57" i="41"/>
  <c r="R57" i="41"/>
  <c r="AY56" i="41"/>
  <c r="AT56" i="41"/>
  <c r="AQ56" i="41"/>
  <c r="AX56" i="41" s="1"/>
  <c r="AP56" i="41"/>
  <c r="AZ56" i="41" s="1"/>
  <c r="AO56" i="41"/>
  <c r="AF56" i="41"/>
  <c r="AW56" i="41" s="1"/>
  <c r="Z56" i="41"/>
  <c r="V56" i="41"/>
  <c r="R56" i="41"/>
  <c r="AY55" i="41"/>
  <c r="AT55" i="41"/>
  <c r="AQ55" i="41"/>
  <c r="AX55" i="41" s="1"/>
  <c r="AP55" i="41"/>
  <c r="AZ55" i="41" s="1"/>
  <c r="AO55" i="41"/>
  <c r="AF55" i="41"/>
  <c r="AW55" i="41" s="1"/>
  <c r="Z55" i="41"/>
  <c r="V55" i="41"/>
  <c r="R55" i="41"/>
  <c r="AY54" i="41"/>
  <c r="AT54" i="41"/>
  <c r="AQ54" i="41"/>
  <c r="AX54" i="41" s="1"/>
  <c r="AP54" i="41"/>
  <c r="AZ54" i="41" s="1"/>
  <c r="AO54" i="41"/>
  <c r="AF54" i="41"/>
  <c r="AW54" i="41" s="1"/>
  <c r="Z54" i="41"/>
  <c r="V54" i="41"/>
  <c r="R54" i="41"/>
  <c r="AY53" i="41"/>
  <c r="AY60" i="41" s="1"/>
  <c r="AT53" i="41"/>
  <c r="AT60" i="41" s="1"/>
  <c r="AQ53" i="41"/>
  <c r="AQ60" i="41" s="1"/>
  <c r="AP53" i="41"/>
  <c r="AO53" i="41"/>
  <c r="AO60" i="41" s="1"/>
  <c r="AF53" i="41"/>
  <c r="AW53" i="41" s="1"/>
  <c r="AW60" i="41" s="1"/>
  <c r="Z53" i="41"/>
  <c r="Z60" i="41" s="1"/>
  <c r="V53" i="41"/>
  <c r="R53" i="41"/>
  <c r="R60" i="41" s="1"/>
  <c r="AN52" i="41"/>
  <c r="AM52" i="41"/>
  <c r="AL52" i="41"/>
  <c r="AK52" i="41"/>
  <c r="AJ52" i="41"/>
  <c r="AI52" i="41"/>
  <c r="AH52" i="41"/>
  <c r="AE52" i="41"/>
  <c r="AD52" i="41"/>
  <c r="Z52" i="41"/>
  <c r="Y52" i="41"/>
  <c r="X52" i="41"/>
  <c r="W52" i="41"/>
  <c r="U52" i="41"/>
  <c r="T52" i="41"/>
  <c r="S52" i="41"/>
  <c r="AW51" i="41"/>
  <c r="AT51" i="41"/>
  <c r="AP51" i="41"/>
  <c r="AZ51" i="41" s="1"/>
  <c r="AO51" i="41"/>
  <c r="AF51" i="41"/>
  <c r="Z51" i="41"/>
  <c r="V51" i="41"/>
  <c r="AA51" i="41" s="1"/>
  <c r="R51" i="41"/>
  <c r="AW50" i="41"/>
  <c r="AT50" i="41"/>
  <c r="AP50" i="41"/>
  <c r="AZ50" i="41" s="1"/>
  <c r="AO50" i="41"/>
  <c r="AF50" i="41"/>
  <c r="Z50" i="41"/>
  <c r="V50" i="41"/>
  <c r="AA50" i="41" s="1"/>
  <c r="R50" i="41"/>
  <c r="AW49" i="41"/>
  <c r="AT49" i="41"/>
  <c r="AP49" i="41"/>
  <c r="AZ49" i="41" s="1"/>
  <c r="AO49" i="41"/>
  <c r="AF49" i="41"/>
  <c r="Z49" i="41"/>
  <c r="V49" i="41"/>
  <c r="AA49" i="41" s="1"/>
  <c r="R49" i="41"/>
  <c r="AW48" i="41"/>
  <c r="AT48" i="41"/>
  <c r="AP48" i="41"/>
  <c r="AZ48" i="41" s="1"/>
  <c r="AO48" i="41"/>
  <c r="AF48" i="41"/>
  <c r="Z48" i="41"/>
  <c r="V48" i="41"/>
  <c r="AA48" i="41" s="1"/>
  <c r="R48" i="41"/>
  <c r="AW47" i="41"/>
  <c r="AT47" i="41"/>
  <c r="AP47" i="41"/>
  <c r="AZ47" i="41" s="1"/>
  <c r="AO47" i="41"/>
  <c r="AF47" i="41"/>
  <c r="Z47" i="41"/>
  <c r="V47" i="41"/>
  <c r="AA47" i="41" s="1"/>
  <c r="R47" i="41"/>
  <c r="AW46" i="41"/>
  <c r="AW52" i="41" s="1"/>
  <c r="AT46" i="41"/>
  <c r="AT52" i="41" s="1"/>
  <c r="AP46" i="41"/>
  <c r="AZ46" i="41" s="1"/>
  <c r="AZ52" i="41" s="1"/>
  <c r="AO46" i="41"/>
  <c r="AF46" i="41"/>
  <c r="AF52" i="41" s="1"/>
  <c r="Z46" i="41"/>
  <c r="V46" i="41"/>
  <c r="AA46" i="41" s="1"/>
  <c r="AA52" i="41" s="1"/>
  <c r="R46" i="41"/>
  <c r="R52" i="41" s="1"/>
  <c r="AP45" i="41"/>
  <c r="AN45" i="41"/>
  <c r="AM45" i="41"/>
  <c r="AL45" i="41"/>
  <c r="AK45" i="41"/>
  <c r="AJ45" i="41"/>
  <c r="AI45" i="41"/>
  <c r="AH45" i="41"/>
  <c r="AE45" i="41"/>
  <c r="AD45" i="41"/>
  <c r="Z45" i="41"/>
  <c r="Y45" i="41"/>
  <c r="X45" i="41"/>
  <c r="W45" i="41"/>
  <c r="U45" i="41"/>
  <c r="T45" i="41"/>
  <c r="S45" i="41"/>
  <c r="AZ44" i="41"/>
  <c r="AW44" i="41"/>
  <c r="AP44" i="41"/>
  <c r="AO44" i="41"/>
  <c r="AF44" i="41"/>
  <c r="Z44" i="41"/>
  <c r="AT44" i="41" s="1"/>
  <c r="R44" i="41"/>
  <c r="V44" i="41" s="1"/>
  <c r="AC44" i="41" s="1"/>
  <c r="AV44" i="41" s="1"/>
  <c r="AZ43" i="41"/>
  <c r="AW43" i="41"/>
  <c r="AV43" i="41"/>
  <c r="AS43" i="41"/>
  <c r="AP43" i="41"/>
  <c r="AO43" i="41"/>
  <c r="AF43" i="41"/>
  <c r="AA43" i="41"/>
  <c r="Z43" i="41"/>
  <c r="AT43" i="41" s="1"/>
  <c r="R43" i="41"/>
  <c r="V43" i="41" s="1"/>
  <c r="AC43" i="41" s="1"/>
  <c r="AZ42" i="41"/>
  <c r="AW42" i="41"/>
  <c r="AV42" i="41"/>
  <c r="AS42" i="41"/>
  <c r="AP42" i="41"/>
  <c r="AO42" i="41"/>
  <c r="AF42" i="41"/>
  <c r="AB42" i="41"/>
  <c r="AU42" i="41" s="1"/>
  <c r="AA42" i="41"/>
  <c r="AG42" i="41" s="1"/>
  <c r="AR42" i="41" s="1"/>
  <c r="Z42" i="41"/>
  <c r="AT42" i="41" s="1"/>
  <c r="R42" i="41"/>
  <c r="V42" i="41" s="1"/>
  <c r="AC42" i="41" s="1"/>
  <c r="AZ41" i="41"/>
  <c r="AW41" i="41"/>
  <c r="AW45" i="41" s="1"/>
  <c r="AP41" i="41"/>
  <c r="AO41" i="41"/>
  <c r="AF41" i="41"/>
  <c r="AB41" i="41"/>
  <c r="AU41" i="41" s="1"/>
  <c r="Z41" i="41"/>
  <c r="AT41" i="41" s="1"/>
  <c r="R41" i="41"/>
  <c r="V41" i="41" s="1"/>
  <c r="AC41" i="41" s="1"/>
  <c r="AV41" i="41" s="1"/>
  <c r="AZ40" i="41"/>
  <c r="AW40" i="41"/>
  <c r="AP40" i="41"/>
  <c r="AO40" i="41"/>
  <c r="AF40" i="41"/>
  <c r="Z40" i="41"/>
  <c r="AT40" i="41" s="1"/>
  <c r="R40" i="41"/>
  <c r="V40" i="41" s="1"/>
  <c r="AC40" i="41" s="1"/>
  <c r="AV40" i="41" s="1"/>
  <c r="AZ39" i="41"/>
  <c r="AW39" i="41"/>
  <c r="AV39" i="41"/>
  <c r="AS39" i="41"/>
  <c r="AP39" i="41"/>
  <c r="AO39" i="41"/>
  <c r="AF39" i="41"/>
  <c r="AF45" i="41" s="1"/>
  <c r="AA39" i="41"/>
  <c r="Z39" i="41"/>
  <c r="AT39" i="41" s="1"/>
  <c r="AT45" i="41" s="1"/>
  <c r="R39" i="41"/>
  <c r="V39" i="41" s="1"/>
  <c r="AC39" i="41" s="1"/>
  <c r="AC45" i="41" s="1"/>
  <c r="AO38" i="41"/>
  <c r="AN38" i="41"/>
  <c r="AM38" i="41"/>
  <c r="AL38" i="41"/>
  <c r="AK38" i="41"/>
  <c r="AJ38" i="41"/>
  <c r="AI38" i="41"/>
  <c r="AH38" i="41"/>
  <c r="AE38" i="41"/>
  <c r="AD38" i="41"/>
  <c r="Y38" i="41"/>
  <c r="X38" i="41"/>
  <c r="W38" i="41"/>
  <c r="U38" i="41"/>
  <c r="T38" i="41"/>
  <c r="S38" i="41"/>
  <c r="AZ37" i="41"/>
  <c r="AY37" i="41"/>
  <c r="AQ37" i="41"/>
  <c r="AX37" i="41" s="1"/>
  <c r="AP37" i="41"/>
  <c r="AO37" i="41"/>
  <c r="AF37" i="41"/>
  <c r="AW37" i="41" s="1"/>
  <c r="Z37" i="41"/>
  <c r="AT37" i="41" s="1"/>
  <c r="R37" i="41"/>
  <c r="V37" i="41" s="1"/>
  <c r="AZ36" i="41"/>
  <c r="AY36" i="41"/>
  <c r="AQ36" i="41"/>
  <c r="AX36" i="41" s="1"/>
  <c r="AP36" i="41"/>
  <c r="AO36" i="41"/>
  <c r="AF36" i="41"/>
  <c r="AW36" i="41" s="1"/>
  <c r="Z36" i="41"/>
  <c r="AT36" i="41" s="1"/>
  <c r="R36" i="41"/>
  <c r="V36" i="41" s="1"/>
  <c r="AA36" i="41" s="1"/>
  <c r="AZ35" i="41"/>
  <c r="AY35" i="41"/>
  <c r="AQ35" i="41"/>
  <c r="AX35" i="41" s="1"/>
  <c r="AP35" i="41"/>
  <c r="AO35" i="41"/>
  <c r="AF35" i="41"/>
  <c r="AW35" i="41" s="1"/>
  <c r="Z35" i="41"/>
  <c r="AT35" i="41" s="1"/>
  <c r="R35" i="41"/>
  <c r="V35" i="41" s="1"/>
  <c r="AZ34" i="41"/>
  <c r="AY34" i="41"/>
  <c r="AQ34" i="41"/>
  <c r="AX34" i="41" s="1"/>
  <c r="AP34" i="41"/>
  <c r="AO34" i="41"/>
  <c r="AF34" i="41"/>
  <c r="AW34" i="41" s="1"/>
  <c r="AA34" i="41"/>
  <c r="Z34" i="41"/>
  <c r="AT34" i="41" s="1"/>
  <c r="R34" i="41"/>
  <c r="V34" i="41" s="1"/>
  <c r="AZ33" i="41"/>
  <c r="AY33" i="41"/>
  <c r="AQ33" i="41"/>
  <c r="AP33" i="41"/>
  <c r="AP38" i="41" s="1"/>
  <c r="AO33" i="41"/>
  <c r="AO150" i="41" s="1"/>
  <c r="AF33" i="41"/>
  <c r="AA33" i="41"/>
  <c r="Z33" i="41"/>
  <c r="V33" i="41"/>
  <c r="R33" i="41"/>
  <c r="R150" i="41" s="1"/>
  <c r="AO32" i="41"/>
  <c r="AN32" i="41"/>
  <c r="AM32" i="41"/>
  <c r="AL32" i="41"/>
  <c r="AK32" i="41"/>
  <c r="AJ32" i="41"/>
  <c r="AI32" i="41"/>
  <c r="AH32" i="41"/>
  <c r="AF32" i="41"/>
  <c r="AE32" i="41"/>
  <c r="AD32" i="41"/>
  <c r="Y32" i="41"/>
  <c r="X32" i="41"/>
  <c r="W32" i="41"/>
  <c r="U32" i="41"/>
  <c r="T32" i="41"/>
  <c r="S32" i="41"/>
  <c r="AY31" i="41"/>
  <c r="AP31" i="41"/>
  <c r="AZ31" i="41" s="1"/>
  <c r="AO31" i="41"/>
  <c r="AF31" i="41"/>
  <c r="AW31" i="41" s="1"/>
  <c r="Z31" i="41"/>
  <c r="AT31" i="41" s="1"/>
  <c r="V31" i="41"/>
  <c r="R31" i="41"/>
  <c r="AY30" i="41"/>
  <c r="AY32" i="41" s="1"/>
  <c r="AP30" i="41"/>
  <c r="AO30" i="41"/>
  <c r="AF30" i="41"/>
  <c r="AW30" i="41" s="1"/>
  <c r="AW32" i="41" s="1"/>
  <c r="Z30" i="41"/>
  <c r="Z32" i="41" s="1"/>
  <c r="V30" i="41"/>
  <c r="R30" i="41"/>
  <c r="R32" i="41" s="1"/>
  <c r="AN29" i="41"/>
  <c r="AM29" i="41"/>
  <c r="AL29" i="41"/>
  <c r="AK29" i="41"/>
  <c r="AJ29" i="41"/>
  <c r="AI29" i="41"/>
  <c r="AH29" i="41"/>
  <c r="AE29" i="41"/>
  <c r="AD29" i="41"/>
  <c r="Z29" i="41"/>
  <c r="Y29" i="41"/>
  <c r="X29" i="41"/>
  <c r="W29" i="41"/>
  <c r="U29" i="41"/>
  <c r="T29" i="41"/>
  <c r="S29" i="41"/>
  <c r="AW28" i="41"/>
  <c r="AT28" i="41"/>
  <c r="AP28" i="41"/>
  <c r="AO28" i="41"/>
  <c r="AF28" i="41"/>
  <c r="AB28" i="41"/>
  <c r="Z28" i="41"/>
  <c r="V28" i="41"/>
  <c r="V29" i="41" s="1"/>
  <c r="R28" i="41"/>
  <c r="R155" i="41" s="1"/>
  <c r="AT27" i="41"/>
  <c r="AP27" i="41"/>
  <c r="AN27" i="41"/>
  <c r="AM27" i="41"/>
  <c r="AL27" i="41"/>
  <c r="AK27" i="41"/>
  <c r="AJ27" i="41"/>
  <c r="AI27" i="41"/>
  <c r="AH27" i="41"/>
  <c r="AE27" i="41"/>
  <c r="AD27" i="41"/>
  <c r="Z27" i="41"/>
  <c r="Y27" i="41"/>
  <c r="X27" i="41"/>
  <c r="W27" i="41"/>
  <c r="U27" i="41"/>
  <c r="T27" i="41"/>
  <c r="S27" i="41"/>
  <c r="AZ26" i="41"/>
  <c r="AW26" i="41"/>
  <c r="AV26" i="41"/>
  <c r="AT26" i="41"/>
  <c r="AS26" i="41"/>
  <c r="AP26" i="41"/>
  <c r="AO26" i="41"/>
  <c r="AF26" i="41"/>
  <c r="AB26" i="41"/>
  <c r="AU26" i="41" s="1"/>
  <c r="AA26" i="41"/>
  <c r="AG26" i="41" s="1"/>
  <c r="AR26" i="41" s="1"/>
  <c r="Z26" i="41"/>
  <c r="R26" i="41"/>
  <c r="V26" i="41" s="1"/>
  <c r="AC26" i="41" s="1"/>
  <c r="AZ25" i="41"/>
  <c r="AW25" i="41"/>
  <c r="AT25" i="41"/>
  <c r="AP25" i="41"/>
  <c r="AO25" i="41"/>
  <c r="AF25" i="41"/>
  <c r="Z25" i="41"/>
  <c r="R25" i="41"/>
  <c r="V25" i="41" s="1"/>
  <c r="AC25" i="41" s="1"/>
  <c r="AV25" i="41" s="1"/>
  <c r="AZ24" i="41"/>
  <c r="AW24" i="41"/>
  <c r="AV24" i="41"/>
  <c r="AT24" i="41"/>
  <c r="AS24" i="41"/>
  <c r="AP24" i="41"/>
  <c r="AO24" i="41"/>
  <c r="AF24" i="41"/>
  <c r="AB24" i="41"/>
  <c r="AU24" i="41" s="1"/>
  <c r="AA24" i="41"/>
  <c r="AG24" i="41" s="1"/>
  <c r="AR24" i="41" s="1"/>
  <c r="Z24" i="41"/>
  <c r="R24" i="41"/>
  <c r="V24" i="41" s="1"/>
  <c r="AC24" i="41" s="1"/>
  <c r="AZ23" i="41"/>
  <c r="AW23" i="41"/>
  <c r="AW27" i="41" s="1"/>
  <c r="AT23" i="41"/>
  <c r="AP23" i="41"/>
  <c r="AO23" i="41"/>
  <c r="AF23" i="41"/>
  <c r="Z23" i="41"/>
  <c r="R23" i="41"/>
  <c r="V23" i="41" s="1"/>
  <c r="AC23" i="41" s="1"/>
  <c r="AV23" i="41" s="1"/>
  <c r="AZ22" i="41"/>
  <c r="AW22" i="41"/>
  <c r="AV22" i="41"/>
  <c r="AT22" i="41"/>
  <c r="AS22" i="41"/>
  <c r="AP22" i="41"/>
  <c r="AO22" i="41"/>
  <c r="AF22" i="41"/>
  <c r="AF27" i="41" s="1"/>
  <c r="AB22" i="41"/>
  <c r="AA22" i="41"/>
  <c r="Z22" i="41"/>
  <c r="R22" i="41"/>
  <c r="V22" i="41" s="1"/>
  <c r="AC22" i="41" s="1"/>
  <c r="AP21" i="41"/>
  <c r="AO21" i="41"/>
  <c r="AN21" i="41"/>
  <c r="AM21" i="41"/>
  <c r="AL21" i="41"/>
  <c r="AK21" i="41"/>
  <c r="AJ21" i="41"/>
  <c r="AI21" i="41"/>
  <c r="AH21" i="41"/>
  <c r="AE21" i="41"/>
  <c r="AD21" i="41"/>
  <c r="Y21" i="41"/>
  <c r="X21" i="41"/>
  <c r="W21" i="41"/>
  <c r="U21" i="41"/>
  <c r="T21" i="41"/>
  <c r="S21" i="41"/>
  <c r="AZ20" i="41"/>
  <c r="AY20" i="41"/>
  <c r="AQ20" i="41"/>
  <c r="AX20" i="41" s="1"/>
  <c r="AP20" i="41"/>
  <c r="AO20" i="41"/>
  <c r="AF20" i="41"/>
  <c r="AW20" i="41" s="1"/>
  <c r="Z20" i="41"/>
  <c r="AT20" i="41" s="1"/>
  <c r="R20" i="41"/>
  <c r="V20" i="41" s="1"/>
  <c r="AZ19" i="41"/>
  <c r="AY19" i="41"/>
  <c r="AQ19" i="41"/>
  <c r="AP19" i="41"/>
  <c r="AO19" i="41"/>
  <c r="AF19" i="41"/>
  <c r="Z19" i="41"/>
  <c r="R19" i="41"/>
  <c r="AZ18" i="41"/>
  <c r="AY18" i="41"/>
  <c r="AQ18" i="41"/>
  <c r="AX18" i="41" s="1"/>
  <c r="AP18" i="41"/>
  <c r="AO18" i="41"/>
  <c r="AF18" i="41"/>
  <c r="AW18" i="41" s="1"/>
  <c r="Z18" i="41"/>
  <c r="AT18" i="41" s="1"/>
  <c r="R18" i="41"/>
  <c r="V18" i="41" s="1"/>
  <c r="AZ17" i="41"/>
  <c r="AY17" i="41"/>
  <c r="AQ17" i="41"/>
  <c r="AP17" i="41"/>
  <c r="AO17" i="41"/>
  <c r="AF17" i="41"/>
  <c r="AF21" i="41" s="1"/>
  <c r="Z17" i="41"/>
  <c r="R17" i="41"/>
  <c r="AN16" i="41"/>
  <c r="AM16" i="41"/>
  <c r="AL16" i="41"/>
  <c r="AK16" i="41"/>
  <c r="AJ16" i="41"/>
  <c r="AI16" i="41"/>
  <c r="AH16" i="41"/>
  <c r="AE16" i="41"/>
  <c r="AD16" i="41"/>
  <c r="Y16" i="41"/>
  <c r="X16" i="41"/>
  <c r="W16" i="41"/>
  <c r="U16" i="41"/>
  <c r="T16" i="41"/>
  <c r="S16" i="41"/>
  <c r="AY15" i="41"/>
  <c r="AT15" i="41"/>
  <c r="AQ15" i="41"/>
  <c r="AX15" i="41" s="1"/>
  <c r="AP15" i="41"/>
  <c r="AO15" i="41"/>
  <c r="AF15" i="41"/>
  <c r="Z15" i="41"/>
  <c r="V15" i="41"/>
  <c r="R15" i="41"/>
  <c r="AY14" i="41"/>
  <c r="AT14" i="41"/>
  <c r="AQ14" i="41"/>
  <c r="AX14" i="41" s="1"/>
  <c r="AP14" i="41"/>
  <c r="AZ14" i="41" s="1"/>
  <c r="AO14" i="41"/>
  <c r="AF14" i="41"/>
  <c r="AW14" i="41" s="1"/>
  <c r="Z14" i="41"/>
  <c r="V14" i="41"/>
  <c r="R14" i="41"/>
  <c r="AY13" i="41"/>
  <c r="AT13" i="41"/>
  <c r="AQ13" i="41"/>
  <c r="AX13" i="41" s="1"/>
  <c r="AP13" i="41"/>
  <c r="AZ13" i="41" s="1"/>
  <c r="AO13" i="41"/>
  <c r="AF13" i="41"/>
  <c r="AW13" i="41" s="1"/>
  <c r="Z13" i="41"/>
  <c r="V13" i="41"/>
  <c r="R13" i="41"/>
  <c r="AY12" i="41"/>
  <c r="AY16" i="41" s="1"/>
  <c r="AT12" i="41"/>
  <c r="AQ12" i="41"/>
  <c r="AQ16" i="41" s="1"/>
  <c r="AP12" i="41"/>
  <c r="AO12" i="41"/>
  <c r="AO16" i="41" s="1"/>
  <c r="AF12" i="41"/>
  <c r="AF16" i="41" s="1"/>
  <c r="Z12" i="41"/>
  <c r="V12" i="41"/>
  <c r="R12" i="41"/>
  <c r="AN178" i="40"/>
  <c r="AM178" i="40"/>
  <c r="AL178" i="40"/>
  <c r="AK178" i="40"/>
  <c r="AJ178" i="40"/>
  <c r="AI178" i="40"/>
  <c r="AH178" i="40"/>
  <c r="AE178" i="40"/>
  <c r="X36" i="47" s="1"/>
  <c r="AD178" i="40"/>
  <c r="Y178" i="40"/>
  <c r="X178" i="40"/>
  <c r="W178" i="40"/>
  <c r="U178" i="40"/>
  <c r="T178" i="40"/>
  <c r="S178" i="40"/>
  <c r="Q178" i="40"/>
  <c r="P178" i="40"/>
  <c r="O178" i="40"/>
  <c r="N178" i="40"/>
  <c r="M178" i="40"/>
  <c r="L178" i="40"/>
  <c r="K178" i="40"/>
  <c r="J178" i="40"/>
  <c r="I178" i="40"/>
  <c r="AN177" i="40"/>
  <c r="AM177" i="40"/>
  <c r="AL177" i="40"/>
  <c r="AK177" i="40"/>
  <c r="AJ177" i="40"/>
  <c r="AI177" i="40"/>
  <c r="AH177" i="40"/>
  <c r="AE177" i="40"/>
  <c r="X35" i="47" s="1"/>
  <c r="AD177" i="40"/>
  <c r="Y177" i="40"/>
  <c r="X177" i="40"/>
  <c r="W177" i="40"/>
  <c r="U177" i="40"/>
  <c r="T177" i="40"/>
  <c r="S177" i="40"/>
  <c r="Q177" i="40"/>
  <c r="P177" i="40"/>
  <c r="O177" i="40"/>
  <c r="N177" i="40"/>
  <c r="M177" i="40"/>
  <c r="L177" i="40"/>
  <c r="K177" i="40"/>
  <c r="J177" i="40"/>
  <c r="I177" i="40"/>
  <c r="AN176" i="40"/>
  <c r="AM176" i="40"/>
  <c r="AL176" i="40"/>
  <c r="AK176" i="40"/>
  <c r="AJ176" i="40"/>
  <c r="AI176" i="40"/>
  <c r="AH176" i="40"/>
  <c r="AE176" i="40"/>
  <c r="X34" i="47" s="1"/>
  <c r="AD176" i="40"/>
  <c r="Y176" i="40"/>
  <c r="X176" i="40"/>
  <c r="W176" i="40"/>
  <c r="U176" i="40"/>
  <c r="T176" i="40"/>
  <c r="S176" i="40"/>
  <c r="Q176" i="40"/>
  <c r="P176" i="40"/>
  <c r="O176" i="40"/>
  <c r="N176" i="40"/>
  <c r="M176" i="40"/>
  <c r="L176" i="40"/>
  <c r="K176" i="40"/>
  <c r="J176" i="40"/>
  <c r="I176" i="40"/>
  <c r="AN175" i="40"/>
  <c r="AM175" i="40"/>
  <c r="AL175" i="40"/>
  <c r="AK175" i="40"/>
  <c r="AJ175" i="40"/>
  <c r="AI175" i="40"/>
  <c r="AH175" i="40"/>
  <c r="AE175" i="40"/>
  <c r="X33" i="47" s="1"/>
  <c r="AD175" i="40"/>
  <c r="Y175" i="40"/>
  <c r="X175" i="40"/>
  <c r="W175" i="40"/>
  <c r="U175" i="40"/>
  <c r="T175" i="40"/>
  <c r="S175" i="40"/>
  <c r="Q175" i="40"/>
  <c r="P175" i="40"/>
  <c r="O175" i="40"/>
  <c r="N175" i="40"/>
  <c r="M175" i="40"/>
  <c r="L175" i="40"/>
  <c r="K175" i="40"/>
  <c r="J175" i="40"/>
  <c r="I175" i="40"/>
  <c r="AZ174" i="40"/>
  <c r="AY174" i="40"/>
  <c r="AX174" i="40"/>
  <c r="AW174" i="40"/>
  <c r="AP32" i="47" s="1"/>
  <c r="AV174" i="40"/>
  <c r="AU174" i="40"/>
  <c r="AT174" i="40"/>
  <c r="AS174" i="40"/>
  <c r="AR174" i="40"/>
  <c r="AK32" i="47" s="1"/>
  <c r="AQ174" i="40"/>
  <c r="AP174" i="40"/>
  <c r="AO174" i="40"/>
  <c r="AN174" i="40"/>
  <c r="AM174" i="40"/>
  <c r="AL174" i="40"/>
  <c r="AK174" i="40"/>
  <c r="AJ174" i="40"/>
  <c r="AI174" i="40"/>
  <c r="AH174" i="40"/>
  <c r="AG174" i="40"/>
  <c r="Z32" i="47" s="1"/>
  <c r="AF174" i="40"/>
  <c r="Y32" i="47" s="1"/>
  <c r="AE174" i="40"/>
  <c r="X32" i="47" s="1"/>
  <c r="AD174" i="40"/>
  <c r="AC174" i="40"/>
  <c r="AB174" i="40"/>
  <c r="AA174" i="40"/>
  <c r="Z174" i="40"/>
  <c r="Y174" i="40"/>
  <c r="X174" i="40"/>
  <c r="W174" i="40"/>
  <c r="V174" i="40"/>
  <c r="U174" i="40"/>
  <c r="T174" i="40"/>
  <c r="S174" i="40"/>
  <c r="R174" i="40"/>
  <c r="Q174" i="40"/>
  <c r="P174" i="40"/>
  <c r="O174" i="40"/>
  <c r="N174" i="40"/>
  <c r="M174" i="40"/>
  <c r="L174" i="40"/>
  <c r="K174" i="40"/>
  <c r="J174" i="40"/>
  <c r="I174" i="40"/>
  <c r="AN173" i="40"/>
  <c r="AM173" i="40"/>
  <c r="AL173" i="40"/>
  <c r="AK173" i="40"/>
  <c r="AJ173" i="40"/>
  <c r="AI173" i="40"/>
  <c r="AH173" i="40"/>
  <c r="AE173" i="40"/>
  <c r="X31" i="47" s="1"/>
  <c r="AD173" i="40"/>
  <c r="Y173" i="40"/>
  <c r="X173" i="40"/>
  <c r="W173" i="40"/>
  <c r="U173" i="40"/>
  <c r="T173" i="40"/>
  <c r="S173" i="40"/>
  <c r="Q173" i="40"/>
  <c r="P173" i="40"/>
  <c r="O173" i="40"/>
  <c r="N173" i="40"/>
  <c r="M173" i="40"/>
  <c r="L173" i="40"/>
  <c r="K173" i="40"/>
  <c r="J173" i="40"/>
  <c r="I173" i="40"/>
  <c r="AN172" i="40"/>
  <c r="AM172" i="40"/>
  <c r="AL172" i="40"/>
  <c r="AK172" i="40"/>
  <c r="AJ172" i="40"/>
  <c r="AI172" i="40"/>
  <c r="AH172" i="40"/>
  <c r="AE172" i="40"/>
  <c r="X30" i="47" s="1"/>
  <c r="AD172" i="40"/>
  <c r="Y172" i="40"/>
  <c r="X172" i="40"/>
  <c r="W172" i="40"/>
  <c r="U172" i="40"/>
  <c r="T172" i="40"/>
  <c r="S172" i="40"/>
  <c r="Q172" i="40"/>
  <c r="P172" i="40"/>
  <c r="O172" i="40"/>
  <c r="N172" i="40"/>
  <c r="M172" i="40"/>
  <c r="L172" i="40"/>
  <c r="K172" i="40"/>
  <c r="J172" i="40"/>
  <c r="I172" i="40"/>
  <c r="AN171" i="40"/>
  <c r="AM171" i="40"/>
  <c r="AL171" i="40"/>
  <c r="AK171" i="40"/>
  <c r="AJ171" i="40"/>
  <c r="AI171" i="40"/>
  <c r="AH171" i="40"/>
  <c r="AE171" i="40"/>
  <c r="X29" i="47" s="1"/>
  <c r="AD171" i="40"/>
  <c r="Y171" i="40"/>
  <c r="X171" i="40"/>
  <c r="W171" i="40"/>
  <c r="U171" i="40"/>
  <c r="T171" i="40"/>
  <c r="S171" i="40"/>
  <c r="Q171" i="40"/>
  <c r="P171" i="40"/>
  <c r="O171" i="40"/>
  <c r="N171" i="40"/>
  <c r="M171" i="40"/>
  <c r="L171" i="40"/>
  <c r="K171" i="40"/>
  <c r="J171" i="40"/>
  <c r="I171" i="40"/>
  <c r="AN170" i="40"/>
  <c r="AM170" i="40"/>
  <c r="AL170" i="40"/>
  <c r="AK170" i="40"/>
  <c r="AJ170" i="40"/>
  <c r="AI170" i="40"/>
  <c r="AH170" i="40"/>
  <c r="AE170" i="40"/>
  <c r="X28" i="47" s="1"/>
  <c r="AD170" i="40"/>
  <c r="Y170" i="40"/>
  <c r="X170" i="40"/>
  <c r="W170" i="40"/>
  <c r="U170" i="40"/>
  <c r="T170" i="40"/>
  <c r="S170" i="40"/>
  <c r="Q170" i="40"/>
  <c r="P170" i="40"/>
  <c r="O170" i="40"/>
  <c r="N170" i="40"/>
  <c r="M170" i="40"/>
  <c r="L170" i="40"/>
  <c r="K170" i="40"/>
  <c r="J170" i="40"/>
  <c r="I170" i="40"/>
  <c r="AN169" i="40"/>
  <c r="AM169" i="40"/>
  <c r="AL169" i="40"/>
  <c r="AK169" i="40"/>
  <c r="AJ169" i="40"/>
  <c r="AI169" i="40"/>
  <c r="AH169" i="40"/>
  <c r="AE169" i="40"/>
  <c r="X27" i="47" s="1"/>
  <c r="AD169" i="40"/>
  <c r="Y169" i="40"/>
  <c r="X169" i="40"/>
  <c r="W169" i="40"/>
  <c r="U169" i="40"/>
  <c r="T169" i="40"/>
  <c r="S169" i="40"/>
  <c r="Q169" i="40"/>
  <c r="P169" i="40"/>
  <c r="O169" i="40"/>
  <c r="O168" i="40" s="1"/>
  <c r="N169" i="40"/>
  <c r="M169" i="40"/>
  <c r="L169" i="40"/>
  <c r="K169" i="40"/>
  <c r="K168" i="40" s="1"/>
  <c r="J169" i="40"/>
  <c r="I169" i="40"/>
  <c r="AN168" i="40"/>
  <c r="AM168" i="40"/>
  <c r="AL168" i="40"/>
  <c r="AJ168" i="40"/>
  <c r="AI168" i="40"/>
  <c r="AH168" i="40"/>
  <c r="AD168" i="40"/>
  <c r="X168" i="40"/>
  <c r="W168" i="40"/>
  <c r="T168" i="40"/>
  <c r="S168" i="40"/>
  <c r="P168" i="40"/>
  <c r="N168" i="40"/>
  <c r="L168" i="40"/>
  <c r="J168" i="40"/>
  <c r="AP167" i="40"/>
  <c r="AO167" i="40"/>
  <c r="AP166" i="40"/>
  <c r="AO166" i="40"/>
  <c r="Q165" i="40"/>
  <c r="P165" i="40"/>
  <c r="O166" i="40" s="1"/>
  <c r="O165" i="40"/>
  <c r="N165" i="40"/>
  <c r="M165" i="40"/>
  <c r="L165" i="40"/>
  <c r="K165" i="40"/>
  <c r="I166" i="40" s="1"/>
  <c r="J165" i="40"/>
  <c r="I165" i="40"/>
  <c r="AO164" i="40"/>
  <c r="AN164" i="40"/>
  <c r="AM164" i="40"/>
  <c r="AL164" i="40"/>
  <c r="AK164" i="40"/>
  <c r="AJ164" i="40"/>
  <c r="AI164" i="40"/>
  <c r="AH164" i="40"/>
  <c r="AE164" i="40"/>
  <c r="AD164" i="40"/>
  <c r="Y164" i="40"/>
  <c r="X164" i="40"/>
  <c r="W164" i="40"/>
  <c r="U164" i="40"/>
  <c r="T164" i="40"/>
  <c r="S164" i="40"/>
  <c r="AY163" i="40"/>
  <c r="AY164" i="40" s="1"/>
  <c r="AT163" i="40"/>
  <c r="AP163" i="40"/>
  <c r="AQ163" i="40" s="1"/>
  <c r="AX163" i="40" s="1"/>
  <c r="AO163" i="40"/>
  <c r="AF163" i="40"/>
  <c r="AW163" i="40" s="1"/>
  <c r="AC163" i="40"/>
  <c r="AV163" i="40" s="1"/>
  <c r="AA163" i="40"/>
  <c r="Z163" i="40"/>
  <c r="V163" i="40"/>
  <c r="R163" i="40"/>
  <c r="AY162" i="40"/>
  <c r="AP162" i="40"/>
  <c r="AZ162" i="40" s="1"/>
  <c r="AO162" i="40"/>
  <c r="AF162" i="40"/>
  <c r="Z162" i="40"/>
  <c r="AT162" i="40" s="1"/>
  <c r="V162" i="40"/>
  <c r="R162" i="40"/>
  <c r="AY161" i="40"/>
  <c r="AX161" i="40"/>
  <c r="AQ161" i="40"/>
  <c r="AP161" i="40"/>
  <c r="AO161" i="40"/>
  <c r="AF161" i="40"/>
  <c r="AW161" i="40" s="1"/>
  <c r="Z161" i="40"/>
  <c r="V161" i="40"/>
  <c r="R161" i="40"/>
  <c r="R164" i="40" s="1"/>
  <c r="AP160" i="40"/>
  <c r="AN160" i="40"/>
  <c r="AM160" i="40"/>
  <c r="AL160" i="40"/>
  <c r="AK160" i="40"/>
  <c r="AJ160" i="40"/>
  <c r="AI160" i="40"/>
  <c r="AH160" i="40"/>
  <c r="AE160" i="40"/>
  <c r="AD160" i="40"/>
  <c r="Y160" i="40"/>
  <c r="X160" i="40"/>
  <c r="W160" i="40"/>
  <c r="U160" i="40"/>
  <c r="T160" i="40"/>
  <c r="S160" i="40"/>
  <c r="R160" i="40"/>
  <c r="AY159" i="40"/>
  <c r="AQ159" i="40"/>
  <c r="AX159" i="40" s="1"/>
  <c r="AP159" i="40"/>
  <c r="AZ159" i="40" s="1"/>
  <c r="AO159" i="40"/>
  <c r="AF159" i="40"/>
  <c r="AW159" i="40" s="1"/>
  <c r="Z159" i="40"/>
  <c r="AT159" i="40" s="1"/>
  <c r="R159" i="40"/>
  <c r="V159" i="40" s="1"/>
  <c r="AZ158" i="40"/>
  <c r="AY158" i="40"/>
  <c r="AQ158" i="40"/>
  <c r="AX158" i="40" s="1"/>
  <c r="AP158" i="40"/>
  <c r="AO158" i="40"/>
  <c r="AF158" i="40"/>
  <c r="AW158" i="40" s="1"/>
  <c r="Z158" i="40"/>
  <c r="AT158" i="40" s="1"/>
  <c r="R158" i="40"/>
  <c r="V158" i="40" s="1"/>
  <c r="AZ157" i="40"/>
  <c r="AY157" i="40"/>
  <c r="AQ157" i="40"/>
  <c r="AX157" i="40" s="1"/>
  <c r="AP157" i="40"/>
  <c r="AO157" i="40"/>
  <c r="AF157" i="40"/>
  <c r="AW157" i="40" s="1"/>
  <c r="AA157" i="40"/>
  <c r="Z157" i="40"/>
  <c r="AT157" i="40" s="1"/>
  <c r="AT160" i="40" s="1"/>
  <c r="R157" i="40"/>
  <c r="V157" i="40" s="1"/>
  <c r="AZ156" i="40"/>
  <c r="AY156" i="40"/>
  <c r="AQ156" i="40"/>
  <c r="AX156" i="40" s="1"/>
  <c r="AP156" i="40"/>
  <c r="AO156" i="40"/>
  <c r="AF156" i="40"/>
  <c r="AW156" i="40" s="1"/>
  <c r="AA156" i="40"/>
  <c r="Z156" i="40"/>
  <c r="AT156" i="40" s="1"/>
  <c r="R156" i="40"/>
  <c r="V156" i="40" s="1"/>
  <c r="AZ155" i="40"/>
  <c r="AZ160" i="40" s="1"/>
  <c r="AY155" i="40"/>
  <c r="AQ155" i="40"/>
  <c r="AP155" i="40"/>
  <c r="AO155" i="40"/>
  <c r="AO160" i="40" s="1"/>
  <c r="AF155" i="40"/>
  <c r="Z155" i="40"/>
  <c r="AT155" i="40" s="1"/>
  <c r="R155" i="40"/>
  <c r="V155" i="40" s="1"/>
  <c r="AO154" i="40"/>
  <c r="AN154" i="40"/>
  <c r="AM154" i="40"/>
  <c r="AL154" i="40"/>
  <c r="AK154" i="40"/>
  <c r="AJ154" i="40"/>
  <c r="AI154" i="40"/>
  <c r="AH154" i="40"/>
  <c r="AE154" i="40"/>
  <c r="AD154" i="40"/>
  <c r="Y154" i="40"/>
  <c r="X154" i="40"/>
  <c r="W154" i="40"/>
  <c r="U154" i="40"/>
  <c r="T154" i="40"/>
  <c r="S154" i="40"/>
  <c r="AY153" i="40"/>
  <c r="AT153" i="40"/>
  <c r="AP153" i="40"/>
  <c r="AZ153" i="40" s="1"/>
  <c r="AO153" i="40"/>
  <c r="AF153" i="40"/>
  <c r="AW153" i="40" s="1"/>
  <c r="Z153" i="40"/>
  <c r="V153" i="40"/>
  <c r="R153" i="40"/>
  <c r="AY152" i="40"/>
  <c r="AY154" i="40" s="1"/>
  <c r="AT152" i="40"/>
  <c r="AP152" i="40"/>
  <c r="AO152" i="40"/>
  <c r="AF152" i="40"/>
  <c r="Z152" i="40"/>
  <c r="Z154" i="40" s="1"/>
  <c r="V152" i="40"/>
  <c r="R152" i="40"/>
  <c r="R154" i="40" s="1"/>
  <c r="AN151" i="40"/>
  <c r="AM151" i="40"/>
  <c r="AL151" i="40"/>
  <c r="AK151" i="40"/>
  <c r="AJ151" i="40"/>
  <c r="AI151" i="40"/>
  <c r="AH151" i="40"/>
  <c r="AE151" i="40"/>
  <c r="AD151" i="40"/>
  <c r="Y151" i="40"/>
  <c r="X151" i="40"/>
  <c r="W151" i="40"/>
  <c r="U151" i="40"/>
  <c r="T151" i="40"/>
  <c r="S151" i="40"/>
  <c r="AW150" i="40"/>
  <c r="AT150" i="40"/>
  <c r="AP150" i="40"/>
  <c r="AZ150" i="40" s="1"/>
  <c r="AO150" i="40"/>
  <c r="AF150" i="40"/>
  <c r="Z150" i="40"/>
  <c r="V150" i="40"/>
  <c r="R150" i="40"/>
  <c r="AX149" i="40"/>
  <c r="AQ149" i="40"/>
  <c r="AP149" i="40"/>
  <c r="AZ149" i="40" s="1"/>
  <c r="AO149" i="40"/>
  <c r="AY149" i="40" s="1"/>
  <c r="AF149" i="40"/>
  <c r="AW149" i="40" s="1"/>
  <c r="Z149" i="40"/>
  <c r="AT149" i="40" s="1"/>
  <c r="R149" i="40"/>
  <c r="V149" i="40" s="1"/>
  <c r="AW148" i="40"/>
  <c r="AP148" i="40"/>
  <c r="AO148" i="40"/>
  <c r="AY148" i="40" s="1"/>
  <c r="AF148" i="40"/>
  <c r="Z148" i="40"/>
  <c r="AT148" i="40" s="1"/>
  <c r="R148" i="40"/>
  <c r="V148" i="40" s="1"/>
  <c r="AW147" i="40"/>
  <c r="AT147" i="40"/>
  <c r="AP147" i="40"/>
  <c r="AZ147" i="40" s="1"/>
  <c r="AO147" i="40"/>
  <c r="AF147" i="40"/>
  <c r="Z147" i="40"/>
  <c r="R147" i="40"/>
  <c r="V147" i="40" s="1"/>
  <c r="AS146" i="40"/>
  <c r="AP146" i="40"/>
  <c r="AZ146" i="40" s="1"/>
  <c r="AO146" i="40"/>
  <c r="AF146" i="40"/>
  <c r="AW146" i="40" s="1"/>
  <c r="Z146" i="40"/>
  <c r="AT146" i="40" s="1"/>
  <c r="V146" i="40"/>
  <c r="R146" i="40"/>
  <c r="AW145" i="40"/>
  <c r="AW151" i="40" s="1"/>
  <c r="AQ145" i="40"/>
  <c r="AP145" i="40"/>
  <c r="AZ145" i="40" s="1"/>
  <c r="AO145" i="40"/>
  <c r="AF145" i="40"/>
  <c r="Z145" i="40"/>
  <c r="V145" i="40"/>
  <c r="R145" i="40"/>
  <c r="AN144" i="40"/>
  <c r="AM144" i="40"/>
  <c r="AL144" i="40"/>
  <c r="AK144" i="40"/>
  <c r="AJ144" i="40"/>
  <c r="AI144" i="40"/>
  <c r="AH144" i="40"/>
  <c r="AE144" i="40"/>
  <c r="AD144" i="40"/>
  <c r="Z144" i="40"/>
  <c r="Y144" i="40"/>
  <c r="X144" i="40"/>
  <c r="W144" i="40"/>
  <c r="U144" i="40"/>
  <c r="T144" i="40"/>
  <c r="S144" i="40"/>
  <c r="AZ143" i="40"/>
  <c r="AW143" i="40"/>
  <c r="AT143" i="40"/>
  <c r="AP143" i="40"/>
  <c r="AO143" i="40"/>
  <c r="AF143" i="40"/>
  <c r="AB143" i="40"/>
  <c r="AU143" i="40" s="1"/>
  <c r="AA143" i="40"/>
  <c r="Z143" i="40"/>
  <c r="R143" i="40"/>
  <c r="V143" i="40" s="1"/>
  <c r="AC143" i="40" s="1"/>
  <c r="AV143" i="40" s="1"/>
  <c r="AW142" i="40"/>
  <c r="AT142" i="40"/>
  <c r="AP142" i="40"/>
  <c r="AZ142" i="40" s="1"/>
  <c r="AO142" i="40"/>
  <c r="AF142" i="40"/>
  <c r="Z142" i="40"/>
  <c r="V142" i="40"/>
  <c r="R142" i="40"/>
  <c r="AW141" i="40"/>
  <c r="AT141" i="40"/>
  <c r="AP141" i="40"/>
  <c r="AZ141" i="40" s="1"/>
  <c r="AO141" i="40"/>
  <c r="AF141" i="40"/>
  <c r="Z141" i="40"/>
  <c r="V141" i="40"/>
  <c r="AC141" i="40" s="1"/>
  <c r="AV141" i="40" s="1"/>
  <c r="R141" i="40"/>
  <c r="AZ140" i="40"/>
  <c r="AW140" i="40"/>
  <c r="AT140" i="40"/>
  <c r="AP140" i="40"/>
  <c r="AO140" i="40"/>
  <c r="AF140" i="40"/>
  <c r="Z140" i="40"/>
  <c r="R140" i="40"/>
  <c r="V140" i="40" s="1"/>
  <c r="AZ139" i="40"/>
  <c r="AW139" i="40"/>
  <c r="AT139" i="40"/>
  <c r="AP139" i="40"/>
  <c r="AO139" i="40"/>
  <c r="AF139" i="40"/>
  <c r="Z139" i="40"/>
  <c r="R139" i="40"/>
  <c r="V139" i="40" s="1"/>
  <c r="AW138" i="40"/>
  <c r="AW144" i="40" s="1"/>
  <c r="AT138" i="40"/>
  <c r="AT144" i="40" s="1"/>
  <c r="AP138" i="40"/>
  <c r="AO138" i="40"/>
  <c r="AF138" i="40"/>
  <c r="AF144" i="40" s="1"/>
  <c r="Z138" i="40"/>
  <c r="V138" i="40"/>
  <c r="R138" i="40"/>
  <c r="AP137" i="40"/>
  <c r="AN137" i="40"/>
  <c r="AM137" i="40"/>
  <c r="AL137" i="40"/>
  <c r="AK137" i="40"/>
  <c r="AJ137" i="40"/>
  <c r="AI137" i="40"/>
  <c r="AH137" i="40"/>
  <c r="AE137" i="40"/>
  <c r="AD137" i="40"/>
  <c r="Y137" i="40"/>
  <c r="X137" i="40"/>
  <c r="W137" i="40"/>
  <c r="U137" i="40"/>
  <c r="T137" i="40"/>
  <c r="S137" i="40"/>
  <c r="AZ136" i="40"/>
  <c r="AS136" i="40"/>
  <c r="AP136" i="40"/>
  <c r="AO136" i="40"/>
  <c r="AY136" i="40" s="1"/>
  <c r="AF136" i="40"/>
  <c r="AW136" i="40" s="1"/>
  <c r="Z136" i="40"/>
  <c r="AT136" i="40" s="1"/>
  <c r="R136" i="40"/>
  <c r="V136" i="40" s="1"/>
  <c r="AZ135" i="40"/>
  <c r="AQ135" i="40"/>
  <c r="AX135" i="40" s="1"/>
  <c r="AP135" i="40"/>
  <c r="AO135" i="40"/>
  <c r="AY135" i="40" s="1"/>
  <c r="AF135" i="40"/>
  <c r="AW135" i="40" s="1"/>
  <c r="AA135" i="40"/>
  <c r="Z135" i="40"/>
  <c r="AT135" i="40" s="1"/>
  <c r="R135" i="40"/>
  <c r="V135" i="40" s="1"/>
  <c r="AS135" i="40" s="1"/>
  <c r="AZ134" i="40"/>
  <c r="AY134" i="40"/>
  <c r="AS134" i="40"/>
  <c r="AQ134" i="40"/>
  <c r="AX134" i="40" s="1"/>
  <c r="AP134" i="40"/>
  <c r="AO134" i="40"/>
  <c r="AF134" i="40"/>
  <c r="AW134" i="40" s="1"/>
  <c r="AA134" i="40"/>
  <c r="Z134" i="40"/>
  <c r="AT134" i="40" s="1"/>
  <c r="R134" i="40"/>
  <c r="V134" i="40" s="1"/>
  <c r="AZ133" i="40"/>
  <c r="AP133" i="40"/>
  <c r="AO133" i="40"/>
  <c r="AF133" i="40"/>
  <c r="AW133" i="40" s="1"/>
  <c r="Z133" i="40"/>
  <c r="AT133" i="40" s="1"/>
  <c r="R133" i="40"/>
  <c r="V133" i="40" s="1"/>
  <c r="AZ132" i="40"/>
  <c r="AY132" i="40"/>
  <c r="AS132" i="40"/>
  <c r="AP132" i="40"/>
  <c r="AO132" i="40"/>
  <c r="AQ132" i="40" s="1"/>
  <c r="AX132" i="40" s="1"/>
  <c r="AF132" i="40"/>
  <c r="AW132" i="40" s="1"/>
  <c r="Z132" i="40"/>
  <c r="AT132" i="40" s="1"/>
  <c r="R132" i="40"/>
  <c r="V132" i="40" s="1"/>
  <c r="AZ131" i="40"/>
  <c r="AQ131" i="40"/>
  <c r="AP131" i="40"/>
  <c r="AO131" i="40"/>
  <c r="AF131" i="40"/>
  <c r="Z131" i="40"/>
  <c r="AT131" i="40" s="1"/>
  <c r="AT137" i="40" s="1"/>
  <c r="R131" i="40"/>
  <c r="AY130" i="40"/>
  <c r="AN130" i="40"/>
  <c r="AM130" i="40"/>
  <c r="AL130" i="40"/>
  <c r="AK130" i="40"/>
  <c r="AJ130" i="40"/>
  <c r="AI130" i="40"/>
  <c r="AH130" i="40"/>
  <c r="AF130" i="40"/>
  <c r="AE130" i="40"/>
  <c r="AD130" i="40"/>
  <c r="Y130" i="40"/>
  <c r="X130" i="40"/>
  <c r="W130" i="40"/>
  <c r="U130" i="40"/>
  <c r="T130" i="40"/>
  <c r="S130" i="40"/>
  <c r="AZ129" i="40"/>
  <c r="AY129" i="40"/>
  <c r="AT129" i="40"/>
  <c r="AP129" i="40"/>
  <c r="AQ129" i="40" s="1"/>
  <c r="AX129" i="40" s="1"/>
  <c r="AO129" i="40"/>
  <c r="AF129" i="40"/>
  <c r="AW129" i="40" s="1"/>
  <c r="AC129" i="40"/>
  <c r="AV129" i="40" s="1"/>
  <c r="AA129" i="40"/>
  <c r="Z129" i="40"/>
  <c r="V129" i="40"/>
  <c r="R129" i="40"/>
  <c r="AZ128" i="40"/>
  <c r="AY128" i="40"/>
  <c r="AT128" i="40"/>
  <c r="AP128" i="40"/>
  <c r="AO128" i="40"/>
  <c r="AO130" i="40" s="1"/>
  <c r="AF128" i="40"/>
  <c r="AW128" i="40" s="1"/>
  <c r="AW130" i="40" s="1"/>
  <c r="Z128" i="40"/>
  <c r="Z130" i="40" s="1"/>
  <c r="V128" i="40"/>
  <c r="R128" i="40"/>
  <c r="R130" i="40" s="1"/>
  <c r="AN127" i="40"/>
  <c r="AM127" i="40"/>
  <c r="AL127" i="40"/>
  <c r="AK127" i="40"/>
  <c r="AJ127" i="40"/>
  <c r="AI127" i="40"/>
  <c r="AH127" i="40"/>
  <c r="AE127" i="40"/>
  <c r="AD127" i="40"/>
  <c r="Y127" i="40"/>
  <c r="X127" i="40"/>
  <c r="W127" i="40"/>
  <c r="U127" i="40"/>
  <c r="T127" i="40"/>
  <c r="S127" i="40"/>
  <c r="AW126" i="40"/>
  <c r="AP126" i="40"/>
  <c r="AZ126" i="40" s="1"/>
  <c r="AO126" i="40"/>
  <c r="AQ126" i="40" s="1"/>
  <c r="AX126" i="40" s="1"/>
  <c r="AF126" i="40"/>
  <c r="Z126" i="40"/>
  <c r="AT126" i="40" s="1"/>
  <c r="R126" i="40"/>
  <c r="V126" i="40" s="1"/>
  <c r="AS125" i="40"/>
  <c r="AP125" i="40"/>
  <c r="AZ125" i="40" s="1"/>
  <c r="AZ127" i="40" s="1"/>
  <c r="AO125" i="40"/>
  <c r="AF125" i="40"/>
  <c r="Z125" i="40"/>
  <c r="Z127" i="40" s="1"/>
  <c r="V125" i="40"/>
  <c r="R125" i="40"/>
  <c r="AP124" i="40"/>
  <c r="AN124" i="40"/>
  <c r="AM124" i="40"/>
  <c r="AL124" i="40"/>
  <c r="AK124" i="40"/>
  <c r="AJ124" i="40"/>
  <c r="AI124" i="40"/>
  <c r="AH124" i="40"/>
  <c r="AE124" i="40"/>
  <c r="AD124" i="40"/>
  <c r="Y124" i="40"/>
  <c r="X124" i="40"/>
  <c r="W124" i="40"/>
  <c r="U124" i="40"/>
  <c r="T124" i="40"/>
  <c r="S124" i="40"/>
  <c r="AZ123" i="40"/>
  <c r="AY123" i="40"/>
  <c r="AQ123" i="40"/>
  <c r="AX123" i="40" s="1"/>
  <c r="AP123" i="40"/>
  <c r="AO123" i="40"/>
  <c r="AF123" i="40"/>
  <c r="AW123" i="40" s="1"/>
  <c r="Z123" i="40"/>
  <c r="AT123" i="40" s="1"/>
  <c r="R123" i="40"/>
  <c r="V123" i="40" s="1"/>
  <c r="AZ122" i="40"/>
  <c r="AY122" i="40"/>
  <c r="AQ122" i="40"/>
  <c r="AX122" i="40" s="1"/>
  <c r="AP122" i="40"/>
  <c r="AO122" i="40"/>
  <c r="AF122" i="40"/>
  <c r="AW122" i="40" s="1"/>
  <c r="Z122" i="40"/>
  <c r="AT122" i="40" s="1"/>
  <c r="R122" i="40"/>
  <c r="V122" i="40" s="1"/>
  <c r="AZ121" i="40"/>
  <c r="AY121" i="40"/>
  <c r="AQ121" i="40"/>
  <c r="AX121" i="40" s="1"/>
  <c r="AP121" i="40"/>
  <c r="AO121" i="40"/>
  <c r="AF121" i="40"/>
  <c r="AW121" i="40" s="1"/>
  <c r="Z121" i="40"/>
  <c r="AT121" i="40" s="1"/>
  <c r="R121" i="40"/>
  <c r="V121" i="40" s="1"/>
  <c r="AZ120" i="40"/>
  <c r="AY120" i="40"/>
  <c r="AQ120" i="40"/>
  <c r="AX120" i="40" s="1"/>
  <c r="AP120" i="40"/>
  <c r="AO120" i="40"/>
  <c r="AF120" i="40"/>
  <c r="AW120" i="40" s="1"/>
  <c r="Z120" i="40"/>
  <c r="AT120" i="40" s="1"/>
  <c r="R120" i="40"/>
  <c r="V120" i="40" s="1"/>
  <c r="AZ119" i="40"/>
  <c r="AZ124" i="40" s="1"/>
  <c r="AY119" i="40"/>
  <c r="AY124" i="40" s="1"/>
  <c r="AQ119" i="40"/>
  <c r="AP119" i="40"/>
  <c r="AO119" i="40"/>
  <c r="AO124" i="40" s="1"/>
  <c r="AF119" i="40"/>
  <c r="AW119" i="40" s="1"/>
  <c r="AW124" i="40" s="1"/>
  <c r="Z119" i="40"/>
  <c r="R119" i="40"/>
  <c r="V119" i="40" s="1"/>
  <c r="AY118" i="40"/>
  <c r="AO118" i="40"/>
  <c r="AN118" i="40"/>
  <c r="AM118" i="40"/>
  <c r="AL118" i="40"/>
  <c r="AK118" i="40"/>
  <c r="AJ118" i="40"/>
  <c r="AI118" i="40"/>
  <c r="AH118" i="40"/>
  <c r="AE118" i="40"/>
  <c r="AD118" i="40"/>
  <c r="Y118" i="40"/>
  <c r="X118" i="40"/>
  <c r="W118" i="40"/>
  <c r="U118" i="40"/>
  <c r="T118" i="40"/>
  <c r="S118" i="40"/>
  <c r="AY117" i="40"/>
  <c r="AT117" i="40"/>
  <c r="AP117" i="40"/>
  <c r="AO117" i="40"/>
  <c r="AF117" i="40"/>
  <c r="AW117" i="40" s="1"/>
  <c r="Z117" i="40"/>
  <c r="V117" i="40"/>
  <c r="R117" i="40"/>
  <c r="AY116" i="40"/>
  <c r="AT116" i="40"/>
  <c r="AP116" i="40"/>
  <c r="AO116" i="40"/>
  <c r="AF116" i="40"/>
  <c r="AW116" i="40" s="1"/>
  <c r="AC116" i="40"/>
  <c r="AV116" i="40" s="1"/>
  <c r="Z116" i="40"/>
  <c r="V116" i="40"/>
  <c r="R116" i="40"/>
  <c r="AY115" i="40"/>
  <c r="AT115" i="40"/>
  <c r="AP115" i="40"/>
  <c r="AO115" i="40"/>
  <c r="AF115" i="40"/>
  <c r="AW115" i="40" s="1"/>
  <c r="AW118" i="40" s="1"/>
  <c r="Z115" i="40"/>
  <c r="Z118" i="40" s="1"/>
  <c r="V115" i="40"/>
  <c r="R115" i="40"/>
  <c r="R118" i="40" s="1"/>
  <c r="AP114" i="40"/>
  <c r="AN114" i="40"/>
  <c r="AM114" i="40"/>
  <c r="AL114" i="40"/>
  <c r="AK114" i="40"/>
  <c r="AJ114" i="40"/>
  <c r="AI114" i="40"/>
  <c r="AH114" i="40"/>
  <c r="AE114" i="40"/>
  <c r="AD114" i="40"/>
  <c r="Z114" i="40"/>
  <c r="Y114" i="40"/>
  <c r="X114" i="40"/>
  <c r="W114" i="40"/>
  <c r="U114" i="40"/>
  <c r="T114" i="40"/>
  <c r="S114" i="40"/>
  <c r="AW113" i="40"/>
  <c r="AS113" i="40"/>
  <c r="AP113" i="40"/>
  <c r="AZ113" i="40" s="1"/>
  <c r="AO113" i="40"/>
  <c r="AF113" i="40"/>
  <c r="AB113" i="40"/>
  <c r="AU113" i="40" s="1"/>
  <c r="Z113" i="40"/>
  <c r="AT113" i="40" s="1"/>
  <c r="R113" i="40"/>
  <c r="V113" i="40" s="1"/>
  <c r="AW112" i="40"/>
  <c r="AS112" i="40"/>
  <c r="AP112" i="40"/>
  <c r="AZ112" i="40" s="1"/>
  <c r="AO112" i="40"/>
  <c r="AF112" i="40"/>
  <c r="AB112" i="40"/>
  <c r="AU112" i="40" s="1"/>
  <c r="Z112" i="40"/>
  <c r="AT112" i="40" s="1"/>
  <c r="R112" i="40"/>
  <c r="V112" i="40" s="1"/>
  <c r="AW111" i="40"/>
  <c r="AW114" i="40" s="1"/>
  <c r="AS111" i="40"/>
  <c r="AS114" i="40" s="1"/>
  <c r="AP111" i="40"/>
  <c r="AZ111" i="40" s="1"/>
  <c r="AZ114" i="40" s="1"/>
  <c r="AO111" i="40"/>
  <c r="AF111" i="40"/>
  <c r="AF114" i="40" s="1"/>
  <c r="AB111" i="40"/>
  <c r="Z111" i="40"/>
  <c r="AT111" i="40" s="1"/>
  <c r="AT114" i="40" s="1"/>
  <c r="R111" i="40"/>
  <c r="V111" i="40" s="1"/>
  <c r="AW110" i="40"/>
  <c r="AO110" i="40"/>
  <c r="AN110" i="40"/>
  <c r="AM110" i="40"/>
  <c r="AL110" i="40"/>
  <c r="AK110" i="40"/>
  <c r="AJ110" i="40"/>
  <c r="AI110" i="40"/>
  <c r="AH110" i="40"/>
  <c r="AE110" i="40"/>
  <c r="AD110" i="40"/>
  <c r="AC110" i="40"/>
  <c r="Z110" i="40"/>
  <c r="Y110" i="40"/>
  <c r="X110" i="40"/>
  <c r="W110" i="40"/>
  <c r="U110" i="40"/>
  <c r="T110" i="40"/>
  <c r="S110" i="40"/>
  <c r="AZ109" i="40"/>
  <c r="AZ110" i="40" s="1"/>
  <c r="AW109" i="40"/>
  <c r="AV109" i="40"/>
  <c r="AV110" i="40" s="1"/>
  <c r="AT109" i="40"/>
  <c r="AT110" i="40" s="1"/>
  <c r="AP109" i="40"/>
  <c r="AP110" i="40" s="1"/>
  <c r="AO109" i="40"/>
  <c r="AY109" i="40" s="1"/>
  <c r="AY110" i="40" s="1"/>
  <c r="AF109" i="40"/>
  <c r="AF110" i="40" s="1"/>
  <c r="AA109" i="40"/>
  <c r="AA110" i="40" s="1"/>
  <c r="Z109" i="40"/>
  <c r="V109" i="40"/>
  <c r="AC109" i="40" s="1"/>
  <c r="R109" i="40"/>
  <c r="R110" i="40" s="1"/>
  <c r="AZ108" i="40"/>
  <c r="AP108" i="40"/>
  <c r="AN108" i="40"/>
  <c r="AM108" i="40"/>
  <c r="AL108" i="40"/>
  <c r="AK108" i="40"/>
  <c r="AJ108" i="40"/>
  <c r="AI108" i="40"/>
  <c r="AH108" i="40"/>
  <c r="AE108" i="40"/>
  <c r="AD108" i="40"/>
  <c r="Y108" i="40"/>
  <c r="X108" i="40"/>
  <c r="W108" i="40"/>
  <c r="U108" i="40"/>
  <c r="T108" i="40"/>
  <c r="S108" i="40"/>
  <c r="AZ107" i="40"/>
  <c r="AY107" i="40"/>
  <c r="AQ107" i="40"/>
  <c r="AX107" i="40" s="1"/>
  <c r="AP107" i="40"/>
  <c r="AO107" i="40"/>
  <c r="AF107" i="40"/>
  <c r="AW107" i="40" s="1"/>
  <c r="Z107" i="40"/>
  <c r="AT107" i="40" s="1"/>
  <c r="R107" i="40"/>
  <c r="V107" i="40" s="1"/>
  <c r="AZ106" i="40"/>
  <c r="AY106" i="40"/>
  <c r="AQ106" i="40"/>
  <c r="AX106" i="40" s="1"/>
  <c r="AP106" i="40"/>
  <c r="AO106" i="40"/>
  <c r="AF106" i="40"/>
  <c r="AW106" i="40" s="1"/>
  <c r="Z106" i="40"/>
  <c r="AT106" i="40" s="1"/>
  <c r="R106" i="40"/>
  <c r="V106" i="40" s="1"/>
  <c r="AZ105" i="40"/>
  <c r="AY105" i="40"/>
  <c r="AQ105" i="40"/>
  <c r="AX105" i="40" s="1"/>
  <c r="AP105" i="40"/>
  <c r="AO105" i="40"/>
  <c r="AF105" i="40"/>
  <c r="AW105" i="40" s="1"/>
  <c r="Z105" i="40"/>
  <c r="AT105" i="40" s="1"/>
  <c r="R105" i="40"/>
  <c r="V105" i="40" s="1"/>
  <c r="AZ104" i="40"/>
  <c r="AY104" i="40"/>
  <c r="AQ104" i="40"/>
  <c r="AX104" i="40" s="1"/>
  <c r="AP104" i="40"/>
  <c r="AO104" i="40"/>
  <c r="AF104" i="40"/>
  <c r="AW104" i="40" s="1"/>
  <c r="Z104" i="40"/>
  <c r="AT104" i="40" s="1"/>
  <c r="R104" i="40"/>
  <c r="V104" i="40" s="1"/>
  <c r="AZ103" i="40"/>
  <c r="AY103" i="40"/>
  <c r="AQ103" i="40"/>
  <c r="AP103" i="40"/>
  <c r="AO103" i="40"/>
  <c r="AO108" i="40" s="1"/>
  <c r="AF103" i="40"/>
  <c r="AW103" i="40" s="1"/>
  <c r="Z103" i="40"/>
  <c r="R103" i="40"/>
  <c r="V103" i="40" s="1"/>
  <c r="AY102" i="40"/>
  <c r="AO102" i="40"/>
  <c r="AN102" i="40"/>
  <c r="AM102" i="40"/>
  <c r="AL102" i="40"/>
  <c r="AK102" i="40"/>
  <c r="AJ102" i="40"/>
  <c r="AI102" i="40"/>
  <c r="AH102" i="40"/>
  <c r="AE102" i="40"/>
  <c r="AD102" i="40"/>
  <c r="Y102" i="40"/>
  <c r="X102" i="40"/>
  <c r="W102" i="40"/>
  <c r="U102" i="40"/>
  <c r="T102" i="40"/>
  <c r="S102" i="40"/>
  <c r="AZ101" i="40"/>
  <c r="AY101" i="40"/>
  <c r="AV101" i="40"/>
  <c r="AT101" i="40"/>
  <c r="AP101" i="40"/>
  <c r="AQ101" i="40" s="1"/>
  <c r="AX101" i="40" s="1"/>
  <c r="AO101" i="40"/>
  <c r="AF101" i="40"/>
  <c r="AW101" i="40" s="1"/>
  <c r="AA101" i="40"/>
  <c r="Z101" i="40"/>
  <c r="V101" i="40"/>
  <c r="AC101" i="40" s="1"/>
  <c r="R101" i="40"/>
  <c r="AZ100" i="40"/>
  <c r="AY100" i="40"/>
  <c r="AT100" i="40"/>
  <c r="AP100" i="40"/>
  <c r="AQ100" i="40" s="1"/>
  <c r="AX100" i="40" s="1"/>
  <c r="AO100" i="40"/>
  <c r="AF100" i="40"/>
  <c r="AW100" i="40" s="1"/>
  <c r="AC100" i="40"/>
  <c r="AV100" i="40" s="1"/>
  <c r="Z100" i="40"/>
  <c r="V100" i="40"/>
  <c r="AA100" i="40" s="1"/>
  <c r="R100" i="40"/>
  <c r="AY99" i="40"/>
  <c r="AT99" i="40"/>
  <c r="AP99" i="40"/>
  <c r="AZ99" i="40" s="1"/>
  <c r="AO99" i="40"/>
  <c r="AF99" i="40"/>
  <c r="AW99" i="40" s="1"/>
  <c r="AW102" i="40" s="1"/>
  <c r="Z99" i="40"/>
  <c r="Z102" i="40" s="1"/>
  <c r="V99" i="40"/>
  <c r="R99" i="40"/>
  <c r="R102" i="40" s="1"/>
  <c r="AP98" i="40"/>
  <c r="AN98" i="40"/>
  <c r="AM98" i="40"/>
  <c r="AL98" i="40"/>
  <c r="AK98" i="40"/>
  <c r="AJ98" i="40"/>
  <c r="AI98" i="40"/>
  <c r="AH98" i="40"/>
  <c r="AE98" i="40"/>
  <c r="AD98" i="40"/>
  <c r="Y98" i="40"/>
  <c r="X98" i="40"/>
  <c r="W98" i="40"/>
  <c r="U98" i="40"/>
  <c r="T98" i="40"/>
  <c r="S98" i="40"/>
  <c r="AY97" i="40"/>
  <c r="AW97" i="40"/>
  <c r="AQ97" i="40"/>
  <c r="AX97" i="40" s="1"/>
  <c r="AP97" i="40"/>
  <c r="AZ97" i="40" s="1"/>
  <c r="AO97" i="40"/>
  <c r="AF97" i="40"/>
  <c r="AB97" i="40"/>
  <c r="AU97" i="40" s="1"/>
  <c r="Z97" i="40"/>
  <c r="AT97" i="40" s="1"/>
  <c r="R97" i="40"/>
  <c r="V97" i="40" s="1"/>
  <c r="AS97" i="40" s="1"/>
  <c r="AW96" i="40"/>
  <c r="AS96" i="40"/>
  <c r="AP96" i="40"/>
  <c r="AZ96" i="40" s="1"/>
  <c r="AO96" i="40"/>
  <c r="AY96" i="40" s="1"/>
  <c r="AF96" i="40"/>
  <c r="Z96" i="40"/>
  <c r="AT96" i="40" s="1"/>
  <c r="R96" i="40"/>
  <c r="V96" i="40" s="1"/>
  <c r="AB96" i="40" s="1"/>
  <c r="AU96" i="40" s="1"/>
  <c r="AP95" i="40"/>
  <c r="AZ95" i="40" s="1"/>
  <c r="AO95" i="40"/>
  <c r="AF95" i="40"/>
  <c r="AW95" i="40" s="1"/>
  <c r="Z95" i="40"/>
  <c r="AT95" i="40" s="1"/>
  <c r="R95" i="40"/>
  <c r="V95" i="40" s="1"/>
  <c r="AY94" i="40"/>
  <c r="AS94" i="40"/>
  <c r="AQ94" i="40"/>
  <c r="AX94" i="40" s="1"/>
  <c r="AP94" i="40"/>
  <c r="AZ94" i="40" s="1"/>
  <c r="AO94" i="40"/>
  <c r="AF94" i="40"/>
  <c r="AW94" i="40" s="1"/>
  <c r="AB94" i="40"/>
  <c r="AU94" i="40" s="1"/>
  <c r="Z94" i="40"/>
  <c r="AT94" i="40" s="1"/>
  <c r="R94" i="40"/>
  <c r="V94" i="40" s="1"/>
  <c r="AY93" i="40"/>
  <c r="AW93" i="40"/>
  <c r="AQ93" i="40"/>
  <c r="AP93" i="40"/>
  <c r="AZ93" i="40" s="1"/>
  <c r="AZ98" i="40" s="1"/>
  <c r="AO93" i="40"/>
  <c r="AF93" i="40"/>
  <c r="AB93" i="40"/>
  <c r="Z93" i="40"/>
  <c r="AT93" i="40" s="1"/>
  <c r="AT98" i="40" s="1"/>
  <c r="R93" i="40"/>
  <c r="V93" i="40" s="1"/>
  <c r="V98" i="40" s="1"/>
  <c r="AW92" i="40"/>
  <c r="AO92" i="40"/>
  <c r="AN92" i="40"/>
  <c r="AM92" i="40"/>
  <c r="AL92" i="40"/>
  <c r="AK92" i="40"/>
  <c r="AJ92" i="40"/>
  <c r="AI92" i="40"/>
  <c r="AH92" i="40"/>
  <c r="AE92" i="40"/>
  <c r="AD92" i="40"/>
  <c r="Y92" i="40"/>
  <c r="X92" i="40"/>
  <c r="W92" i="40"/>
  <c r="U92" i="40"/>
  <c r="T92" i="40"/>
  <c r="S92" i="40"/>
  <c r="AW91" i="40"/>
  <c r="AT91" i="40"/>
  <c r="AP91" i="40"/>
  <c r="AZ91" i="40" s="1"/>
  <c r="AO91" i="40"/>
  <c r="AY91" i="40" s="1"/>
  <c r="AF91" i="40"/>
  <c r="Z91" i="40"/>
  <c r="V91" i="40"/>
  <c r="R91" i="40"/>
  <c r="AW90" i="40"/>
  <c r="AT90" i="40"/>
  <c r="AP90" i="40"/>
  <c r="AZ90" i="40" s="1"/>
  <c r="AO90" i="40"/>
  <c r="AY90" i="40" s="1"/>
  <c r="AF90" i="40"/>
  <c r="AC90" i="40"/>
  <c r="AV90" i="40" s="1"/>
  <c r="AA90" i="40"/>
  <c r="Z90" i="40"/>
  <c r="V90" i="40"/>
  <c r="R90" i="40"/>
  <c r="AZ89" i="40"/>
  <c r="AW89" i="40"/>
  <c r="AT89" i="40"/>
  <c r="AP89" i="40"/>
  <c r="AO89" i="40"/>
  <c r="AY89" i="40" s="1"/>
  <c r="AY92" i="40" s="1"/>
  <c r="AF89" i="40"/>
  <c r="AF92" i="40" s="1"/>
  <c r="AA89" i="40"/>
  <c r="Z89" i="40"/>
  <c r="Z92" i="40" s="1"/>
  <c r="V89" i="40"/>
  <c r="AC89" i="40" s="1"/>
  <c r="AV89" i="40" s="1"/>
  <c r="R89" i="40"/>
  <c r="R92" i="40" s="1"/>
  <c r="AZ88" i="40"/>
  <c r="AP88" i="40"/>
  <c r="AN88" i="40"/>
  <c r="AM88" i="40"/>
  <c r="AL88" i="40"/>
  <c r="AK88" i="40"/>
  <c r="AJ88" i="40"/>
  <c r="AI88" i="40"/>
  <c r="AH88" i="40"/>
  <c r="AF88" i="40"/>
  <c r="AE88" i="40"/>
  <c r="AD88" i="40"/>
  <c r="Y88" i="40"/>
  <c r="X88" i="40"/>
  <c r="W88" i="40"/>
  <c r="U88" i="40"/>
  <c r="T88" i="40"/>
  <c r="S88" i="40"/>
  <c r="AZ87" i="40"/>
  <c r="AW87" i="40"/>
  <c r="AP87" i="40"/>
  <c r="AO87" i="40"/>
  <c r="AF87" i="40"/>
  <c r="Z87" i="40"/>
  <c r="AT87" i="40" s="1"/>
  <c r="R87" i="40"/>
  <c r="V87" i="40" s="1"/>
  <c r="AZ86" i="40"/>
  <c r="AW86" i="40"/>
  <c r="AP86" i="40"/>
  <c r="AO86" i="40"/>
  <c r="AF86" i="40"/>
  <c r="Z86" i="40"/>
  <c r="AT86" i="40" s="1"/>
  <c r="R86" i="40"/>
  <c r="V86" i="40" s="1"/>
  <c r="AS86" i="40" s="1"/>
  <c r="AZ85" i="40"/>
  <c r="AW85" i="40"/>
  <c r="AS85" i="40"/>
  <c r="AP85" i="40"/>
  <c r="AO85" i="40"/>
  <c r="AF85" i="40"/>
  <c r="AB85" i="40"/>
  <c r="AU85" i="40" s="1"/>
  <c r="Z85" i="40"/>
  <c r="AT85" i="40" s="1"/>
  <c r="R85" i="40"/>
  <c r="V85" i="40" s="1"/>
  <c r="AZ84" i="40"/>
  <c r="AW84" i="40"/>
  <c r="AS84" i="40"/>
  <c r="AP84" i="40"/>
  <c r="AO84" i="40"/>
  <c r="AF84" i="40"/>
  <c r="AB84" i="40"/>
  <c r="AU84" i="40" s="1"/>
  <c r="Z84" i="40"/>
  <c r="AT84" i="40" s="1"/>
  <c r="R84" i="40"/>
  <c r="V84" i="40" s="1"/>
  <c r="AZ83" i="40"/>
  <c r="AW83" i="40"/>
  <c r="AP83" i="40"/>
  <c r="AO83" i="40"/>
  <c r="AF83" i="40"/>
  <c r="Z83" i="40"/>
  <c r="AT83" i="40" s="1"/>
  <c r="R83" i="40"/>
  <c r="V83" i="40" s="1"/>
  <c r="AZ82" i="40"/>
  <c r="AW82" i="40"/>
  <c r="AP82" i="40"/>
  <c r="AO82" i="40"/>
  <c r="AF82" i="40"/>
  <c r="Z82" i="40"/>
  <c r="Z88" i="40" s="1"/>
  <c r="R82" i="40"/>
  <c r="AO81" i="40"/>
  <c r="AN81" i="40"/>
  <c r="AM81" i="40"/>
  <c r="AL81" i="40"/>
  <c r="AK81" i="40"/>
  <c r="AJ81" i="40"/>
  <c r="AI81" i="40"/>
  <c r="AH81" i="40"/>
  <c r="AE81" i="40"/>
  <c r="AD81" i="40"/>
  <c r="Y81" i="40"/>
  <c r="X81" i="40"/>
  <c r="W81" i="40"/>
  <c r="U81" i="40"/>
  <c r="T81" i="40"/>
  <c r="S81" i="40"/>
  <c r="AZ80" i="40"/>
  <c r="AT80" i="40"/>
  <c r="AP80" i="40"/>
  <c r="AQ80" i="40" s="1"/>
  <c r="AX80" i="40" s="1"/>
  <c r="AO80" i="40"/>
  <c r="AY80" i="40" s="1"/>
  <c r="AF80" i="40"/>
  <c r="AW80" i="40" s="1"/>
  <c r="AA80" i="40"/>
  <c r="Z80" i="40"/>
  <c r="V80" i="40"/>
  <c r="AC80" i="40" s="1"/>
  <c r="AV80" i="40" s="1"/>
  <c r="R80" i="40"/>
  <c r="AZ79" i="40"/>
  <c r="AY79" i="40"/>
  <c r="AV79" i="40"/>
  <c r="AT79" i="40"/>
  <c r="AP79" i="40"/>
  <c r="AQ79" i="40" s="1"/>
  <c r="AX79" i="40" s="1"/>
  <c r="AO79" i="40"/>
  <c r="AF79" i="40"/>
  <c r="AW79" i="40" s="1"/>
  <c r="AA79" i="40"/>
  <c r="Z79" i="40"/>
  <c r="V79" i="40"/>
  <c r="AC79" i="40" s="1"/>
  <c r="R79" i="40"/>
  <c r="AZ78" i="40"/>
  <c r="AY78" i="40"/>
  <c r="AV78" i="40"/>
  <c r="AT78" i="40"/>
  <c r="AP78" i="40"/>
  <c r="AQ78" i="40" s="1"/>
  <c r="AX78" i="40" s="1"/>
  <c r="AO78" i="40"/>
  <c r="AF78" i="40"/>
  <c r="AW78" i="40" s="1"/>
  <c r="AA78" i="40"/>
  <c r="Z78" i="40"/>
  <c r="V78" i="40"/>
  <c r="AC78" i="40" s="1"/>
  <c r="R78" i="40"/>
  <c r="AZ77" i="40"/>
  <c r="AY77" i="40"/>
  <c r="AV77" i="40"/>
  <c r="AT77" i="40"/>
  <c r="AP77" i="40"/>
  <c r="AQ77" i="40" s="1"/>
  <c r="AX77" i="40" s="1"/>
  <c r="AO77" i="40"/>
  <c r="AF77" i="40"/>
  <c r="AW77" i="40" s="1"/>
  <c r="AA77" i="40"/>
  <c r="Z77" i="40"/>
  <c r="V77" i="40"/>
  <c r="AC77" i="40" s="1"/>
  <c r="R77" i="40"/>
  <c r="AZ76" i="40"/>
  <c r="AY76" i="40"/>
  <c r="AT76" i="40"/>
  <c r="AP76" i="40"/>
  <c r="AQ76" i="40" s="1"/>
  <c r="AX76" i="40" s="1"/>
  <c r="AO76" i="40"/>
  <c r="AF76" i="40"/>
  <c r="AW76" i="40" s="1"/>
  <c r="AA76" i="40"/>
  <c r="Z76" i="40"/>
  <c r="V76" i="40"/>
  <c r="AC76" i="40" s="1"/>
  <c r="AV76" i="40" s="1"/>
  <c r="R76" i="40"/>
  <c r="AZ75" i="40"/>
  <c r="AY75" i="40"/>
  <c r="AY81" i="40" s="1"/>
  <c r="AV75" i="40"/>
  <c r="AT75" i="40"/>
  <c r="AT81" i="40" s="1"/>
  <c r="AP75" i="40"/>
  <c r="AQ75" i="40" s="1"/>
  <c r="AO75" i="40"/>
  <c r="AF75" i="40"/>
  <c r="AF81" i="40" s="1"/>
  <c r="AA75" i="40"/>
  <c r="Z75" i="40"/>
  <c r="Z81" i="40" s="1"/>
  <c r="V75" i="40"/>
  <c r="AC75" i="40" s="1"/>
  <c r="AC81" i="40" s="1"/>
  <c r="R75" i="40"/>
  <c r="R81" i="40" s="1"/>
  <c r="AP74" i="40"/>
  <c r="AN74" i="40"/>
  <c r="AM74" i="40"/>
  <c r="AL74" i="40"/>
  <c r="AK74" i="40"/>
  <c r="AJ74" i="40"/>
  <c r="AI74" i="40"/>
  <c r="AH74" i="40"/>
  <c r="AE74" i="40"/>
  <c r="AD74" i="40"/>
  <c r="Y74" i="40"/>
  <c r="X74" i="40"/>
  <c r="W74" i="40"/>
  <c r="U74" i="40"/>
  <c r="T74" i="40"/>
  <c r="S74" i="40"/>
  <c r="AY73" i="40"/>
  <c r="AQ73" i="40"/>
  <c r="AX73" i="40" s="1"/>
  <c r="AP73" i="40"/>
  <c r="AZ73" i="40" s="1"/>
  <c r="AO73" i="40"/>
  <c r="AF73" i="40"/>
  <c r="AW73" i="40" s="1"/>
  <c r="Z73" i="40"/>
  <c r="AT73" i="40" s="1"/>
  <c r="R73" i="40"/>
  <c r="V73" i="40" s="1"/>
  <c r="AY72" i="40"/>
  <c r="AQ72" i="40"/>
  <c r="AX72" i="40" s="1"/>
  <c r="AP72" i="40"/>
  <c r="AZ72" i="40" s="1"/>
  <c r="AO72" i="40"/>
  <c r="AF72" i="40"/>
  <c r="AW72" i="40" s="1"/>
  <c r="Z72" i="40"/>
  <c r="AT72" i="40" s="1"/>
  <c r="R72" i="40"/>
  <c r="V72" i="40" s="1"/>
  <c r="AY71" i="40"/>
  <c r="AQ71" i="40"/>
  <c r="AX71" i="40" s="1"/>
  <c r="AP71" i="40"/>
  <c r="AZ71" i="40" s="1"/>
  <c r="AO71" i="40"/>
  <c r="AF71" i="40"/>
  <c r="AW71" i="40" s="1"/>
  <c r="Z71" i="40"/>
  <c r="AT71" i="40" s="1"/>
  <c r="R71" i="40"/>
  <c r="V71" i="40" s="1"/>
  <c r="AY70" i="40"/>
  <c r="AQ70" i="40"/>
  <c r="AX70" i="40" s="1"/>
  <c r="AP70" i="40"/>
  <c r="AZ70" i="40" s="1"/>
  <c r="AO70" i="40"/>
  <c r="AF70" i="40"/>
  <c r="AW70" i="40" s="1"/>
  <c r="Z70" i="40"/>
  <c r="AT70" i="40" s="1"/>
  <c r="R70" i="40"/>
  <c r="V70" i="40" s="1"/>
  <c r="AY69" i="40"/>
  <c r="AQ69" i="40"/>
  <c r="AX69" i="40" s="1"/>
  <c r="AP69" i="40"/>
  <c r="AZ69" i="40" s="1"/>
  <c r="AO69" i="40"/>
  <c r="AF69" i="40"/>
  <c r="AW69" i="40" s="1"/>
  <c r="Z69" i="40"/>
  <c r="AT69" i="40" s="1"/>
  <c r="R69" i="40"/>
  <c r="V69" i="40" s="1"/>
  <c r="AY68" i="40"/>
  <c r="AY74" i="40" s="1"/>
  <c r="AQ68" i="40"/>
  <c r="AP68" i="40"/>
  <c r="AZ68" i="40" s="1"/>
  <c r="AZ74" i="40" s="1"/>
  <c r="AO68" i="40"/>
  <c r="AO74" i="40" s="1"/>
  <c r="AF68" i="40"/>
  <c r="AW68" i="40" s="1"/>
  <c r="AW74" i="40" s="1"/>
  <c r="Z68" i="40"/>
  <c r="R68" i="40"/>
  <c r="V68" i="40" s="1"/>
  <c r="AY67" i="40"/>
  <c r="AW67" i="40"/>
  <c r="AO67" i="40"/>
  <c r="AN67" i="40"/>
  <c r="AM67" i="40"/>
  <c r="AL67" i="40"/>
  <c r="AK67" i="40"/>
  <c r="AJ67" i="40"/>
  <c r="AI67" i="40"/>
  <c r="AH67" i="40"/>
  <c r="AE67" i="40"/>
  <c r="AD67" i="40"/>
  <c r="Y67" i="40"/>
  <c r="X67" i="40"/>
  <c r="W67" i="40"/>
  <c r="U67" i="40"/>
  <c r="T67" i="40"/>
  <c r="S67" i="40"/>
  <c r="AW66" i="40"/>
  <c r="AT66" i="40"/>
  <c r="AP66" i="40"/>
  <c r="AZ66" i="40" s="1"/>
  <c r="AO66" i="40"/>
  <c r="AY66" i="40" s="1"/>
  <c r="AF66" i="40"/>
  <c r="Z66" i="40"/>
  <c r="V66" i="40"/>
  <c r="AC66" i="40" s="1"/>
  <c r="AV66" i="40" s="1"/>
  <c r="R66" i="40"/>
  <c r="AW65" i="40"/>
  <c r="AT65" i="40"/>
  <c r="AP65" i="40"/>
  <c r="AZ65" i="40" s="1"/>
  <c r="AO65" i="40"/>
  <c r="AY65" i="40" s="1"/>
  <c r="AF65" i="40"/>
  <c r="AC65" i="40"/>
  <c r="AV65" i="40" s="1"/>
  <c r="Z65" i="40"/>
  <c r="V65" i="40"/>
  <c r="R65" i="40"/>
  <c r="AW64" i="40"/>
  <c r="AT64" i="40"/>
  <c r="AP64" i="40"/>
  <c r="AZ64" i="40" s="1"/>
  <c r="AO64" i="40"/>
  <c r="AY64" i="40" s="1"/>
  <c r="AF64" i="40"/>
  <c r="Z64" i="40"/>
  <c r="V64" i="40"/>
  <c r="AC64" i="40" s="1"/>
  <c r="AV64" i="40" s="1"/>
  <c r="R64" i="40"/>
  <c r="AW63" i="40"/>
  <c r="AT63" i="40"/>
  <c r="AP63" i="40"/>
  <c r="AZ63" i="40" s="1"/>
  <c r="AO63" i="40"/>
  <c r="AY63" i="40" s="1"/>
  <c r="AF63" i="40"/>
  <c r="AC63" i="40"/>
  <c r="AV63" i="40" s="1"/>
  <c r="Z63" i="40"/>
  <c r="V63" i="40"/>
  <c r="R63" i="40"/>
  <c r="AW62" i="40"/>
  <c r="AT62" i="40"/>
  <c r="AP62" i="40"/>
  <c r="AZ62" i="40" s="1"/>
  <c r="AO62" i="40"/>
  <c r="AY62" i="40" s="1"/>
  <c r="AF62" i="40"/>
  <c r="Z62" i="40"/>
  <c r="V62" i="40"/>
  <c r="AC62" i="40" s="1"/>
  <c r="AV62" i="40" s="1"/>
  <c r="R62" i="40"/>
  <c r="AW61" i="40"/>
  <c r="AT61" i="40"/>
  <c r="AT67" i="40" s="1"/>
  <c r="AP61" i="40"/>
  <c r="AO61" i="40"/>
  <c r="AY61" i="40" s="1"/>
  <c r="AF61" i="40"/>
  <c r="AF67" i="40" s="1"/>
  <c r="AC61" i="40"/>
  <c r="Z61" i="40"/>
  <c r="Z67" i="40" s="1"/>
  <c r="V61" i="40"/>
  <c r="R61" i="40"/>
  <c r="R67" i="40" s="1"/>
  <c r="AP60" i="40"/>
  <c r="AN60" i="40"/>
  <c r="AM60" i="40"/>
  <c r="AL60" i="40"/>
  <c r="AK60" i="40"/>
  <c r="AJ60" i="40"/>
  <c r="AI60" i="40"/>
  <c r="AH60" i="40"/>
  <c r="AE60" i="40"/>
  <c r="AD60" i="40"/>
  <c r="Z60" i="40"/>
  <c r="Y60" i="40"/>
  <c r="X60" i="40"/>
  <c r="W60" i="40"/>
  <c r="U60" i="40"/>
  <c r="T60" i="40"/>
  <c r="S60" i="40"/>
  <c r="AW59" i="40"/>
  <c r="AP59" i="40"/>
  <c r="AZ59" i="40" s="1"/>
  <c r="AO59" i="40"/>
  <c r="AF59" i="40"/>
  <c r="Z59" i="40"/>
  <c r="AT59" i="40" s="1"/>
  <c r="R59" i="40"/>
  <c r="V59" i="40" s="1"/>
  <c r="AS59" i="40" s="1"/>
  <c r="AW58" i="40"/>
  <c r="AP58" i="40"/>
  <c r="AZ58" i="40" s="1"/>
  <c r="AO58" i="40"/>
  <c r="AF58" i="40"/>
  <c r="Z58" i="40"/>
  <c r="AT58" i="40" s="1"/>
  <c r="R58" i="40"/>
  <c r="V58" i="40" s="1"/>
  <c r="AS58" i="40" s="1"/>
  <c r="AW57" i="40"/>
  <c r="AP57" i="40"/>
  <c r="AZ57" i="40" s="1"/>
  <c r="AO57" i="40"/>
  <c r="AF57" i="40"/>
  <c r="Z57" i="40"/>
  <c r="AT57" i="40" s="1"/>
  <c r="R57" i="40"/>
  <c r="V57" i="40" s="1"/>
  <c r="AS57" i="40" s="1"/>
  <c r="AW56" i="40"/>
  <c r="AP56" i="40"/>
  <c r="AZ56" i="40" s="1"/>
  <c r="AO56" i="40"/>
  <c r="AF56" i="40"/>
  <c r="Z56" i="40"/>
  <c r="AT56" i="40" s="1"/>
  <c r="R56" i="40"/>
  <c r="V56" i="40" s="1"/>
  <c r="AS56" i="40" s="1"/>
  <c r="AW55" i="40"/>
  <c r="AP55" i="40"/>
  <c r="AO55" i="40"/>
  <c r="AF55" i="40"/>
  <c r="Z55" i="40"/>
  <c r="Z172" i="40" s="1"/>
  <c r="R55" i="40"/>
  <c r="AW54" i="40"/>
  <c r="AW60" i="40" s="1"/>
  <c r="AP54" i="40"/>
  <c r="AZ54" i="40" s="1"/>
  <c r="AO54" i="40"/>
  <c r="AF54" i="40"/>
  <c r="AF60" i="40" s="1"/>
  <c r="Z54" i="40"/>
  <c r="AT54" i="40" s="1"/>
  <c r="R54" i="40"/>
  <c r="V54" i="40" s="1"/>
  <c r="AS54" i="40" s="1"/>
  <c r="AW53" i="40"/>
  <c r="AO53" i="40"/>
  <c r="AN53" i="40"/>
  <c r="AM53" i="40"/>
  <c r="AL53" i="40"/>
  <c r="AK53" i="40"/>
  <c r="AJ53" i="40"/>
  <c r="AI53" i="40"/>
  <c r="AH53" i="40"/>
  <c r="AE53" i="40"/>
  <c r="AD53" i="40"/>
  <c r="Y53" i="40"/>
  <c r="X53" i="40"/>
  <c r="W53" i="40"/>
  <c r="U53" i="40"/>
  <c r="T53" i="40"/>
  <c r="S53" i="40"/>
  <c r="AZ52" i="40"/>
  <c r="AW52" i="40"/>
  <c r="AW177" i="40" s="1"/>
  <c r="AP35" i="47" s="1"/>
  <c r="AT52" i="40"/>
  <c r="AT177" i="40" s="1"/>
  <c r="AP52" i="40"/>
  <c r="AP177" i="40" s="1"/>
  <c r="AO52" i="40"/>
  <c r="AO177" i="40" s="1"/>
  <c r="AF52" i="40"/>
  <c r="AF177" i="40" s="1"/>
  <c r="Y35" i="47" s="1"/>
  <c r="AA52" i="40"/>
  <c r="Z52" i="40"/>
  <c r="Z177" i="40" s="1"/>
  <c r="V52" i="40"/>
  <c r="V53" i="40" s="1"/>
  <c r="R52" i="40"/>
  <c r="R177" i="40" s="1"/>
  <c r="AZ51" i="40"/>
  <c r="AP51" i="40"/>
  <c r="AN51" i="40"/>
  <c r="AM51" i="40"/>
  <c r="AL51" i="40"/>
  <c r="AK51" i="40"/>
  <c r="AJ51" i="40"/>
  <c r="AI51" i="40"/>
  <c r="AH51" i="40"/>
  <c r="AE51" i="40"/>
  <c r="AD51" i="40"/>
  <c r="Y51" i="40"/>
  <c r="X51" i="40"/>
  <c r="W51" i="40"/>
  <c r="U51" i="40"/>
  <c r="T51" i="40"/>
  <c r="S51" i="40"/>
  <c r="AZ50" i="40"/>
  <c r="AP50" i="40"/>
  <c r="AO50" i="40"/>
  <c r="AY50" i="40" s="1"/>
  <c r="AF50" i="40"/>
  <c r="AW50" i="40" s="1"/>
  <c r="Z50" i="40"/>
  <c r="AT50" i="40" s="1"/>
  <c r="R50" i="40"/>
  <c r="V50" i="40" s="1"/>
  <c r="AB50" i="40" s="1"/>
  <c r="AU50" i="40" s="1"/>
  <c r="AZ49" i="40"/>
  <c r="AP49" i="40"/>
  <c r="AO49" i="40"/>
  <c r="AY49" i="40" s="1"/>
  <c r="AF49" i="40"/>
  <c r="AW49" i="40" s="1"/>
  <c r="Z49" i="40"/>
  <c r="AT49" i="40" s="1"/>
  <c r="R49" i="40"/>
  <c r="V49" i="40" s="1"/>
  <c r="AZ48" i="40"/>
  <c r="AP48" i="40"/>
  <c r="AO48" i="40"/>
  <c r="AY48" i="40" s="1"/>
  <c r="AF48" i="40"/>
  <c r="AW48" i="40" s="1"/>
  <c r="Z48" i="40"/>
  <c r="AT48" i="40" s="1"/>
  <c r="R48" i="40"/>
  <c r="V48" i="40" s="1"/>
  <c r="AB48" i="40" s="1"/>
  <c r="AU48" i="40" s="1"/>
  <c r="AZ47" i="40"/>
  <c r="AP47" i="40"/>
  <c r="AO47" i="40"/>
  <c r="AY47" i="40" s="1"/>
  <c r="AF47" i="40"/>
  <c r="AW47" i="40" s="1"/>
  <c r="Z47" i="40"/>
  <c r="AT47" i="40" s="1"/>
  <c r="R47" i="40"/>
  <c r="V47" i="40" s="1"/>
  <c r="AZ46" i="40"/>
  <c r="AP46" i="40"/>
  <c r="AO46" i="40"/>
  <c r="AY46" i="40" s="1"/>
  <c r="AF46" i="40"/>
  <c r="AW46" i="40" s="1"/>
  <c r="Z46" i="40"/>
  <c r="AT46" i="40" s="1"/>
  <c r="R46" i="40"/>
  <c r="V46" i="40" s="1"/>
  <c r="AB46" i="40" s="1"/>
  <c r="AU46" i="40" s="1"/>
  <c r="AZ45" i="40"/>
  <c r="AP45" i="40"/>
  <c r="AO45" i="40"/>
  <c r="AO51" i="40" s="1"/>
  <c r="AF45" i="40"/>
  <c r="AF51" i="40" s="1"/>
  <c r="Z45" i="40"/>
  <c r="R45" i="40"/>
  <c r="V45" i="40" s="1"/>
  <c r="AB45" i="40" s="1"/>
  <c r="AY44" i="40"/>
  <c r="AO44" i="40"/>
  <c r="AN44" i="40"/>
  <c r="AM44" i="40"/>
  <c r="AL44" i="40"/>
  <c r="AK44" i="40"/>
  <c r="AJ44" i="40"/>
  <c r="AI44" i="40"/>
  <c r="AH44" i="40"/>
  <c r="AE44" i="40"/>
  <c r="AD44" i="40"/>
  <c r="Y44" i="40"/>
  <c r="X44" i="40"/>
  <c r="W44" i="40"/>
  <c r="U44" i="40"/>
  <c r="T44" i="40"/>
  <c r="S44" i="40"/>
  <c r="AZ43" i="40"/>
  <c r="AY43" i="40"/>
  <c r="AV43" i="40"/>
  <c r="AT43" i="40"/>
  <c r="AP43" i="40"/>
  <c r="AQ43" i="40" s="1"/>
  <c r="AX43" i="40" s="1"/>
  <c r="AO43" i="40"/>
  <c r="AF43" i="40"/>
  <c r="AW43" i="40" s="1"/>
  <c r="AC43" i="40"/>
  <c r="AA43" i="40"/>
  <c r="Z43" i="40"/>
  <c r="V43" i="40"/>
  <c r="R43" i="40"/>
  <c r="AZ42" i="40"/>
  <c r="AY42" i="40"/>
  <c r="AT42" i="40"/>
  <c r="AP42" i="40"/>
  <c r="AQ42" i="40" s="1"/>
  <c r="AX42" i="40" s="1"/>
  <c r="AO42" i="40"/>
  <c r="AF42" i="40"/>
  <c r="AW42" i="40" s="1"/>
  <c r="Z42" i="40"/>
  <c r="V42" i="40"/>
  <c r="AC42" i="40" s="1"/>
  <c r="AV42" i="40" s="1"/>
  <c r="R42" i="40"/>
  <c r="AY41" i="40"/>
  <c r="AT41" i="40"/>
  <c r="AP41" i="40"/>
  <c r="AQ41" i="40" s="1"/>
  <c r="AX41" i="40" s="1"/>
  <c r="AO41" i="40"/>
  <c r="AF41" i="40"/>
  <c r="AW41" i="40" s="1"/>
  <c r="Z41" i="40"/>
  <c r="V41" i="40"/>
  <c r="R41" i="40"/>
  <c r="AY40" i="40"/>
  <c r="AT40" i="40"/>
  <c r="AP40" i="40"/>
  <c r="AQ40" i="40" s="1"/>
  <c r="AX40" i="40" s="1"/>
  <c r="AO40" i="40"/>
  <c r="AF40" i="40"/>
  <c r="AW40" i="40" s="1"/>
  <c r="AC40" i="40"/>
  <c r="AA40" i="40"/>
  <c r="Z40" i="40"/>
  <c r="V40" i="40"/>
  <c r="R40" i="40"/>
  <c r="AZ39" i="40"/>
  <c r="AY39" i="40"/>
  <c r="AV39" i="40"/>
  <c r="AT39" i="40"/>
  <c r="AP39" i="40"/>
  <c r="AO39" i="40"/>
  <c r="AF39" i="40"/>
  <c r="AW39" i="40" s="1"/>
  <c r="AW44" i="40" s="1"/>
  <c r="AC39" i="40"/>
  <c r="AA39" i="40"/>
  <c r="Z39" i="40"/>
  <c r="Z44" i="40" s="1"/>
  <c r="V39" i="40"/>
  <c r="R39" i="40"/>
  <c r="R44" i="40" s="1"/>
  <c r="AP38" i="40"/>
  <c r="AN38" i="40"/>
  <c r="AM38" i="40"/>
  <c r="AL38" i="40"/>
  <c r="AK38" i="40"/>
  <c r="AJ38" i="40"/>
  <c r="AI38" i="40"/>
  <c r="AH38" i="40"/>
  <c r="AE38" i="40"/>
  <c r="AD38" i="40"/>
  <c r="Y38" i="40"/>
  <c r="X38" i="40"/>
  <c r="W38" i="40"/>
  <c r="U38" i="40"/>
  <c r="T38" i="40"/>
  <c r="S38" i="40"/>
  <c r="AP37" i="40"/>
  <c r="AZ37" i="40" s="1"/>
  <c r="AO37" i="40"/>
  <c r="AY37" i="40" s="1"/>
  <c r="AF37" i="40"/>
  <c r="AW37" i="40" s="1"/>
  <c r="Z37" i="40"/>
  <c r="AT37" i="40" s="1"/>
  <c r="R37" i="40"/>
  <c r="V37" i="40" s="1"/>
  <c r="AY36" i="40"/>
  <c r="AS36" i="40"/>
  <c r="AQ36" i="40"/>
  <c r="AX36" i="40" s="1"/>
  <c r="AP36" i="40"/>
  <c r="AZ36" i="40" s="1"/>
  <c r="AO36" i="40"/>
  <c r="AF36" i="40"/>
  <c r="AW36" i="40" s="1"/>
  <c r="AB36" i="40"/>
  <c r="AU36" i="40" s="1"/>
  <c r="Z36" i="40"/>
  <c r="AT36" i="40" s="1"/>
  <c r="R36" i="40"/>
  <c r="V36" i="40" s="1"/>
  <c r="AY35" i="40"/>
  <c r="AW35" i="40"/>
  <c r="AS35" i="40"/>
  <c r="AQ35" i="40"/>
  <c r="AX35" i="40" s="1"/>
  <c r="AP35" i="40"/>
  <c r="AZ35" i="40" s="1"/>
  <c r="AO35" i="40"/>
  <c r="AF35" i="40"/>
  <c r="AB35" i="40"/>
  <c r="AU35" i="40" s="1"/>
  <c r="Z35" i="40"/>
  <c r="AT35" i="40" s="1"/>
  <c r="R35" i="40"/>
  <c r="V35" i="40" s="1"/>
  <c r="AW34" i="40"/>
  <c r="AP34" i="40"/>
  <c r="AZ34" i="40" s="1"/>
  <c r="AO34" i="40"/>
  <c r="AY34" i="40" s="1"/>
  <c r="AF34" i="40"/>
  <c r="Z34" i="40"/>
  <c r="AT34" i="40" s="1"/>
  <c r="R34" i="40"/>
  <c r="V34" i="40" s="1"/>
  <c r="AS34" i="40" s="1"/>
  <c r="AP33" i="40"/>
  <c r="AP171" i="40" s="1"/>
  <c r="AO33" i="40"/>
  <c r="AF33" i="40"/>
  <c r="AF171" i="40" s="1"/>
  <c r="Y29" i="47" s="1"/>
  <c r="Z33" i="40"/>
  <c r="V33" i="40"/>
  <c r="AC33" i="40" s="1"/>
  <c r="R33" i="40"/>
  <c r="AN32" i="40"/>
  <c r="AM32" i="40"/>
  <c r="AL32" i="40"/>
  <c r="AK32" i="40"/>
  <c r="AJ32" i="40"/>
  <c r="AI32" i="40"/>
  <c r="AH32" i="40"/>
  <c r="AE32" i="40"/>
  <c r="AD32" i="40"/>
  <c r="Z32" i="40"/>
  <c r="Y32" i="40"/>
  <c r="X32" i="40"/>
  <c r="W32" i="40"/>
  <c r="U32" i="40"/>
  <c r="T32" i="40"/>
  <c r="S32" i="40"/>
  <c r="AW31" i="40"/>
  <c r="AT31" i="40"/>
  <c r="AP31" i="40"/>
  <c r="AZ31" i="40" s="1"/>
  <c r="AO31" i="40"/>
  <c r="AF31" i="40"/>
  <c r="Z31" i="40"/>
  <c r="V31" i="40"/>
  <c r="AB31" i="40" s="1"/>
  <c r="AU31" i="40" s="1"/>
  <c r="R31" i="40"/>
  <c r="AW30" i="40"/>
  <c r="AT30" i="40"/>
  <c r="AP30" i="40"/>
  <c r="AZ30" i="40" s="1"/>
  <c r="AZ176" i="40" s="1"/>
  <c r="AO30" i="40"/>
  <c r="AF30" i="40"/>
  <c r="Z30" i="40"/>
  <c r="V30" i="40"/>
  <c r="AB30" i="40" s="1"/>
  <c r="R30" i="40"/>
  <c r="AW29" i="40"/>
  <c r="AT29" i="40"/>
  <c r="AS29" i="40"/>
  <c r="AP29" i="40"/>
  <c r="AZ29" i="40" s="1"/>
  <c r="AO29" i="40"/>
  <c r="AF29" i="40"/>
  <c r="AA29" i="40"/>
  <c r="Z29" i="40"/>
  <c r="V29" i="40"/>
  <c r="AC29" i="40" s="1"/>
  <c r="AV29" i="40" s="1"/>
  <c r="R29" i="40"/>
  <c r="AZ28" i="40"/>
  <c r="AZ173" i="40" s="1"/>
  <c r="AW28" i="40"/>
  <c r="AW173" i="40" s="1"/>
  <c r="AP31" i="47" s="1"/>
  <c r="AT28" i="40"/>
  <c r="AT173" i="40" s="1"/>
  <c r="AP28" i="40"/>
  <c r="AP173" i="40" s="1"/>
  <c r="AO28" i="40"/>
  <c r="AF28" i="40"/>
  <c r="AF173" i="40" s="1"/>
  <c r="Y31" i="47" s="1"/>
  <c r="Z28" i="40"/>
  <c r="Z173" i="40" s="1"/>
  <c r="R28" i="40"/>
  <c r="R173" i="40" s="1"/>
  <c r="AZ27" i="40"/>
  <c r="AW27" i="40"/>
  <c r="AP27" i="40"/>
  <c r="AO27" i="40"/>
  <c r="AY27" i="40" s="1"/>
  <c r="AF27" i="40"/>
  <c r="Z27" i="40"/>
  <c r="AT27" i="40" s="1"/>
  <c r="R27" i="40"/>
  <c r="V27" i="40" s="1"/>
  <c r="AZ26" i="40"/>
  <c r="AW26" i="40"/>
  <c r="AP26" i="40"/>
  <c r="AO26" i="40"/>
  <c r="AO170" i="40" s="1"/>
  <c r="AF26" i="40"/>
  <c r="Z26" i="40"/>
  <c r="Z170" i="40" s="1"/>
  <c r="R26" i="40"/>
  <c r="R170" i="40" s="1"/>
  <c r="AY25" i="40"/>
  <c r="AO25" i="40"/>
  <c r="AN25" i="40"/>
  <c r="AM25" i="40"/>
  <c r="AL25" i="40"/>
  <c r="AK25" i="40"/>
  <c r="AJ25" i="40"/>
  <c r="AI25" i="40"/>
  <c r="AH25" i="40"/>
  <c r="AE25" i="40"/>
  <c r="AD25" i="40"/>
  <c r="Y25" i="40"/>
  <c r="X25" i="40"/>
  <c r="W25" i="40"/>
  <c r="U25" i="40"/>
  <c r="T25" i="40"/>
  <c r="S25" i="40"/>
  <c r="AZ24" i="40"/>
  <c r="AZ178" i="40" s="1"/>
  <c r="AY24" i="40"/>
  <c r="AY178" i="40" s="1"/>
  <c r="AQ24" i="40"/>
  <c r="AQ25" i="40" s="1"/>
  <c r="AP24" i="40"/>
  <c r="AP178" i="40" s="1"/>
  <c r="AO24" i="40"/>
  <c r="AO178" i="40" s="1"/>
  <c r="AF24" i="40"/>
  <c r="AF178" i="40" s="1"/>
  <c r="Y36" i="47" s="1"/>
  <c r="AA24" i="40"/>
  <c r="AA178" i="40" s="1"/>
  <c r="Z24" i="40"/>
  <c r="Z178" i="40" s="1"/>
  <c r="V24" i="40"/>
  <c r="V178" i="40" s="1"/>
  <c r="R24" i="40"/>
  <c r="R178" i="40" s="1"/>
  <c r="AN23" i="40"/>
  <c r="AM23" i="40"/>
  <c r="AL23" i="40"/>
  <c r="AK23" i="40"/>
  <c r="AJ23" i="40"/>
  <c r="AI23" i="40"/>
  <c r="AH23" i="40"/>
  <c r="AE23" i="40"/>
  <c r="AD23" i="40"/>
  <c r="Y23" i="40"/>
  <c r="X23" i="40"/>
  <c r="W23" i="40"/>
  <c r="U23" i="40"/>
  <c r="T23" i="40"/>
  <c r="S23" i="40"/>
  <c r="AY22" i="40"/>
  <c r="AQ22" i="40"/>
  <c r="AX22" i="40" s="1"/>
  <c r="AP22" i="40"/>
  <c r="AZ22" i="40" s="1"/>
  <c r="AO22" i="40"/>
  <c r="AF22" i="40"/>
  <c r="AW22" i="40" s="1"/>
  <c r="Z22" i="40"/>
  <c r="AT22" i="40" s="1"/>
  <c r="V22" i="40"/>
  <c r="AC22" i="40" s="1"/>
  <c r="AV22" i="40" s="1"/>
  <c r="R22" i="40"/>
  <c r="AY21" i="40"/>
  <c r="AQ21" i="40"/>
  <c r="AX21" i="40" s="1"/>
  <c r="AP21" i="40"/>
  <c r="AZ21" i="40" s="1"/>
  <c r="AO21" i="40"/>
  <c r="AF21" i="40"/>
  <c r="AW21" i="40" s="1"/>
  <c r="Z21" i="40"/>
  <c r="AT21" i="40" s="1"/>
  <c r="V21" i="40"/>
  <c r="AC21" i="40" s="1"/>
  <c r="AV21" i="40" s="1"/>
  <c r="R21" i="40"/>
  <c r="AY20" i="40"/>
  <c r="AY23" i="40" s="1"/>
  <c r="AQ20" i="40"/>
  <c r="AQ23" i="40" s="1"/>
  <c r="AP20" i="40"/>
  <c r="AP23" i="40" s="1"/>
  <c r="AO20" i="40"/>
  <c r="AO23" i="40" s="1"/>
  <c r="AF20" i="40"/>
  <c r="AW20" i="40" s="1"/>
  <c r="AW23" i="40" s="1"/>
  <c r="Z20" i="40"/>
  <c r="AT20" i="40" s="1"/>
  <c r="AT23" i="40" s="1"/>
  <c r="V20" i="40"/>
  <c r="AC20" i="40" s="1"/>
  <c r="R20" i="40"/>
  <c r="R23" i="40" s="1"/>
  <c r="AN19" i="40"/>
  <c r="AM19" i="40"/>
  <c r="AL19" i="40"/>
  <c r="AK19" i="40"/>
  <c r="AJ19" i="40"/>
  <c r="AI19" i="40"/>
  <c r="AH19" i="40"/>
  <c r="AE19" i="40"/>
  <c r="AD19" i="40"/>
  <c r="Z19" i="40"/>
  <c r="Y19" i="40"/>
  <c r="X19" i="40"/>
  <c r="W19" i="40"/>
  <c r="U19" i="40"/>
  <c r="T19" i="40"/>
  <c r="S19" i="40"/>
  <c r="AW18" i="40"/>
  <c r="AT18" i="40"/>
  <c r="AP18" i="40"/>
  <c r="AZ18" i="40" s="1"/>
  <c r="AO18" i="40"/>
  <c r="AY18" i="40" s="1"/>
  <c r="AF18" i="40"/>
  <c r="Z18" i="40"/>
  <c r="V18" i="40"/>
  <c r="AS18" i="40" s="1"/>
  <c r="R18" i="40"/>
  <c r="AW17" i="40"/>
  <c r="AT17" i="40"/>
  <c r="AP17" i="40"/>
  <c r="AZ17" i="40" s="1"/>
  <c r="AO17" i="40"/>
  <c r="AY17" i="40" s="1"/>
  <c r="AF17" i="40"/>
  <c r="Z17" i="40"/>
  <c r="V17" i="40"/>
  <c r="AS17" i="40" s="1"/>
  <c r="R17" i="40"/>
  <c r="AW16" i="40"/>
  <c r="AW19" i="40" s="1"/>
  <c r="AT16" i="40"/>
  <c r="AT19" i="40" s="1"/>
  <c r="AP16" i="40"/>
  <c r="AP19" i="40" s="1"/>
  <c r="AO16" i="40"/>
  <c r="AO19" i="40" s="1"/>
  <c r="AF16" i="40"/>
  <c r="AF19" i="40" s="1"/>
  <c r="Z16" i="40"/>
  <c r="V16" i="40"/>
  <c r="V19" i="40" s="1"/>
  <c r="R16" i="40"/>
  <c r="R19" i="40" s="1"/>
  <c r="AP15" i="40"/>
  <c r="AN15" i="40"/>
  <c r="AM15" i="40"/>
  <c r="AL15" i="40"/>
  <c r="AK15" i="40"/>
  <c r="AJ15" i="40"/>
  <c r="AI15" i="40"/>
  <c r="AH15" i="40"/>
  <c r="AE15" i="40"/>
  <c r="AD15" i="40"/>
  <c r="Z15" i="40"/>
  <c r="Y15" i="40"/>
  <c r="X15" i="40"/>
  <c r="W15" i="40"/>
  <c r="U15" i="40"/>
  <c r="T15" i="40"/>
  <c r="S15" i="40"/>
  <c r="AZ14" i="40"/>
  <c r="AW14" i="40"/>
  <c r="AP14" i="40"/>
  <c r="AO14" i="40"/>
  <c r="AO175" i="40" s="1"/>
  <c r="AF14" i="40"/>
  <c r="Z14" i="40"/>
  <c r="AT14" i="40" s="1"/>
  <c r="AT175" i="40" s="1"/>
  <c r="R14" i="40"/>
  <c r="R175" i="40" s="1"/>
  <c r="AZ13" i="40"/>
  <c r="AW13" i="40"/>
  <c r="AP13" i="40"/>
  <c r="AO13" i="40"/>
  <c r="AY13" i="40" s="1"/>
  <c r="AF13" i="40"/>
  <c r="Z13" i="40"/>
  <c r="AT13" i="40" s="1"/>
  <c r="R13" i="40"/>
  <c r="V13" i="40" s="1"/>
  <c r="AZ12" i="40"/>
  <c r="AZ15" i="40" s="1"/>
  <c r="AW12" i="40"/>
  <c r="AP12" i="40"/>
  <c r="AO12" i="40"/>
  <c r="AO169" i="40" s="1"/>
  <c r="AF12" i="40"/>
  <c r="Z12" i="40"/>
  <c r="AT12" i="40" s="1"/>
  <c r="R12" i="40"/>
  <c r="R169" i="40" s="1"/>
  <c r="AN136" i="39"/>
  <c r="AM136" i="39"/>
  <c r="AL136" i="39"/>
  <c r="AK136" i="39"/>
  <c r="AJ136" i="39"/>
  <c r="AI136" i="39"/>
  <c r="AH136" i="39"/>
  <c r="AE136" i="39"/>
  <c r="AD136" i="39"/>
  <c r="Y136" i="39"/>
  <c r="X136" i="39"/>
  <c r="W136" i="39"/>
  <c r="U136" i="39"/>
  <c r="T136" i="39"/>
  <c r="S136" i="39"/>
  <c r="Q136" i="39"/>
  <c r="P136" i="39"/>
  <c r="O136" i="39"/>
  <c r="N136" i="39"/>
  <c r="M136" i="39"/>
  <c r="L136" i="39"/>
  <c r="K136" i="39"/>
  <c r="J136" i="39"/>
  <c r="I136" i="39"/>
  <c r="AN135" i="39"/>
  <c r="AM135" i="39"/>
  <c r="AL135" i="39"/>
  <c r="AK135" i="39"/>
  <c r="AJ135" i="39"/>
  <c r="AI135" i="39"/>
  <c r="AH135" i="39"/>
  <c r="AE135" i="39"/>
  <c r="AD135" i="39"/>
  <c r="Y135" i="39"/>
  <c r="X135" i="39"/>
  <c r="W135" i="39"/>
  <c r="U135" i="39"/>
  <c r="T135" i="39"/>
  <c r="S135" i="39"/>
  <c r="Q135" i="39"/>
  <c r="P135" i="39"/>
  <c r="O135" i="39"/>
  <c r="N135" i="39"/>
  <c r="M135" i="39"/>
  <c r="L135" i="39"/>
  <c r="K135" i="39"/>
  <c r="J135" i="39"/>
  <c r="I135" i="39"/>
  <c r="AN134" i="39"/>
  <c r="AM134" i="39"/>
  <c r="AL134" i="39"/>
  <c r="AK134" i="39"/>
  <c r="AJ134" i="39"/>
  <c r="AI134" i="39"/>
  <c r="AH134" i="39"/>
  <c r="AE134" i="39"/>
  <c r="AD134" i="39"/>
  <c r="Y134" i="39"/>
  <c r="X134" i="39"/>
  <c r="W134" i="39"/>
  <c r="U134" i="39"/>
  <c r="T134" i="39"/>
  <c r="S134" i="39"/>
  <c r="Q134" i="39"/>
  <c r="P134" i="39"/>
  <c r="O134" i="39"/>
  <c r="N134" i="39"/>
  <c r="M134" i="39"/>
  <c r="L134" i="39"/>
  <c r="K134" i="39"/>
  <c r="J134" i="39"/>
  <c r="I134" i="39"/>
  <c r="AN133" i="39"/>
  <c r="AM133" i="39"/>
  <c r="AL133" i="39"/>
  <c r="AK133" i="39"/>
  <c r="AJ133" i="39"/>
  <c r="AI133" i="39"/>
  <c r="AH133" i="39"/>
  <c r="AE133" i="39"/>
  <c r="AD133" i="39"/>
  <c r="Y133" i="39"/>
  <c r="X133" i="39"/>
  <c r="W133" i="39"/>
  <c r="U133" i="39"/>
  <c r="T133" i="39"/>
  <c r="S133" i="39"/>
  <c r="Q133" i="39"/>
  <c r="P133" i="39"/>
  <c r="O133" i="39"/>
  <c r="N133" i="39"/>
  <c r="M133" i="39"/>
  <c r="L133" i="39"/>
  <c r="K133" i="39"/>
  <c r="J133" i="39"/>
  <c r="I133" i="39"/>
  <c r="AZ132" i="39"/>
  <c r="AY132" i="39"/>
  <c r="AX132" i="39"/>
  <c r="AW132" i="39"/>
  <c r="AV132" i="39"/>
  <c r="AU132" i="39"/>
  <c r="AT132" i="39"/>
  <c r="AS132" i="39"/>
  <c r="AR132" i="39"/>
  <c r="AQ132" i="39"/>
  <c r="AP132" i="39"/>
  <c r="AO132" i="39"/>
  <c r="AN132" i="39"/>
  <c r="AM132" i="39"/>
  <c r="AL132" i="39"/>
  <c r="AK132" i="39"/>
  <c r="AJ132" i="39"/>
  <c r="AI132" i="39"/>
  <c r="AH132" i="39"/>
  <c r="AG132" i="39"/>
  <c r="AF132" i="39"/>
  <c r="AE132" i="39"/>
  <c r="AD132" i="39"/>
  <c r="AC132" i="39"/>
  <c r="AB132" i="39"/>
  <c r="AA132" i="39"/>
  <c r="Z132" i="39"/>
  <c r="Y132" i="39"/>
  <c r="X132" i="39"/>
  <c r="W132" i="39"/>
  <c r="V132" i="39"/>
  <c r="U132" i="39"/>
  <c r="T132" i="39"/>
  <c r="S132" i="39"/>
  <c r="R132" i="39"/>
  <c r="Q132" i="39"/>
  <c r="P132" i="39"/>
  <c r="O132" i="39"/>
  <c r="N132" i="39"/>
  <c r="M132" i="39"/>
  <c r="L132" i="39"/>
  <c r="K132" i="39"/>
  <c r="J132" i="39"/>
  <c r="I132" i="39"/>
  <c r="AZ131" i="39"/>
  <c r="AY131" i="39"/>
  <c r="AX131" i="39"/>
  <c r="AW131" i="39"/>
  <c r="AV131" i="39"/>
  <c r="AU131" i="39"/>
  <c r="AT131" i="39"/>
  <c r="AS131" i="39"/>
  <c r="AR131" i="39"/>
  <c r="AQ131" i="39"/>
  <c r="AP131" i="39"/>
  <c r="AO131" i="39"/>
  <c r="AN131" i="39"/>
  <c r="AM131" i="39"/>
  <c r="AL131" i="39"/>
  <c r="AK131" i="39"/>
  <c r="AJ131" i="39"/>
  <c r="AI131" i="39"/>
  <c r="AH131" i="39"/>
  <c r="AG131" i="39"/>
  <c r="AF131" i="39"/>
  <c r="AE131" i="39"/>
  <c r="AD131" i="39"/>
  <c r="AC131" i="39"/>
  <c r="AB131" i="39"/>
  <c r="AA131" i="39"/>
  <c r="Z131" i="39"/>
  <c r="Y131" i="39"/>
  <c r="X131" i="39"/>
  <c r="W131" i="39"/>
  <c r="V131" i="39"/>
  <c r="U131" i="39"/>
  <c r="T131" i="39"/>
  <c r="S131" i="39"/>
  <c r="R131" i="39"/>
  <c r="Q131" i="39"/>
  <c r="P131" i="39"/>
  <c r="O131" i="39"/>
  <c r="N131" i="39"/>
  <c r="M131" i="39"/>
  <c r="L131" i="39"/>
  <c r="K131" i="39"/>
  <c r="J131" i="39"/>
  <c r="I131" i="39"/>
  <c r="AN130" i="39"/>
  <c r="AM130" i="39"/>
  <c r="AL130" i="39"/>
  <c r="AK130" i="39"/>
  <c r="AJ130" i="39"/>
  <c r="AI130" i="39"/>
  <c r="AH130" i="39"/>
  <c r="AE130" i="39"/>
  <c r="AD130" i="39"/>
  <c r="Y130" i="39"/>
  <c r="X130" i="39"/>
  <c r="W130" i="39"/>
  <c r="U130" i="39"/>
  <c r="T130" i="39"/>
  <c r="S130" i="39"/>
  <c r="Q130" i="39"/>
  <c r="P130" i="39"/>
  <c r="O130" i="39"/>
  <c r="N130" i="39"/>
  <c r="M130" i="39"/>
  <c r="L130" i="39"/>
  <c r="K130" i="39"/>
  <c r="J130" i="39"/>
  <c r="I130" i="39"/>
  <c r="AN129" i="39"/>
  <c r="AM129" i="39"/>
  <c r="AL129" i="39"/>
  <c r="AK129" i="39"/>
  <c r="AJ129" i="39"/>
  <c r="AI129" i="39"/>
  <c r="AH129" i="39"/>
  <c r="AE129" i="39"/>
  <c r="AD129" i="39"/>
  <c r="Y129" i="39"/>
  <c r="X129" i="39"/>
  <c r="W129" i="39"/>
  <c r="U129" i="39"/>
  <c r="T129" i="39"/>
  <c r="S129" i="39"/>
  <c r="Q129" i="39"/>
  <c r="P129" i="39"/>
  <c r="O129" i="39"/>
  <c r="N129" i="39"/>
  <c r="M129" i="39"/>
  <c r="L129" i="39"/>
  <c r="K129" i="39"/>
  <c r="J129" i="39"/>
  <c r="I129" i="39"/>
  <c r="AN128" i="39"/>
  <c r="AM128" i="39"/>
  <c r="AL128" i="39"/>
  <c r="AK128" i="39"/>
  <c r="AJ128" i="39"/>
  <c r="AI128" i="39"/>
  <c r="AH128" i="39"/>
  <c r="AE128" i="39"/>
  <c r="AD128" i="39"/>
  <c r="Y128" i="39"/>
  <c r="X128" i="39"/>
  <c r="W128" i="39"/>
  <c r="U128" i="39"/>
  <c r="T128" i="39"/>
  <c r="S128" i="39"/>
  <c r="Q128" i="39"/>
  <c r="P128" i="39"/>
  <c r="O128" i="39"/>
  <c r="N128" i="39"/>
  <c r="M128" i="39"/>
  <c r="L128" i="39"/>
  <c r="K128" i="39"/>
  <c r="J128" i="39"/>
  <c r="I128" i="39"/>
  <c r="AN127" i="39"/>
  <c r="AM127" i="39"/>
  <c r="AL127" i="39"/>
  <c r="AK127" i="39"/>
  <c r="AJ127" i="39"/>
  <c r="AI127" i="39"/>
  <c r="AH127" i="39"/>
  <c r="AE127" i="39"/>
  <c r="AD127" i="39"/>
  <c r="Y127" i="39"/>
  <c r="X127" i="39"/>
  <c r="W127" i="39"/>
  <c r="W126" i="39" s="1"/>
  <c r="U127" i="39"/>
  <c r="T127" i="39"/>
  <c r="S127" i="39"/>
  <c r="Q127" i="39"/>
  <c r="P127" i="39"/>
  <c r="O127" i="39"/>
  <c r="N127" i="39"/>
  <c r="M127" i="39"/>
  <c r="L127" i="39"/>
  <c r="K127" i="39"/>
  <c r="J127" i="39"/>
  <c r="I127" i="39"/>
  <c r="AN126" i="39"/>
  <c r="AM126" i="39"/>
  <c r="AL126" i="39"/>
  <c r="AJ126" i="39"/>
  <c r="AI126" i="39"/>
  <c r="AH126" i="39"/>
  <c r="AE126" i="39"/>
  <c r="AF125" i="39" s="1"/>
  <c r="AD126" i="39"/>
  <c r="X126" i="39"/>
  <c r="T126" i="39"/>
  <c r="S126" i="39"/>
  <c r="P126" i="39"/>
  <c r="O126" i="39"/>
  <c r="N126" i="39"/>
  <c r="L126" i="39"/>
  <c r="K126" i="39"/>
  <c r="J126" i="39"/>
  <c r="AP125" i="39"/>
  <c r="AO125" i="39"/>
  <c r="AP124" i="39"/>
  <c r="AO124" i="39"/>
  <c r="Q123" i="39"/>
  <c r="O124" i="39" s="1"/>
  <c r="P123" i="39"/>
  <c r="O123" i="39"/>
  <c r="N123" i="39"/>
  <c r="M123" i="39"/>
  <c r="L123" i="39"/>
  <c r="K123" i="39"/>
  <c r="J123" i="39"/>
  <c r="I124" i="39" s="1"/>
  <c r="I123" i="39"/>
  <c r="AW122" i="39"/>
  <c r="AN122" i="39"/>
  <c r="AM122" i="39"/>
  <c r="AL122" i="39"/>
  <c r="AK122" i="39"/>
  <c r="AJ122" i="39"/>
  <c r="AI122" i="39"/>
  <c r="AH122" i="39"/>
  <c r="AE122" i="39"/>
  <c r="AD122" i="39"/>
  <c r="Z122" i="39"/>
  <c r="Y122" i="39"/>
  <c r="X122" i="39"/>
  <c r="W122" i="39"/>
  <c r="U122" i="39"/>
  <c r="T122" i="39"/>
  <c r="S122" i="39"/>
  <c r="AZ121" i="39"/>
  <c r="AW121" i="39"/>
  <c r="AT121" i="39"/>
  <c r="AP121" i="39"/>
  <c r="AO121" i="39"/>
  <c r="AF121" i="39"/>
  <c r="Z121" i="39"/>
  <c r="R121" i="39"/>
  <c r="V121" i="39" s="1"/>
  <c r="AW120" i="39"/>
  <c r="AT120" i="39"/>
  <c r="AP120" i="39"/>
  <c r="AZ120" i="39" s="1"/>
  <c r="AO120" i="39"/>
  <c r="AF120" i="39"/>
  <c r="Z120" i="39"/>
  <c r="V120" i="39"/>
  <c r="R120" i="39"/>
  <c r="AW119" i="39"/>
  <c r="AT119" i="39"/>
  <c r="AP119" i="39"/>
  <c r="AZ119" i="39" s="1"/>
  <c r="AO119" i="39"/>
  <c r="AF119" i="39"/>
  <c r="Z119" i="39"/>
  <c r="V119" i="39"/>
  <c r="AC119" i="39" s="1"/>
  <c r="AV119" i="39" s="1"/>
  <c r="R119" i="39"/>
  <c r="AW118" i="39"/>
  <c r="AT118" i="39"/>
  <c r="AT122" i="39" s="1"/>
  <c r="AP118" i="39"/>
  <c r="AO118" i="39"/>
  <c r="AF118" i="39"/>
  <c r="AF122" i="39" s="1"/>
  <c r="Z118" i="39"/>
  <c r="R118" i="39"/>
  <c r="AP117" i="39"/>
  <c r="AO117" i="39"/>
  <c r="AN117" i="39"/>
  <c r="AM117" i="39"/>
  <c r="AL117" i="39"/>
  <c r="AK117" i="39"/>
  <c r="AJ117" i="39"/>
  <c r="AI117" i="39"/>
  <c r="AH117" i="39"/>
  <c r="AE117" i="39"/>
  <c r="AD117" i="39"/>
  <c r="Y117" i="39"/>
  <c r="X117" i="39"/>
  <c r="W117" i="39"/>
  <c r="U117" i="39"/>
  <c r="T117" i="39"/>
  <c r="S117" i="39"/>
  <c r="AZ116" i="39"/>
  <c r="AP116" i="39"/>
  <c r="AO116" i="39"/>
  <c r="AY116" i="39" s="1"/>
  <c r="AF116" i="39"/>
  <c r="AW116" i="39" s="1"/>
  <c r="Z116" i="39"/>
  <c r="AT116" i="39" s="1"/>
  <c r="R116" i="39"/>
  <c r="V116" i="39" s="1"/>
  <c r="AZ115" i="39"/>
  <c r="AZ117" i="39" s="1"/>
  <c r="AP115" i="39"/>
  <c r="AO115" i="39"/>
  <c r="AY115" i="39" s="1"/>
  <c r="AY117" i="39" s="1"/>
  <c r="AF115" i="39"/>
  <c r="AF117" i="39" s="1"/>
  <c r="AA115" i="39"/>
  <c r="Z115" i="39"/>
  <c r="AT115" i="39" s="1"/>
  <c r="AT117" i="39" s="1"/>
  <c r="R115" i="39"/>
  <c r="V115" i="39" s="1"/>
  <c r="AN114" i="39"/>
  <c r="AM114" i="39"/>
  <c r="AL114" i="39"/>
  <c r="AK114" i="39"/>
  <c r="AJ114" i="39"/>
  <c r="AI114" i="39"/>
  <c r="AH114" i="39"/>
  <c r="AF114" i="39"/>
  <c r="AE114" i="39"/>
  <c r="AD114" i="39"/>
  <c r="Y114" i="39"/>
  <c r="X114" i="39"/>
  <c r="W114" i="39"/>
  <c r="U114" i="39"/>
  <c r="T114" i="39"/>
  <c r="S114" i="39"/>
  <c r="AY113" i="39"/>
  <c r="AQ113" i="39"/>
  <c r="AX113" i="39" s="1"/>
  <c r="AP113" i="39"/>
  <c r="AZ113" i="39" s="1"/>
  <c r="AO113" i="39"/>
  <c r="AF113" i="39"/>
  <c r="AW113" i="39" s="1"/>
  <c r="Z113" i="39"/>
  <c r="AT113" i="39" s="1"/>
  <c r="V113" i="39"/>
  <c r="AC113" i="39" s="1"/>
  <c r="AV113" i="39" s="1"/>
  <c r="R113" i="39"/>
  <c r="AY112" i="39"/>
  <c r="AQ112" i="39"/>
  <c r="AX112" i="39" s="1"/>
  <c r="AP112" i="39"/>
  <c r="AZ112" i="39" s="1"/>
  <c r="AO112" i="39"/>
  <c r="AF112" i="39"/>
  <c r="AW112" i="39" s="1"/>
  <c r="Z112" i="39"/>
  <c r="AT112" i="39" s="1"/>
  <c r="V112" i="39"/>
  <c r="AC112" i="39" s="1"/>
  <c r="AV112" i="39" s="1"/>
  <c r="R112" i="39"/>
  <c r="AY111" i="39"/>
  <c r="AQ111" i="39"/>
  <c r="AX111" i="39" s="1"/>
  <c r="AP111" i="39"/>
  <c r="AZ111" i="39" s="1"/>
  <c r="AO111" i="39"/>
  <c r="AF111" i="39"/>
  <c r="AW111" i="39" s="1"/>
  <c r="Z111" i="39"/>
  <c r="AT111" i="39" s="1"/>
  <c r="V111" i="39"/>
  <c r="AC111" i="39" s="1"/>
  <c r="AV111" i="39" s="1"/>
  <c r="R111" i="39"/>
  <c r="AY110" i="39"/>
  <c r="AQ110" i="39"/>
  <c r="AX110" i="39" s="1"/>
  <c r="AP110" i="39"/>
  <c r="AZ110" i="39" s="1"/>
  <c r="AO110" i="39"/>
  <c r="AF110" i="39"/>
  <c r="AW110" i="39" s="1"/>
  <c r="Z110" i="39"/>
  <c r="AT110" i="39" s="1"/>
  <c r="V110" i="39"/>
  <c r="AC110" i="39" s="1"/>
  <c r="AV110" i="39" s="1"/>
  <c r="R110" i="39"/>
  <c r="AY109" i="39"/>
  <c r="AQ109" i="39"/>
  <c r="AX109" i="39" s="1"/>
  <c r="AP109" i="39"/>
  <c r="AZ109" i="39" s="1"/>
  <c r="AO109" i="39"/>
  <c r="AF109" i="39"/>
  <c r="AW109" i="39" s="1"/>
  <c r="Z109" i="39"/>
  <c r="AT109" i="39" s="1"/>
  <c r="V109" i="39"/>
  <c r="AC109" i="39" s="1"/>
  <c r="AV109" i="39" s="1"/>
  <c r="R109" i="39"/>
  <c r="AY108" i="39"/>
  <c r="AQ108" i="39"/>
  <c r="AP108" i="39"/>
  <c r="AP114" i="39" s="1"/>
  <c r="AO108" i="39"/>
  <c r="AO114" i="39" s="1"/>
  <c r="AF108" i="39"/>
  <c r="AW108" i="39" s="1"/>
  <c r="Z108" i="39"/>
  <c r="V108" i="39"/>
  <c r="AC108" i="39" s="1"/>
  <c r="R108" i="39"/>
  <c r="R114" i="39" s="1"/>
  <c r="AN107" i="39"/>
  <c r="AM107" i="39"/>
  <c r="AL107" i="39"/>
  <c r="AK107" i="39"/>
  <c r="AJ107" i="39"/>
  <c r="AI107" i="39"/>
  <c r="AH107" i="39"/>
  <c r="AE107" i="39"/>
  <c r="AD107" i="39"/>
  <c r="Y107" i="39"/>
  <c r="X107" i="39"/>
  <c r="W107" i="39"/>
  <c r="U107" i="39"/>
  <c r="T107" i="39"/>
  <c r="S107" i="39"/>
  <c r="AT106" i="39"/>
  <c r="AP106" i="39"/>
  <c r="AZ106" i="39" s="1"/>
  <c r="AO106" i="39"/>
  <c r="AF106" i="39"/>
  <c r="AW106" i="39" s="1"/>
  <c r="AA106" i="39"/>
  <c r="Z106" i="39"/>
  <c r="V106" i="39"/>
  <c r="AS106" i="39" s="1"/>
  <c r="R106" i="39"/>
  <c r="AW105" i="39"/>
  <c r="AT105" i="39"/>
  <c r="AP105" i="39"/>
  <c r="AZ105" i="39" s="1"/>
  <c r="AO105" i="39"/>
  <c r="AF105" i="39"/>
  <c r="Z105" i="39"/>
  <c r="V105" i="39"/>
  <c r="R105" i="39"/>
  <c r="AW104" i="39"/>
  <c r="AT104" i="39"/>
  <c r="AP104" i="39"/>
  <c r="AZ104" i="39" s="1"/>
  <c r="AO104" i="39"/>
  <c r="AF104" i="39"/>
  <c r="Z104" i="39"/>
  <c r="V104" i="39"/>
  <c r="R104" i="39"/>
  <c r="AW103" i="39"/>
  <c r="AT103" i="39"/>
  <c r="AP103" i="39"/>
  <c r="AZ103" i="39" s="1"/>
  <c r="AO103" i="39"/>
  <c r="AF103" i="39"/>
  <c r="Z103" i="39"/>
  <c r="V103" i="39"/>
  <c r="R103" i="39"/>
  <c r="AW102" i="39"/>
  <c r="AT102" i="39"/>
  <c r="AP102" i="39"/>
  <c r="AZ102" i="39" s="1"/>
  <c r="AO102" i="39"/>
  <c r="AF102" i="39"/>
  <c r="Z102" i="39"/>
  <c r="V102" i="39"/>
  <c r="R102" i="39"/>
  <c r="AW101" i="39"/>
  <c r="AT101" i="39"/>
  <c r="AP101" i="39"/>
  <c r="AO101" i="39"/>
  <c r="AF101" i="39"/>
  <c r="AF107" i="39" s="1"/>
  <c r="AB101" i="39"/>
  <c r="Z101" i="39"/>
  <c r="Z107" i="39" s="1"/>
  <c r="V101" i="39"/>
  <c r="R101" i="39"/>
  <c r="R107" i="39" s="1"/>
  <c r="AT100" i="39"/>
  <c r="AP100" i="39"/>
  <c r="AN100" i="39"/>
  <c r="AM100" i="39"/>
  <c r="AL100" i="39"/>
  <c r="AK100" i="39"/>
  <c r="AJ100" i="39"/>
  <c r="AI100" i="39"/>
  <c r="AH100" i="39"/>
  <c r="AH123" i="39" s="1"/>
  <c r="AE100" i="39"/>
  <c r="AD100" i="39"/>
  <c r="Z100" i="39"/>
  <c r="Y100" i="39"/>
  <c r="X100" i="39"/>
  <c r="W100" i="39"/>
  <c r="U100" i="39"/>
  <c r="T100" i="39"/>
  <c r="S100" i="39"/>
  <c r="AZ99" i="39"/>
  <c r="AW99" i="39"/>
  <c r="AP99" i="39"/>
  <c r="AO99" i="39"/>
  <c r="AF99" i="39"/>
  <c r="Z99" i="39"/>
  <c r="AT99" i="39" s="1"/>
  <c r="R99" i="39"/>
  <c r="V99" i="39" s="1"/>
  <c r="AZ98" i="39"/>
  <c r="AW98" i="39"/>
  <c r="AS98" i="39"/>
  <c r="AP98" i="39"/>
  <c r="AO98" i="39"/>
  <c r="AF98" i="39"/>
  <c r="AB98" i="39"/>
  <c r="AU98" i="39" s="1"/>
  <c r="Z98" i="39"/>
  <c r="AT98" i="39" s="1"/>
  <c r="R98" i="39"/>
  <c r="V98" i="39" s="1"/>
  <c r="AC98" i="39" s="1"/>
  <c r="AV98" i="39" s="1"/>
  <c r="AZ97" i="39"/>
  <c r="AW97" i="39"/>
  <c r="AP97" i="39"/>
  <c r="AO97" i="39"/>
  <c r="AF97" i="39"/>
  <c r="Z97" i="39"/>
  <c r="AT97" i="39" s="1"/>
  <c r="R97" i="39"/>
  <c r="V97" i="39" s="1"/>
  <c r="AZ96" i="39"/>
  <c r="AW96" i="39"/>
  <c r="AV96" i="39"/>
  <c r="AS96" i="39"/>
  <c r="AP96" i="39"/>
  <c r="AO96" i="39"/>
  <c r="AG96" i="39"/>
  <c r="AR96" i="39" s="1"/>
  <c r="AF96" i="39"/>
  <c r="AB96" i="39"/>
  <c r="AU96" i="39" s="1"/>
  <c r="AA96" i="39"/>
  <c r="Z96" i="39"/>
  <c r="AT96" i="39" s="1"/>
  <c r="R96" i="39"/>
  <c r="V96" i="39" s="1"/>
  <c r="AC96" i="39" s="1"/>
  <c r="AZ95" i="39"/>
  <c r="AW95" i="39"/>
  <c r="AP95" i="39"/>
  <c r="AO95" i="39"/>
  <c r="AF95" i="39"/>
  <c r="AA95" i="39"/>
  <c r="Z95" i="39"/>
  <c r="AT95" i="39" s="1"/>
  <c r="R95" i="39"/>
  <c r="V95" i="39" s="1"/>
  <c r="AZ94" i="39"/>
  <c r="AW94" i="39"/>
  <c r="AW100" i="39" s="1"/>
  <c r="AS94" i="39"/>
  <c r="AP94" i="39"/>
  <c r="AO94" i="39"/>
  <c r="AF94" i="39"/>
  <c r="AF100" i="39" s="1"/>
  <c r="AB94" i="39"/>
  <c r="Z94" i="39"/>
  <c r="AT94" i="39" s="1"/>
  <c r="R94" i="39"/>
  <c r="V94" i="39" s="1"/>
  <c r="AC94" i="39" s="1"/>
  <c r="AV94" i="39" s="1"/>
  <c r="AZ93" i="39"/>
  <c r="AO93" i="39"/>
  <c r="AN93" i="39"/>
  <c r="AM93" i="39"/>
  <c r="AL93" i="39"/>
  <c r="AK93" i="39"/>
  <c r="AJ93" i="39"/>
  <c r="AI93" i="39"/>
  <c r="AH93" i="39"/>
  <c r="AE93" i="39"/>
  <c r="AD93" i="39"/>
  <c r="Y93" i="39"/>
  <c r="X93" i="39"/>
  <c r="W93" i="39"/>
  <c r="U93" i="39"/>
  <c r="T93" i="39"/>
  <c r="S93" i="39"/>
  <c r="AZ92" i="39"/>
  <c r="AY92" i="39"/>
  <c r="AV92" i="39"/>
  <c r="AQ92" i="39"/>
  <c r="AX92" i="39" s="1"/>
  <c r="AP92" i="39"/>
  <c r="AO92" i="39"/>
  <c r="AF92" i="39"/>
  <c r="AW92" i="39" s="1"/>
  <c r="Z92" i="39"/>
  <c r="V92" i="39"/>
  <c r="AC92" i="39" s="1"/>
  <c r="R92" i="39"/>
  <c r="AZ91" i="39"/>
  <c r="AY91" i="39"/>
  <c r="AQ91" i="39"/>
  <c r="AX91" i="39" s="1"/>
  <c r="AP91" i="39"/>
  <c r="AO91" i="39"/>
  <c r="AF91" i="39"/>
  <c r="AW91" i="39" s="1"/>
  <c r="Z91" i="39"/>
  <c r="V91" i="39"/>
  <c r="AC91" i="39" s="1"/>
  <c r="AV91" i="39" s="1"/>
  <c r="R91" i="39"/>
  <c r="AZ90" i="39"/>
  <c r="AY90" i="39"/>
  <c r="AV90" i="39"/>
  <c r="AQ90" i="39"/>
  <c r="AX90" i="39" s="1"/>
  <c r="AP90" i="39"/>
  <c r="AO90" i="39"/>
  <c r="AF90" i="39"/>
  <c r="AW90" i="39" s="1"/>
  <c r="Z90" i="39"/>
  <c r="V90" i="39"/>
  <c r="AC90" i="39" s="1"/>
  <c r="R90" i="39"/>
  <c r="AZ89" i="39"/>
  <c r="AY89" i="39"/>
  <c r="AQ89" i="39"/>
  <c r="AX89" i="39" s="1"/>
  <c r="AP89" i="39"/>
  <c r="AO89" i="39"/>
  <c r="AF89" i="39"/>
  <c r="AW89" i="39" s="1"/>
  <c r="Z89" i="39"/>
  <c r="V89" i="39"/>
  <c r="AC89" i="39" s="1"/>
  <c r="AV89" i="39" s="1"/>
  <c r="R89" i="39"/>
  <c r="AZ88" i="39"/>
  <c r="AY88" i="39"/>
  <c r="AV88" i="39"/>
  <c r="AQ88" i="39"/>
  <c r="AX88" i="39" s="1"/>
  <c r="AP88" i="39"/>
  <c r="AO88" i="39"/>
  <c r="AF88" i="39"/>
  <c r="AW88" i="39" s="1"/>
  <c r="Z88" i="39"/>
  <c r="V88" i="39"/>
  <c r="AC88" i="39" s="1"/>
  <c r="R88" i="39"/>
  <c r="AZ87" i="39"/>
  <c r="AY87" i="39"/>
  <c r="AQ87" i="39"/>
  <c r="AP87" i="39"/>
  <c r="AP93" i="39" s="1"/>
  <c r="AO87" i="39"/>
  <c r="AF87" i="39"/>
  <c r="AW87" i="39" s="1"/>
  <c r="Z87" i="39"/>
  <c r="V87" i="39"/>
  <c r="AC87" i="39" s="1"/>
  <c r="AC93" i="39" s="1"/>
  <c r="R87" i="39"/>
  <c r="R93" i="39" s="1"/>
  <c r="AY86" i="39"/>
  <c r="AN86" i="39"/>
  <c r="AM86" i="39"/>
  <c r="AL86" i="39"/>
  <c r="AK86" i="39"/>
  <c r="AJ86" i="39"/>
  <c r="AI86" i="39"/>
  <c r="AH86" i="39"/>
  <c r="AE86" i="39"/>
  <c r="AD86" i="39"/>
  <c r="Y86" i="39"/>
  <c r="X86" i="39"/>
  <c r="W86" i="39"/>
  <c r="U86" i="39"/>
  <c r="T86" i="39"/>
  <c r="S86" i="39"/>
  <c r="AY85" i="39"/>
  <c r="AP85" i="39"/>
  <c r="AO85" i="39"/>
  <c r="AF85" i="39"/>
  <c r="AW85" i="39" s="1"/>
  <c r="Z85" i="39"/>
  <c r="AT85" i="39" s="1"/>
  <c r="V85" i="39"/>
  <c r="AC85" i="39" s="1"/>
  <c r="AV85" i="39" s="1"/>
  <c r="R85" i="39"/>
  <c r="AY84" i="39"/>
  <c r="AP84" i="39"/>
  <c r="AO84" i="39"/>
  <c r="AF84" i="39"/>
  <c r="AW84" i="39" s="1"/>
  <c r="Z84" i="39"/>
  <c r="AT84" i="39" s="1"/>
  <c r="V84" i="39"/>
  <c r="AC84" i="39" s="1"/>
  <c r="AV84" i="39" s="1"/>
  <c r="R84" i="39"/>
  <c r="AY83" i="39"/>
  <c r="AP83" i="39"/>
  <c r="AO83" i="39"/>
  <c r="AF83" i="39"/>
  <c r="AW83" i="39" s="1"/>
  <c r="Z83" i="39"/>
  <c r="AT83" i="39" s="1"/>
  <c r="V83" i="39"/>
  <c r="AC83" i="39" s="1"/>
  <c r="AV83" i="39" s="1"/>
  <c r="R83" i="39"/>
  <c r="AY82" i="39"/>
  <c r="AP82" i="39"/>
  <c r="AO82" i="39"/>
  <c r="AF82" i="39"/>
  <c r="AW82" i="39" s="1"/>
  <c r="Z82" i="39"/>
  <c r="AT82" i="39" s="1"/>
  <c r="V82" i="39"/>
  <c r="AC82" i="39" s="1"/>
  <c r="AV82" i="39" s="1"/>
  <c r="R82" i="39"/>
  <c r="AY81" i="39"/>
  <c r="AP81" i="39"/>
  <c r="AO81" i="39"/>
  <c r="AF81" i="39"/>
  <c r="AW81" i="39" s="1"/>
  <c r="Z81" i="39"/>
  <c r="AT81" i="39" s="1"/>
  <c r="V81" i="39"/>
  <c r="AC81" i="39" s="1"/>
  <c r="AV81" i="39" s="1"/>
  <c r="R81" i="39"/>
  <c r="AY80" i="39"/>
  <c r="AP80" i="39"/>
  <c r="AO80" i="39"/>
  <c r="AO86" i="39" s="1"/>
  <c r="AF80" i="39"/>
  <c r="AW80" i="39" s="1"/>
  <c r="AW86" i="39" s="1"/>
  <c r="Z80" i="39"/>
  <c r="V80" i="39"/>
  <c r="AC80" i="39" s="1"/>
  <c r="R80" i="39"/>
  <c r="R86" i="39" s="1"/>
  <c r="AN79" i="39"/>
  <c r="AM79" i="39"/>
  <c r="AL79" i="39"/>
  <c r="AK79" i="39"/>
  <c r="AJ79" i="39"/>
  <c r="AI79" i="39"/>
  <c r="AH79" i="39"/>
  <c r="AE79" i="39"/>
  <c r="AD79" i="39"/>
  <c r="Y79" i="39"/>
  <c r="X79" i="39"/>
  <c r="W79" i="39"/>
  <c r="U79" i="39"/>
  <c r="T79" i="39"/>
  <c r="S79" i="39"/>
  <c r="AW78" i="39"/>
  <c r="AT78" i="39"/>
  <c r="AP78" i="39"/>
  <c r="AZ78" i="39" s="1"/>
  <c r="AO78" i="39"/>
  <c r="AF78" i="39"/>
  <c r="AB78" i="39"/>
  <c r="AU78" i="39" s="1"/>
  <c r="Z78" i="39"/>
  <c r="V78" i="39"/>
  <c r="R78" i="39"/>
  <c r="AW77" i="39"/>
  <c r="AT77" i="39"/>
  <c r="AP77" i="39"/>
  <c r="AZ77" i="39" s="1"/>
  <c r="AO77" i="39"/>
  <c r="AF77" i="39"/>
  <c r="Z77" i="39"/>
  <c r="V77" i="39"/>
  <c r="R77" i="39"/>
  <c r="AU76" i="39"/>
  <c r="AS76" i="39"/>
  <c r="AP76" i="39"/>
  <c r="AO76" i="39"/>
  <c r="AY76" i="39" s="1"/>
  <c r="AF76" i="39"/>
  <c r="AW76" i="39" s="1"/>
  <c r="AB76" i="39"/>
  <c r="Z76" i="39"/>
  <c r="AT76" i="39" s="1"/>
  <c r="V76" i="39"/>
  <c r="R76" i="39"/>
  <c r="AY75" i="39"/>
  <c r="AW75" i="39"/>
  <c r="AQ75" i="39"/>
  <c r="AX75" i="39" s="1"/>
  <c r="AP75" i="39"/>
  <c r="AZ75" i="39" s="1"/>
  <c r="AO75" i="39"/>
  <c r="AF75" i="39"/>
  <c r="AC75" i="39"/>
  <c r="AV75" i="39" s="1"/>
  <c r="Z75" i="39"/>
  <c r="AT75" i="39" s="1"/>
  <c r="R75" i="39"/>
  <c r="V75" i="39" s="1"/>
  <c r="AU74" i="39"/>
  <c r="AS74" i="39"/>
  <c r="AP74" i="39"/>
  <c r="AZ74" i="39" s="1"/>
  <c r="AO74" i="39"/>
  <c r="AY74" i="39" s="1"/>
  <c r="AF74" i="39"/>
  <c r="AW74" i="39" s="1"/>
  <c r="AB74" i="39"/>
  <c r="Z74" i="39"/>
  <c r="AT74" i="39" s="1"/>
  <c r="V74" i="39"/>
  <c r="R74" i="39"/>
  <c r="AY73" i="39"/>
  <c r="AW73" i="39"/>
  <c r="AQ73" i="39"/>
  <c r="AP73" i="39"/>
  <c r="AZ73" i="39" s="1"/>
  <c r="AO73" i="39"/>
  <c r="AO79" i="39" s="1"/>
  <c r="AF73" i="39"/>
  <c r="Z73" i="39"/>
  <c r="R73" i="39"/>
  <c r="AP72" i="39"/>
  <c r="AN72" i="39"/>
  <c r="AM72" i="39"/>
  <c r="AL72" i="39"/>
  <c r="AK72" i="39"/>
  <c r="AJ72" i="39"/>
  <c r="AI72" i="39"/>
  <c r="AH72" i="39"/>
  <c r="AE72" i="39"/>
  <c r="AD72" i="39"/>
  <c r="Z72" i="39"/>
  <c r="Y72" i="39"/>
  <c r="X72" i="39"/>
  <c r="W72" i="39"/>
  <c r="U72" i="39"/>
  <c r="T72" i="39"/>
  <c r="S72" i="39"/>
  <c r="AW71" i="39"/>
  <c r="AT71" i="39"/>
  <c r="AP71" i="39"/>
  <c r="AZ71" i="39" s="1"/>
  <c r="AO71" i="39"/>
  <c r="AF71" i="39"/>
  <c r="AA71" i="39"/>
  <c r="Z71" i="39"/>
  <c r="V71" i="39"/>
  <c r="AB71" i="39" s="1"/>
  <c r="AU71" i="39" s="1"/>
  <c r="R71" i="39"/>
  <c r="AZ70" i="39"/>
  <c r="AW70" i="39"/>
  <c r="AT70" i="39"/>
  <c r="AP70" i="39"/>
  <c r="AO70" i="39"/>
  <c r="AF70" i="39"/>
  <c r="Z70" i="39"/>
  <c r="R70" i="39"/>
  <c r="V70" i="39" s="1"/>
  <c r="AW69" i="39"/>
  <c r="AT69" i="39"/>
  <c r="AP69" i="39"/>
  <c r="AZ69" i="39" s="1"/>
  <c r="AO69" i="39"/>
  <c r="AF69" i="39"/>
  <c r="AA69" i="39"/>
  <c r="Z69" i="39"/>
  <c r="V69" i="39"/>
  <c r="AB69" i="39" s="1"/>
  <c r="AU69" i="39" s="1"/>
  <c r="R69" i="39"/>
  <c r="AZ68" i="39"/>
  <c r="AW68" i="39"/>
  <c r="AT68" i="39"/>
  <c r="AP68" i="39"/>
  <c r="AO68" i="39"/>
  <c r="AF68" i="39"/>
  <c r="Z68" i="39"/>
  <c r="R68" i="39"/>
  <c r="V68" i="39" s="1"/>
  <c r="AS67" i="39"/>
  <c r="AQ67" i="39"/>
  <c r="AX67" i="39" s="1"/>
  <c r="AP67" i="39"/>
  <c r="AZ67" i="39" s="1"/>
  <c r="AO67" i="39"/>
  <c r="AY67" i="39" s="1"/>
  <c r="AF67" i="39"/>
  <c r="AW67" i="39" s="1"/>
  <c r="AB67" i="39"/>
  <c r="AU67" i="39" s="1"/>
  <c r="Z67" i="39"/>
  <c r="AT67" i="39" s="1"/>
  <c r="R67" i="39"/>
  <c r="V67" i="39" s="1"/>
  <c r="AY66" i="39"/>
  <c r="AW66" i="39"/>
  <c r="AQ66" i="39"/>
  <c r="AP66" i="39"/>
  <c r="AZ66" i="39" s="1"/>
  <c r="AO66" i="39"/>
  <c r="AF66" i="39"/>
  <c r="AB66" i="39"/>
  <c r="Z66" i="39"/>
  <c r="AT66" i="39" s="1"/>
  <c r="AT72" i="39" s="1"/>
  <c r="R66" i="39"/>
  <c r="V66" i="39" s="1"/>
  <c r="AS66" i="39" s="1"/>
  <c r="AO65" i="39"/>
  <c r="AN65" i="39"/>
  <c r="AM65" i="39"/>
  <c r="AL65" i="39"/>
  <c r="AK65" i="39"/>
  <c r="AJ65" i="39"/>
  <c r="AI65" i="39"/>
  <c r="AH65" i="39"/>
  <c r="AE65" i="39"/>
  <c r="AD65" i="39"/>
  <c r="Y65" i="39"/>
  <c r="X65" i="39"/>
  <c r="W65" i="39"/>
  <c r="U65" i="39"/>
  <c r="T65" i="39"/>
  <c r="S65" i="39"/>
  <c r="AV64" i="39"/>
  <c r="AT64" i="39"/>
  <c r="AP64" i="39"/>
  <c r="AZ64" i="39" s="1"/>
  <c r="AO64" i="39"/>
  <c r="AY64" i="39" s="1"/>
  <c r="AF64" i="39"/>
  <c r="AW64" i="39" s="1"/>
  <c r="AC64" i="39"/>
  <c r="AA64" i="39"/>
  <c r="Z64" i="39"/>
  <c r="V64" i="39"/>
  <c r="R64" i="39"/>
  <c r="AZ63" i="39"/>
  <c r="AT63" i="39"/>
  <c r="AP63" i="39"/>
  <c r="AO63" i="39"/>
  <c r="AY63" i="39" s="1"/>
  <c r="AF63" i="39"/>
  <c r="AW63" i="39" s="1"/>
  <c r="Z63" i="39"/>
  <c r="V63" i="39"/>
  <c r="R63" i="39"/>
  <c r="AT62" i="39"/>
  <c r="AP62" i="39"/>
  <c r="AZ62" i="39" s="1"/>
  <c r="AO62" i="39"/>
  <c r="AY62" i="39" s="1"/>
  <c r="AF62" i="39"/>
  <c r="AW62" i="39" s="1"/>
  <c r="AC62" i="39"/>
  <c r="AV62" i="39" s="1"/>
  <c r="AA62" i="39"/>
  <c r="Z62" i="39"/>
  <c r="V62" i="39"/>
  <c r="R62" i="39"/>
  <c r="AZ61" i="39"/>
  <c r="AT61" i="39"/>
  <c r="AP61" i="39"/>
  <c r="AO61" i="39"/>
  <c r="AY61" i="39" s="1"/>
  <c r="AF61" i="39"/>
  <c r="AW61" i="39" s="1"/>
  <c r="Z61" i="39"/>
  <c r="V61" i="39"/>
  <c r="R61" i="39"/>
  <c r="AV60" i="39"/>
  <c r="AT60" i="39"/>
  <c r="AP60" i="39"/>
  <c r="AZ60" i="39" s="1"/>
  <c r="AO60" i="39"/>
  <c r="AY60" i="39" s="1"/>
  <c r="AF60" i="39"/>
  <c r="AW60" i="39" s="1"/>
  <c r="AC60" i="39"/>
  <c r="AA60" i="39"/>
  <c r="Z60" i="39"/>
  <c r="V60" i="39"/>
  <c r="R60" i="39"/>
  <c r="AZ59" i="39"/>
  <c r="AT59" i="39"/>
  <c r="AP59" i="39"/>
  <c r="AO59" i="39"/>
  <c r="AY59" i="39" s="1"/>
  <c r="AF59" i="39"/>
  <c r="AW59" i="39" s="1"/>
  <c r="AW65" i="39" s="1"/>
  <c r="Z59" i="39"/>
  <c r="Z65" i="39" s="1"/>
  <c r="V59" i="39"/>
  <c r="R59" i="39"/>
  <c r="R65" i="39" s="1"/>
  <c r="AP58" i="39"/>
  <c r="AN58" i="39"/>
  <c r="AM58" i="39"/>
  <c r="AL58" i="39"/>
  <c r="AK58" i="39"/>
  <c r="AJ58" i="39"/>
  <c r="AI58" i="39"/>
  <c r="AH58" i="39"/>
  <c r="AF58" i="39"/>
  <c r="AE58" i="39"/>
  <c r="AD58" i="39"/>
  <c r="Z58" i="39"/>
  <c r="Y58" i="39"/>
  <c r="X58" i="39"/>
  <c r="W58" i="39"/>
  <c r="V58" i="39"/>
  <c r="U58" i="39"/>
  <c r="T58" i="39"/>
  <c r="S58" i="39"/>
  <c r="R58" i="39"/>
  <c r="AY57" i="39"/>
  <c r="AY58" i="39" s="1"/>
  <c r="AS57" i="39"/>
  <c r="AS58" i="39" s="1"/>
  <c r="AQ57" i="39"/>
  <c r="AP57" i="39"/>
  <c r="AZ57" i="39" s="1"/>
  <c r="AZ58" i="39" s="1"/>
  <c r="AO57" i="39"/>
  <c r="AO58" i="39" s="1"/>
  <c r="AF57" i="39"/>
  <c r="AW57" i="39" s="1"/>
  <c r="AW58" i="39" s="1"/>
  <c r="AB57" i="39"/>
  <c r="Z57" i="39"/>
  <c r="AT57" i="39" s="1"/>
  <c r="AT58" i="39" s="1"/>
  <c r="R57" i="39"/>
  <c r="V57" i="39" s="1"/>
  <c r="AO56" i="39"/>
  <c r="AN56" i="39"/>
  <c r="AM56" i="39"/>
  <c r="AL56" i="39"/>
  <c r="AK56" i="39"/>
  <c r="AJ56" i="39"/>
  <c r="AI56" i="39"/>
  <c r="AH56" i="39"/>
  <c r="AE56" i="39"/>
  <c r="AD56" i="39"/>
  <c r="Y56" i="39"/>
  <c r="X56" i="39"/>
  <c r="W56" i="39"/>
  <c r="U56" i="39"/>
  <c r="T56" i="39"/>
  <c r="S56" i="39"/>
  <c r="AT55" i="39"/>
  <c r="AP55" i="39"/>
  <c r="AZ55" i="39" s="1"/>
  <c r="AO55" i="39"/>
  <c r="AY55" i="39" s="1"/>
  <c r="AF55" i="39"/>
  <c r="AW55" i="39" s="1"/>
  <c r="AC55" i="39"/>
  <c r="AV55" i="39" s="1"/>
  <c r="Z55" i="39"/>
  <c r="V55" i="39"/>
  <c r="R55" i="39"/>
  <c r="AZ54" i="39"/>
  <c r="AT54" i="39"/>
  <c r="AP54" i="39"/>
  <c r="AO54" i="39"/>
  <c r="AY54" i="39" s="1"/>
  <c r="AF54" i="39"/>
  <c r="AW54" i="39" s="1"/>
  <c r="AA54" i="39"/>
  <c r="Z54" i="39"/>
  <c r="V54" i="39"/>
  <c r="AC54" i="39" s="1"/>
  <c r="AV54" i="39" s="1"/>
  <c r="R54" i="39"/>
  <c r="AT53" i="39"/>
  <c r="AP53" i="39"/>
  <c r="AZ53" i="39" s="1"/>
  <c r="AO53" i="39"/>
  <c r="AY53" i="39" s="1"/>
  <c r="AF53" i="39"/>
  <c r="AW53" i="39" s="1"/>
  <c r="Z53" i="39"/>
  <c r="V53" i="39"/>
  <c r="R53" i="39"/>
  <c r="AZ52" i="39"/>
  <c r="AT52" i="39"/>
  <c r="AP52" i="39"/>
  <c r="AO52" i="39"/>
  <c r="AY52" i="39" s="1"/>
  <c r="AY56" i="39" s="1"/>
  <c r="AF52" i="39"/>
  <c r="AW52" i="39" s="1"/>
  <c r="AA52" i="39"/>
  <c r="Z52" i="39"/>
  <c r="V52" i="39"/>
  <c r="AC52" i="39" s="1"/>
  <c r="AV52" i="39" s="1"/>
  <c r="R52" i="39"/>
  <c r="AT51" i="39"/>
  <c r="AP51" i="39"/>
  <c r="AP56" i="39" s="1"/>
  <c r="AO51" i="39"/>
  <c r="AY51" i="39" s="1"/>
  <c r="AF51" i="39"/>
  <c r="AF56" i="39" s="1"/>
  <c r="AC51" i="39"/>
  <c r="AV51" i="39" s="1"/>
  <c r="Z51" i="39"/>
  <c r="Z56" i="39" s="1"/>
  <c r="V51" i="39"/>
  <c r="R51" i="39"/>
  <c r="R56" i="39" s="1"/>
  <c r="AN50" i="39"/>
  <c r="AM50" i="39"/>
  <c r="AL50" i="39"/>
  <c r="AK50" i="39"/>
  <c r="AJ50" i="39"/>
  <c r="AI50" i="39"/>
  <c r="AH50" i="39"/>
  <c r="AE50" i="39"/>
  <c r="AD50" i="39"/>
  <c r="Y50" i="39"/>
  <c r="X50" i="39"/>
  <c r="W50" i="39"/>
  <c r="U50" i="39"/>
  <c r="T50" i="39"/>
  <c r="S50" i="39"/>
  <c r="AY49" i="39"/>
  <c r="AW49" i="39"/>
  <c r="AQ49" i="39"/>
  <c r="AX49" i="39" s="1"/>
  <c r="AP49" i="39"/>
  <c r="AZ49" i="39" s="1"/>
  <c r="AO49" i="39"/>
  <c r="AF49" i="39"/>
  <c r="AB49" i="39"/>
  <c r="AU49" i="39" s="1"/>
  <c r="Z49" i="39"/>
  <c r="AT49" i="39" s="1"/>
  <c r="R49" i="39"/>
  <c r="V49" i="39" s="1"/>
  <c r="AS49" i="39" s="1"/>
  <c r="AW48" i="39"/>
  <c r="AP48" i="39"/>
  <c r="AZ48" i="39" s="1"/>
  <c r="AO48" i="39"/>
  <c r="AF48" i="39"/>
  <c r="Z48" i="39"/>
  <c r="AT48" i="39" s="1"/>
  <c r="V48" i="39"/>
  <c r="R48" i="39"/>
  <c r="AY47" i="39"/>
  <c r="AT47" i="39"/>
  <c r="AT50" i="39" s="1"/>
  <c r="AQ47" i="39"/>
  <c r="AX47" i="39" s="1"/>
  <c r="AP47" i="39"/>
  <c r="AO47" i="39"/>
  <c r="AF47" i="39"/>
  <c r="Z47" i="39"/>
  <c r="V47" i="39"/>
  <c r="AC47" i="39" s="1"/>
  <c r="R47" i="39"/>
  <c r="R50" i="39" s="1"/>
  <c r="AN46" i="39"/>
  <c r="AM46" i="39"/>
  <c r="AL46" i="39"/>
  <c r="AK46" i="39"/>
  <c r="AJ46" i="39"/>
  <c r="AI46" i="39"/>
  <c r="AH46" i="39"/>
  <c r="AE46" i="39"/>
  <c r="AD46" i="39"/>
  <c r="Z46" i="39"/>
  <c r="Y46" i="39"/>
  <c r="X46" i="39"/>
  <c r="W46" i="39"/>
  <c r="U46" i="39"/>
  <c r="T46" i="39"/>
  <c r="S46" i="39"/>
  <c r="AW45" i="39"/>
  <c r="AW46" i="39" s="1"/>
  <c r="AT45" i="39"/>
  <c r="AT46" i="39" s="1"/>
  <c r="AP45" i="39"/>
  <c r="AZ45" i="39" s="1"/>
  <c r="AZ46" i="39" s="1"/>
  <c r="AO45" i="39"/>
  <c r="AF45" i="39"/>
  <c r="AF46" i="39" s="1"/>
  <c r="Z45" i="39"/>
  <c r="V45" i="39"/>
  <c r="AA45" i="39" s="1"/>
  <c r="R45" i="39"/>
  <c r="R46" i="39" s="1"/>
  <c r="AW44" i="39"/>
  <c r="AP44" i="39"/>
  <c r="AO44" i="39"/>
  <c r="AN44" i="39"/>
  <c r="AM44" i="39"/>
  <c r="AL44" i="39"/>
  <c r="AK44" i="39"/>
  <c r="AJ44" i="39"/>
  <c r="AI44" i="39"/>
  <c r="AH44" i="39"/>
  <c r="AE44" i="39"/>
  <c r="AD44" i="39"/>
  <c r="Z44" i="39"/>
  <c r="Y44" i="39"/>
  <c r="X44" i="39"/>
  <c r="W44" i="39"/>
  <c r="U44" i="39"/>
  <c r="T44" i="39"/>
  <c r="S44" i="39"/>
  <c r="R44" i="39"/>
  <c r="AZ43" i="39"/>
  <c r="AW43" i="39"/>
  <c r="AW135" i="39" s="1"/>
  <c r="AP43" i="39"/>
  <c r="AP135" i="39" s="1"/>
  <c r="AO43" i="39"/>
  <c r="AF43" i="39"/>
  <c r="Z43" i="39"/>
  <c r="Z135" i="39" s="1"/>
  <c r="R43" i="39"/>
  <c r="AZ42" i="39"/>
  <c r="AO42" i="39"/>
  <c r="AN42" i="39"/>
  <c r="AM42" i="39"/>
  <c r="AL42" i="39"/>
  <c r="AK42" i="39"/>
  <c r="AJ42" i="39"/>
  <c r="AI42" i="39"/>
  <c r="AH42" i="39"/>
  <c r="AE42" i="39"/>
  <c r="AD42" i="39"/>
  <c r="Y42" i="39"/>
  <c r="X42" i="39"/>
  <c r="W42" i="39"/>
  <c r="U42" i="39"/>
  <c r="T42" i="39"/>
  <c r="S42" i="39"/>
  <c r="AZ41" i="39"/>
  <c r="AY41" i="39"/>
  <c r="AV41" i="39"/>
  <c r="AQ41" i="39"/>
  <c r="AX41" i="39" s="1"/>
  <c r="AP41" i="39"/>
  <c r="AO41" i="39"/>
  <c r="AF41" i="39"/>
  <c r="AW41" i="39" s="1"/>
  <c r="Z41" i="39"/>
  <c r="AT41" i="39" s="1"/>
  <c r="V41" i="39"/>
  <c r="AC41" i="39" s="1"/>
  <c r="R41" i="39"/>
  <c r="AZ40" i="39"/>
  <c r="AY40" i="39"/>
  <c r="AQ40" i="39"/>
  <c r="AX40" i="39" s="1"/>
  <c r="AP40" i="39"/>
  <c r="AO40" i="39"/>
  <c r="AF40" i="39"/>
  <c r="AW40" i="39" s="1"/>
  <c r="Z40" i="39"/>
  <c r="AT40" i="39" s="1"/>
  <c r="V40" i="39"/>
  <c r="AC40" i="39" s="1"/>
  <c r="AV40" i="39" s="1"/>
  <c r="R40" i="39"/>
  <c r="AZ39" i="39"/>
  <c r="AY39" i="39"/>
  <c r="AV39" i="39"/>
  <c r="AQ39" i="39"/>
  <c r="AX39" i="39" s="1"/>
  <c r="AP39" i="39"/>
  <c r="AO39" i="39"/>
  <c r="AF39" i="39"/>
  <c r="AW39" i="39" s="1"/>
  <c r="Z39" i="39"/>
  <c r="AT39" i="39" s="1"/>
  <c r="V39" i="39"/>
  <c r="AC39" i="39" s="1"/>
  <c r="R39" i="39"/>
  <c r="AZ38" i="39"/>
  <c r="AY38" i="39"/>
  <c r="AQ38" i="39"/>
  <c r="AX38" i="39" s="1"/>
  <c r="AP38" i="39"/>
  <c r="AO38" i="39"/>
  <c r="AF38" i="39"/>
  <c r="AW38" i="39" s="1"/>
  <c r="Z38" i="39"/>
  <c r="AT38" i="39" s="1"/>
  <c r="V38" i="39"/>
  <c r="AC38" i="39" s="1"/>
  <c r="AV38" i="39" s="1"/>
  <c r="R38" i="39"/>
  <c r="AZ37" i="39"/>
  <c r="AY37" i="39"/>
  <c r="AQ37" i="39"/>
  <c r="AP37" i="39"/>
  <c r="AP129" i="39" s="1"/>
  <c r="AO37" i="39"/>
  <c r="AO129" i="39" s="1"/>
  <c r="AF37" i="39"/>
  <c r="Z37" i="39"/>
  <c r="V37" i="39"/>
  <c r="V129" i="39" s="1"/>
  <c r="R37" i="39"/>
  <c r="R129" i="39" s="1"/>
  <c r="AY36" i="39"/>
  <c r="AN36" i="39"/>
  <c r="AM36" i="39"/>
  <c r="AL36" i="39"/>
  <c r="AK36" i="39"/>
  <c r="AJ36" i="39"/>
  <c r="AI36" i="39"/>
  <c r="AH36" i="39"/>
  <c r="AE36" i="39"/>
  <c r="AD36" i="39"/>
  <c r="Y36" i="39"/>
  <c r="X36" i="39"/>
  <c r="W36" i="39"/>
  <c r="U36" i="39"/>
  <c r="T36" i="39"/>
  <c r="S36" i="39"/>
  <c r="AY35" i="39"/>
  <c r="AT35" i="39"/>
  <c r="AP35" i="39"/>
  <c r="AZ35" i="39" s="1"/>
  <c r="AO35" i="39"/>
  <c r="AF35" i="39"/>
  <c r="AW35" i="39" s="1"/>
  <c r="AC35" i="39"/>
  <c r="AV35" i="39" s="1"/>
  <c r="Z35" i="39"/>
  <c r="V35" i="39"/>
  <c r="R35" i="39"/>
  <c r="AY34" i="39"/>
  <c r="AT34" i="39"/>
  <c r="AP34" i="39"/>
  <c r="AZ34" i="39" s="1"/>
  <c r="AO34" i="39"/>
  <c r="AF34" i="39"/>
  <c r="AW34" i="39" s="1"/>
  <c r="AC34" i="39"/>
  <c r="AV34" i="39" s="1"/>
  <c r="Z34" i="39"/>
  <c r="V34" i="39"/>
  <c r="R34" i="39"/>
  <c r="AY33" i="39"/>
  <c r="AT33" i="39"/>
  <c r="AP33" i="39"/>
  <c r="AZ33" i="39" s="1"/>
  <c r="AO33" i="39"/>
  <c r="AF33" i="39"/>
  <c r="AW33" i="39" s="1"/>
  <c r="AC33" i="39"/>
  <c r="AV33" i="39" s="1"/>
  <c r="Z33" i="39"/>
  <c r="V33" i="39"/>
  <c r="R33" i="39"/>
  <c r="AY32" i="39"/>
  <c r="AT32" i="39"/>
  <c r="AP32" i="39"/>
  <c r="AZ32" i="39" s="1"/>
  <c r="AO32" i="39"/>
  <c r="AF32" i="39"/>
  <c r="AW32" i="39" s="1"/>
  <c r="AC32" i="39"/>
  <c r="AV32" i="39" s="1"/>
  <c r="Z32" i="39"/>
  <c r="V32" i="39"/>
  <c r="R32" i="39"/>
  <c r="AY31" i="39"/>
  <c r="AT31" i="39"/>
  <c r="AT36" i="39" s="1"/>
  <c r="AP31" i="39"/>
  <c r="AO31" i="39"/>
  <c r="AO36" i="39" s="1"/>
  <c r="AF31" i="39"/>
  <c r="AW31" i="39" s="1"/>
  <c r="AW36" i="39" s="1"/>
  <c r="AC31" i="39"/>
  <c r="Z31" i="39"/>
  <c r="Z36" i="39" s="1"/>
  <c r="V31" i="39"/>
  <c r="R31" i="39"/>
  <c r="R36" i="39" s="1"/>
  <c r="AN30" i="39"/>
  <c r="AM30" i="39"/>
  <c r="AL30" i="39"/>
  <c r="AK30" i="39"/>
  <c r="AJ30" i="39"/>
  <c r="AI30" i="39"/>
  <c r="AH30" i="39"/>
  <c r="AE30" i="39"/>
  <c r="AD30" i="39"/>
  <c r="Z30" i="39"/>
  <c r="Y30" i="39"/>
  <c r="X30" i="39"/>
  <c r="W30" i="39"/>
  <c r="U30" i="39"/>
  <c r="T30" i="39"/>
  <c r="S30" i="39"/>
  <c r="AW29" i="39"/>
  <c r="AT29" i="39"/>
  <c r="AP29" i="39"/>
  <c r="AZ29" i="39" s="1"/>
  <c r="AO29" i="39"/>
  <c r="AF29" i="39"/>
  <c r="Z29" i="39"/>
  <c r="V29" i="39"/>
  <c r="AA29" i="39" s="1"/>
  <c r="R29" i="39"/>
  <c r="AW28" i="39"/>
  <c r="AT28" i="39"/>
  <c r="AP28" i="39"/>
  <c r="AZ28" i="39" s="1"/>
  <c r="AO28" i="39"/>
  <c r="AF28" i="39"/>
  <c r="Z28" i="39"/>
  <c r="V28" i="39"/>
  <c r="AA28" i="39" s="1"/>
  <c r="R28" i="39"/>
  <c r="AW27" i="39"/>
  <c r="AT27" i="39"/>
  <c r="AP27" i="39"/>
  <c r="AZ27" i="39" s="1"/>
  <c r="AO27" i="39"/>
  <c r="AF27" i="39"/>
  <c r="Z27" i="39"/>
  <c r="V27" i="39"/>
  <c r="AA27" i="39" s="1"/>
  <c r="R27" i="39"/>
  <c r="AW26" i="39"/>
  <c r="AT26" i="39"/>
  <c r="AP26" i="39"/>
  <c r="AZ26" i="39" s="1"/>
  <c r="AO26" i="39"/>
  <c r="AF26" i="39"/>
  <c r="Z26" i="39"/>
  <c r="V26" i="39"/>
  <c r="AA26" i="39" s="1"/>
  <c r="R26" i="39"/>
  <c r="AW25" i="39"/>
  <c r="AT25" i="39"/>
  <c r="AP25" i="39"/>
  <c r="AO25" i="39"/>
  <c r="AF25" i="39"/>
  <c r="Z25" i="39"/>
  <c r="V25" i="39"/>
  <c r="R25" i="39"/>
  <c r="R130" i="39" s="1"/>
  <c r="AT24" i="39"/>
  <c r="AP24" i="39"/>
  <c r="AN24" i="39"/>
  <c r="AM24" i="39"/>
  <c r="AL24" i="39"/>
  <c r="AK24" i="39"/>
  <c r="AJ24" i="39"/>
  <c r="AI24" i="39"/>
  <c r="AH24" i="39"/>
  <c r="AE24" i="39"/>
  <c r="AD24" i="39"/>
  <c r="Z24" i="39"/>
  <c r="Y24" i="39"/>
  <c r="X24" i="39"/>
  <c r="W24" i="39"/>
  <c r="U24" i="39"/>
  <c r="T24" i="39"/>
  <c r="S24" i="39"/>
  <c r="AZ23" i="39"/>
  <c r="AW23" i="39"/>
  <c r="AT23" i="39"/>
  <c r="AS23" i="39"/>
  <c r="AP23" i="39"/>
  <c r="AO23" i="39"/>
  <c r="AF23" i="39"/>
  <c r="Z23" i="39"/>
  <c r="R23" i="39"/>
  <c r="V23" i="39" s="1"/>
  <c r="AC23" i="39" s="1"/>
  <c r="AV23" i="39" s="1"/>
  <c r="AZ22" i="39"/>
  <c r="AW22" i="39"/>
  <c r="AT22" i="39"/>
  <c r="AP22" i="39"/>
  <c r="AO22" i="39"/>
  <c r="AF22" i="39"/>
  <c r="Z22" i="39"/>
  <c r="R22" i="39"/>
  <c r="AZ21" i="39"/>
  <c r="AW21" i="39"/>
  <c r="AT21" i="39"/>
  <c r="AS21" i="39"/>
  <c r="AP21" i="39"/>
  <c r="AO21" i="39"/>
  <c r="AF21" i="39"/>
  <c r="Z21" i="39"/>
  <c r="R21" i="39"/>
  <c r="V21" i="39" s="1"/>
  <c r="AC21" i="39" s="1"/>
  <c r="AV21" i="39" s="1"/>
  <c r="AZ20" i="39"/>
  <c r="AW20" i="39"/>
  <c r="AV20" i="39"/>
  <c r="AT20" i="39"/>
  <c r="AS20" i="39"/>
  <c r="AP20" i="39"/>
  <c r="AO20" i="39"/>
  <c r="AF20" i="39"/>
  <c r="AB20" i="39"/>
  <c r="AU20" i="39" s="1"/>
  <c r="AA20" i="39"/>
  <c r="AG20" i="39" s="1"/>
  <c r="AR20" i="39" s="1"/>
  <c r="Z20" i="39"/>
  <c r="R20" i="39"/>
  <c r="V20" i="39" s="1"/>
  <c r="AC20" i="39" s="1"/>
  <c r="AZ19" i="39"/>
  <c r="AW19" i="39"/>
  <c r="AW24" i="39" s="1"/>
  <c r="AT19" i="39"/>
  <c r="AS19" i="39"/>
  <c r="AP19" i="39"/>
  <c r="AO19" i="39"/>
  <c r="AF19" i="39"/>
  <c r="AA19" i="39"/>
  <c r="Z19" i="39"/>
  <c r="V19" i="39"/>
  <c r="V128" i="39" s="1"/>
  <c r="R19" i="39"/>
  <c r="R128" i="39" s="1"/>
  <c r="AO18" i="39"/>
  <c r="AN18" i="39"/>
  <c r="AM18" i="39"/>
  <c r="AL18" i="39"/>
  <c r="AK18" i="39"/>
  <c r="AJ18" i="39"/>
  <c r="AI18" i="39"/>
  <c r="AH18" i="39"/>
  <c r="AE18" i="39"/>
  <c r="AD18" i="39"/>
  <c r="Y18" i="39"/>
  <c r="X18" i="39"/>
  <c r="W18" i="39"/>
  <c r="U18" i="39"/>
  <c r="T18" i="39"/>
  <c r="S18" i="39"/>
  <c r="AY17" i="39"/>
  <c r="AQ17" i="39"/>
  <c r="AP17" i="39"/>
  <c r="AP133" i="39" s="1"/>
  <c r="AO17" i="39"/>
  <c r="AO133" i="39" s="1"/>
  <c r="AF17" i="39"/>
  <c r="AF133" i="39" s="1"/>
  <c r="Z17" i="39"/>
  <c r="Z133" i="39" s="1"/>
  <c r="R17" i="39"/>
  <c r="AY16" i="39"/>
  <c r="AQ16" i="39"/>
  <c r="AX16" i="39" s="1"/>
  <c r="AP16" i="39"/>
  <c r="AZ16" i="39" s="1"/>
  <c r="AO16" i="39"/>
  <c r="AF16" i="39"/>
  <c r="AW16" i="39" s="1"/>
  <c r="Z16" i="39"/>
  <c r="AT16" i="39" s="1"/>
  <c r="R16" i="39"/>
  <c r="V16" i="39" s="1"/>
  <c r="AY15" i="39"/>
  <c r="AQ15" i="39"/>
  <c r="AX15" i="39" s="1"/>
  <c r="AP15" i="39"/>
  <c r="AZ15" i="39" s="1"/>
  <c r="AO15" i="39"/>
  <c r="AF15" i="39"/>
  <c r="AW15" i="39" s="1"/>
  <c r="Z15" i="39"/>
  <c r="AT15" i="39" s="1"/>
  <c r="R15" i="39"/>
  <c r="V15" i="39" s="1"/>
  <c r="AY14" i="39"/>
  <c r="AQ14" i="39"/>
  <c r="AP14" i="39"/>
  <c r="AP127" i="39" s="1"/>
  <c r="AO14" i="39"/>
  <c r="AO127" i="39" s="1"/>
  <c r="AF14" i="39"/>
  <c r="AF127" i="39" s="1"/>
  <c r="Z14" i="39"/>
  <c r="Z127" i="39" s="1"/>
  <c r="R14" i="39"/>
  <c r="R127" i="39" s="1"/>
  <c r="AW13" i="39"/>
  <c r="AO13" i="39"/>
  <c r="AN13" i="39"/>
  <c r="AM13" i="39"/>
  <c r="AL13" i="39"/>
  <c r="AK13" i="39"/>
  <c r="AJ13" i="39"/>
  <c r="AI13" i="39"/>
  <c r="AH13" i="39"/>
  <c r="AE13" i="39"/>
  <c r="AD13" i="39"/>
  <c r="Z13" i="39"/>
  <c r="Y13" i="39"/>
  <c r="X13" i="39"/>
  <c r="W13" i="39"/>
  <c r="U13" i="39"/>
  <c r="T13" i="39"/>
  <c r="S13" i="39"/>
  <c r="AW12" i="39"/>
  <c r="AT12" i="39"/>
  <c r="AT136" i="39" s="1"/>
  <c r="AP12" i="39"/>
  <c r="AP136" i="39" s="1"/>
  <c r="AO12" i="39"/>
  <c r="AY12" i="39" s="1"/>
  <c r="AF12" i="39"/>
  <c r="AF136" i="39" s="1"/>
  <c r="Z12" i="39"/>
  <c r="Z136" i="39" s="1"/>
  <c r="V12" i="39"/>
  <c r="V136" i="39" s="1"/>
  <c r="R12" i="39"/>
  <c r="R136" i="39" s="1"/>
  <c r="AE168" i="40" l="1"/>
  <c r="AF167" i="40" s="1"/>
  <c r="AX19" i="42"/>
  <c r="AA56" i="42"/>
  <c r="AS56" i="42"/>
  <c r="AC56" i="42"/>
  <c r="AV56" i="42" s="1"/>
  <c r="AB56" i="42"/>
  <c r="AU56" i="42" s="1"/>
  <c r="AC13" i="42"/>
  <c r="AV13" i="42" s="1"/>
  <c r="AS13" i="42"/>
  <c r="AB13" i="42"/>
  <c r="AU13" i="42" s="1"/>
  <c r="AA13" i="42"/>
  <c r="AG13" i="42" s="1"/>
  <c r="AR13" i="42" s="1"/>
  <c r="AC15" i="42"/>
  <c r="AV15" i="42" s="1"/>
  <c r="AS15" i="42"/>
  <c r="AB15" i="42"/>
  <c r="AU15" i="42" s="1"/>
  <c r="AA15" i="42"/>
  <c r="AG15" i="42" s="1"/>
  <c r="AR15" i="42" s="1"/>
  <c r="AS16" i="42"/>
  <c r="AC16" i="42"/>
  <c r="AV16" i="42" s="1"/>
  <c r="AB16" i="42"/>
  <c r="AU16" i="42" s="1"/>
  <c r="AA16" i="42"/>
  <c r="AA28" i="42"/>
  <c r="AS28" i="42"/>
  <c r="AB28" i="42"/>
  <c r="AU28" i="42" s="1"/>
  <c r="AC28" i="42"/>
  <c r="AV28" i="42" s="1"/>
  <c r="AA55" i="42"/>
  <c r="AG55" i="42" s="1"/>
  <c r="AR55" i="42" s="1"/>
  <c r="AS55" i="42"/>
  <c r="AC55" i="42"/>
  <c r="AV55" i="42" s="1"/>
  <c r="AB55" i="42"/>
  <c r="AU55" i="42" s="1"/>
  <c r="AG67" i="42"/>
  <c r="AR67" i="42" s="1"/>
  <c r="AS23" i="42"/>
  <c r="AC23" i="42"/>
  <c r="V26" i="42"/>
  <c r="AA23" i="42"/>
  <c r="AB23" i="42"/>
  <c r="AC24" i="42"/>
  <c r="AV24" i="42" s="1"/>
  <c r="AB24" i="42"/>
  <c r="AU24" i="42" s="1"/>
  <c r="AS24" i="42"/>
  <c r="AA24" i="42"/>
  <c r="AA54" i="42"/>
  <c r="V59" i="42"/>
  <c r="AS54" i="42"/>
  <c r="AC54" i="42"/>
  <c r="AB54" i="42"/>
  <c r="AA58" i="42"/>
  <c r="AS58" i="42"/>
  <c r="AC58" i="42"/>
  <c r="AV58" i="42" s="1"/>
  <c r="AB58" i="42"/>
  <c r="AU58" i="42" s="1"/>
  <c r="AV22" i="42"/>
  <c r="AA29" i="42"/>
  <c r="AB29" i="42"/>
  <c r="AU29" i="42" s="1"/>
  <c r="AS29" i="42"/>
  <c r="AC29" i="42"/>
  <c r="AV29" i="42" s="1"/>
  <c r="AA57" i="42"/>
  <c r="AS57" i="42"/>
  <c r="AC57" i="42"/>
  <c r="AV57" i="42" s="1"/>
  <c r="AB57" i="42"/>
  <c r="AU57" i="42" s="1"/>
  <c r="Z203" i="42"/>
  <c r="Z18" i="42"/>
  <c r="AZ17" i="42"/>
  <c r="AF18" i="42"/>
  <c r="AY27" i="42"/>
  <c r="AY30" i="42" s="1"/>
  <c r="AU35" i="42"/>
  <c r="AU38" i="42" s="1"/>
  <c r="AY55" i="42"/>
  <c r="AQ55" i="42"/>
  <c r="AX55" i="42" s="1"/>
  <c r="AY56" i="42"/>
  <c r="AQ56" i="42"/>
  <c r="AX56" i="42" s="1"/>
  <c r="AY58" i="42"/>
  <c r="AQ58" i="42"/>
  <c r="AX58" i="42" s="1"/>
  <c r="AS64" i="42"/>
  <c r="AB64" i="42"/>
  <c r="AU64" i="42" s="1"/>
  <c r="AA64" i="42"/>
  <c r="AG64" i="42" s="1"/>
  <c r="AR64" i="42" s="1"/>
  <c r="R77" i="42"/>
  <c r="V71" i="42"/>
  <c r="AS93" i="42"/>
  <c r="AB93" i="42"/>
  <c r="AU93" i="42" s="1"/>
  <c r="AA93" i="42"/>
  <c r="AC93" i="42"/>
  <c r="AV93" i="42" s="1"/>
  <c r="AY114" i="42"/>
  <c r="AQ114" i="42"/>
  <c r="AZ139" i="42"/>
  <c r="AZ145" i="42" s="1"/>
  <c r="AP145" i="42"/>
  <c r="AY196" i="42"/>
  <c r="AQ196" i="42"/>
  <c r="AX196" i="42" s="1"/>
  <c r="AZ205" i="42"/>
  <c r="V209" i="42"/>
  <c r="AS17" i="42"/>
  <c r="AB17" i="42"/>
  <c r="AF209" i="42"/>
  <c r="AW17" i="42"/>
  <c r="AW209" i="42" s="1"/>
  <c r="AQ17" i="42"/>
  <c r="AV17" i="42"/>
  <c r="AZ18" i="42"/>
  <c r="AU19" i="42"/>
  <c r="AU22" i="42" s="1"/>
  <c r="AY23" i="42"/>
  <c r="AY26" i="42" s="1"/>
  <c r="AQ23" i="42"/>
  <c r="AZ26" i="42"/>
  <c r="AO26" i="42"/>
  <c r="AQ28" i="42"/>
  <c r="AX28" i="42" s="1"/>
  <c r="AZ31" i="42"/>
  <c r="AA32" i="42"/>
  <c r="AQ38" i="42"/>
  <c r="AX35" i="42"/>
  <c r="AX38" i="42" s="1"/>
  <c r="AV35" i="42"/>
  <c r="AV38" i="42" s="1"/>
  <c r="R38" i="42"/>
  <c r="V38" i="42"/>
  <c r="AO41" i="42"/>
  <c r="AY39" i="42"/>
  <c r="AQ39" i="42"/>
  <c r="AY40" i="42"/>
  <c r="AQ40" i="42"/>
  <c r="AX40" i="42" s="1"/>
  <c r="V45" i="42"/>
  <c r="AS42" i="42"/>
  <c r="AB42" i="42"/>
  <c r="AA42" i="42"/>
  <c r="AS43" i="42"/>
  <c r="AB43" i="42"/>
  <c r="AU43" i="42" s="1"/>
  <c r="AA43" i="42"/>
  <c r="AS44" i="42"/>
  <c r="AB44" i="42"/>
  <c r="AU44" i="42" s="1"/>
  <c r="AA44" i="42"/>
  <c r="AO204" i="42"/>
  <c r="AY48" i="42"/>
  <c r="AQ48" i="42"/>
  <c r="AS49" i="42"/>
  <c r="AW210" i="42"/>
  <c r="AY52" i="42"/>
  <c r="AQ52" i="42"/>
  <c r="AX52" i="42" s="1"/>
  <c r="AP59" i="42"/>
  <c r="Z206" i="42"/>
  <c r="Z65" i="42"/>
  <c r="AP206" i="42"/>
  <c r="AP65" i="42"/>
  <c r="AZ60" i="42"/>
  <c r="AT66" i="42"/>
  <c r="AT70" i="42" s="1"/>
  <c r="Z70" i="42"/>
  <c r="AF70" i="42"/>
  <c r="AY74" i="42"/>
  <c r="AQ74" i="42"/>
  <c r="AX74" i="42" s="1"/>
  <c r="AS75" i="42"/>
  <c r="AS76" i="42"/>
  <c r="AC76" i="42"/>
  <c r="AV76" i="42" s="1"/>
  <c r="R211" i="42"/>
  <c r="V78" i="42"/>
  <c r="R79" i="42"/>
  <c r="AY211" i="42"/>
  <c r="AY79" i="42"/>
  <c r="AC82" i="42"/>
  <c r="AV82" i="42" s="1"/>
  <c r="AB82" i="42"/>
  <c r="AU82" i="42" s="1"/>
  <c r="AA82" i="42"/>
  <c r="AG82" i="42" s="1"/>
  <c r="AR82" i="42" s="1"/>
  <c r="AY83" i="42"/>
  <c r="AQ83" i="42"/>
  <c r="AX83" i="42" s="1"/>
  <c r="AO90" i="42"/>
  <c r="AY87" i="42"/>
  <c r="AY90" i="42" s="1"/>
  <c r="AQ87" i="42"/>
  <c r="AY89" i="42"/>
  <c r="AQ89" i="42"/>
  <c r="AX89" i="42" s="1"/>
  <c r="AS94" i="42"/>
  <c r="AB94" i="42"/>
  <c r="AU94" i="42" s="1"/>
  <c r="AA94" i="42"/>
  <c r="AC94" i="42"/>
  <c r="AV94" i="42" s="1"/>
  <c r="AZ94" i="42"/>
  <c r="AQ94" i="42"/>
  <c r="AX94" i="42" s="1"/>
  <c r="AC98" i="42"/>
  <c r="AV98" i="42" s="1"/>
  <c r="AS98" i="42"/>
  <c r="AB98" i="42"/>
  <c r="AU98" i="42" s="1"/>
  <c r="AA98" i="42"/>
  <c r="AC103" i="42"/>
  <c r="AV103" i="42" s="1"/>
  <c r="AA103" i="42"/>
  <c r="AG103" i="42" s="1"/>
  <c r="AR103" i="42" s="1"/>
  <c r="AS103" i="42"/>
  <c r="AY104" i="42"/>
  <c r="AQ104" i="42"/>
  <c r="AX104" i="42" s="1"/>
  <c r="AA109" i="42"/>
  <c r="AG109" i="42" s="1"/>
  <c r="AR109" i="42" s="1"/>
  <c r="AT112" i="42"/>
  <c r="AA112" i="42"/>
  <c r="AA116" i="42"/>
  <c r="AG114" i="42"/>
  <c r="AT131" i="42"/>
  <c r="AA131" i="42"/>
  <c r="AQ135" i="42"/>
  <c r="AX133" i="42"/>
  <c r="AX135" i="42" s="1"/>
  <c r="AY137" i="42"/>
  <c r="AQ137" i="42"/>
  <c r="AX137" i="42" s="1"/>
  <c r="AU139" i="42"/>
  <c r="V148" i="42"/>
  <c r="AS146" i="42"/>
  <c r="AB146" i="42"/>
  <c r="AA146" i="42"/>
  <c r="AC146" i="42"/>
  <c r="AP148" i="42"/>
  <c r="AZ146" i="42"/>
  <c r="AQ146" i="42"/>
  <c r="AY205" i="42"/>
  <c r="AY19" i="42"/>
  <c r="AY21" i="42"/>
  <c r="AO22" i="42"/>
  <c r="AT27" i="42"/>
  <c r="AT30" i="42" s="1"/>
  <c r="AS33" i="42"/>
  <c r="AB33" i="42"/>
  <c r="AU33" i="42" s="1"/>
  <c r="AF212" i="42"/>
  <c r="AW46" i="42"/>
  <c r="AO210" i="42"/>
  <c r="AY51" i="42"/>
  <c r="AQ51" i="42"/>
  <c r="AO53" i="42"/>
  <c r="AO59" i="42"/>
  <c r="AY54" i="42"/>
  <c r="AQ54" i="42"/>
  <c r="V206" i="42"/>
  <c r="V65" i="42"/>
  <c r="AS60" i="42"/>
  <c r="AB60" i="42"/>
  <c r="AA60" i="42"/>
  <c r="AS62" i="42"/>
  <c r="AB62" i="42"/>
  <c r="AU62" i="42" s="1"/>
  <c r="AA62" i="42"/>
  <c r="AG62" i="42" s="1"/>
  <c r="AR62" i="42" s="1"/>
  <c r="AY73" i="42"/>
  <c r="AQ73" i="42"/>
  <c r="AX73" i="42" s="1"/>
  <c r="AC84" i="42"/>
  <c r="AV84" i="42" s="1"/>
  <c r="AB84" i="42"/>
  <c r="AU84" i="42" s="1"/>
  <c r="AA84" i="42"/>
  <c r="AZ93" i="42"/>
  <c r="AQ93" i="42"/>
  <c r="AX93" i="42" s="1"/>
  <c r="AQ113" i="42"/>
  <c r="AX107" i="42"/>
  <c r="AX113" i="42" s="1"/>
  <c r="AO116" i="42"/>
  <c r="R203" i="42"/>
  <c r="R18" i="42"/>
  <c r="AO203" i="42"/>
  <c r="AW12" i="42"/>
  <c r="AW14" i="42"/>
  <c r="AW205" i="42" s="1"/>
  <c r="Z209" i="42"/>
  <c r="AQ20" i="42"/>
  <c r="AX20" i="42" s="1"/>
  <c r="R22" i="42"/>
  <c r="V22" i="42"/>
  <c r="AY24" i="42"/>
  <c r="AQ24" i="42"/>
  <c r="AX24" i="42" s="1"/>
  <c r="AA25" i="42"/>
  <c r="AG25" i="42" s="1"/>
  <c r="AR25" i="42" s="1"/>
  <c r="AS25" i="42"/>
  <c r="AQ27" i="42"/>
  <c r="AW30" i="42"/>
  <c r="V34" i="42"/>
  <c r="AS31" i="42"/>
  <c r="AS34" i="42" s="1"/>
  <c r="AB31" i="42"/>
  <c r="AG31" i="42" s="1"/>
  <c r="AQ31" i="42"/>
  <c r="AZ32" i="42"/>
  <c r="AA33" i="42"/>
  <c r="AW35" i="42"/>
  <c r="AW38" i="42" s="1"/>
  <c r="AB39" i="42"/>
  <c r="AB40" i="42"/>
  <c r="AU40" i="42" s="1"/>
  <c r="AP41" i="42"/>
  <c r="AP45" i="42"/>
  <c r="AZ42" i="42"/>
  <c r="AZ45" i="42" s="1"/>
  <c r="AF45" i="42"/>
  <c r="Z212" i="42"/>
  <c r="AT46" i="42"/>
  <c r="Z47" i="42"/>
  <c r="AZ47" i="42"/>
  <c r="AA49" i="42"/>
  <c r="AY49" i="42"/>
  <c r="AQ49" i="42"/>
  <c r="AX49" i="42" s="1"/>
  <c r="AS50" i="42"/>
  <c r="R210" i="42"/>
  <c r="V51" i="42"/>
  <c r="AZ210" i="42"/>
  <c r="R59" i="42"/>
  <c r="AC60" i="42"/>
  <c r="AQ60" i="42"/>
  <c r="AQ61" i="42"/>
  <c r="AX61" i="42" s="1"/>
  <c r="AC62" i="42"/>
  <c r="AV62" i="42" s="1"/>
  <c r="AQ62" i="42"/>
  <c r="AX62" i="42" s="1"/>
  <c r="AQ63" i="42"/>
  <c r="AX63" i="42" s="1"/>
  <c r="AC64" i="42"/>
  <c r="AV64" i="42" s="1"/>
  <c r="AQ64" i="42"/>
  <c r="AX64" i="42" s="1"/>
  <c r="AA66" i="42"/>
  <c r="AV66" i="42"/>
  <c r="AV70" i="42" s="1"/>
  <c r="AA68" i="42"/>
  <c r="AO77" i="42"/>
  <c r="AY71" i="42"/>
  <c r="AQ71" i="42"/>
  <c r="AS72" i="42"/>
  <c r="AA75" i="42"/>
  <c r="AY75" i="42"/>
  <c r="AQ75" i="42"/>
  <c r="AX75" i="42" s="1"/>
  <c r="Z211" i="42"/>
  <c r="AT78" i="42"/>
  <c r="Z79" i="42"/>
  <c r="AZ211" i="42"/>
  <c r="AZ79" i="42"/>
  <c r="AC80" i="42"/>
  <c r="AB80" i="42"/>
  <c r="AA80" i="42"/>
  <c r="AY81" i="42"/>
  <c r="AQ81" i="42"/>
  <c r="AX81" i="42" s="1"/>
  <c r="AZ90" i="42"/>
  <c r="AP90" i="42"/>
  <c r="V96" i="42"/>
  <c r="AS91" i="42"/>
  <c r="AB91" i="42"/>
  <c r="AA91" i="42"/>
  <c r="AC91" i="42"/>
  <c r="AP96" i="42"/>
  <c r="AZ91" i="42"/>
  <c r="AQ91" i="42"/>
  <c r="AS95" i="42"/>
  <c r="AB95" i="42"/>
  <c r="AU95" i="42" s="1"/>
  <c r="AA95" i="42"/>
  <c r="AC95" i="42"/>
  <c r="AV95" i="42" s="1"/>
  <c r="AZ95" i="42"/>
  <c r="AQ95" i="42"/>
  <c r="AX95" i="42" s="1"/>
  <c r="AC97" i="42"/>
  <c r="V100" i="42"/>
  <c r="AS97" i="42"/>
  <c r="AB97" i="42"/>
  <c r="AA97" i="42"/>
  <c r="AF100" i="42"/>
  <c r="AO122" i="42"/>
  <c r="AY117" i="42"/>
  <c r="AQ117" i="42"/>
  <c r="AY120" i="42"/>
  <c r="AQ120" i="42"/>
  <c r="AX120" i="42" s="1"/>
  <c r="AY121" i="42"/>
  <c r="AQ121" i="42"/>
  <c r="AX121" i="42" s="1"/>
  <c r="AS125" i="42"/>
  <c r="AB125" i="42"/>
  <c r="AU125" i="42" s="1"/>
  <c r="AA125" i="42"/>
  <c r="AC125" i="42"/>
  <c r="AV125" i="42" s="1"/>
  <c r="AZ125" i="42"/>
  <c r="AQ125" i="42"/>
  <c r="AX125" i="42" s="1"/>
  <c r="AC132" i="42"/>
  <c r="AW133" i="42"/>
  <c r="AW135" i="42" s="1"/>
  <c r="AF135" i="42"/>
  <c r="AG152" i="42"/>
  <c r="AR152" i="42" s="1"/>
  <c r="AB156" i="42"/>
  <c r="AU154" i="42"/>
  <c r="AU156" i="42" s="1"/>
  <c r="AQ165" i="42"/>
  <c r="AX165" i="42" s="1"/>
  <c r="AY165" i="42"/>
  <c r="AY18" i="42"/>
  <c r="AC25" i="42"/>
  <c r="AV25" i="42" s="1"/>
  <c r="AP30" i="42"/>
  <c r="AT34" i="42"/>
  <c r="AQ212" i="42"/>
  <c r="AQ47" i="42"/>
  <c r="AX46" i="42"/>
  <c r="AY212" i="42"/>
  <c r="AY47" i="42"/>
  <c r="AF47" i="42"/>
  <c r="R53" i="42"/>
  <c r="AY57" i="42"/>
  <c r="AQ57" i="42"/>
  <c r="AX57" i="42" s="1"/>
  <c r="AS61" i="42"/>
  <c r="AB61" i="42"/>
  <c r="AU61" i="42" s="1"/>
  <c r="AA61" i="42"/>
  <c r="AS63" i="42"/>
  <c r="AB63" i="42"/>
  <c r="AU63" i="42" s="1"/>
  <c r="AA63" i="42"/>
  <c r="AG63" i="42" s="1"/>
  <c r="AR63" i="42" s="1"/>
  <c r="AY85" i="42"/>
  <c r="AQ85" i="42"/>
  <c r="AX85" i="42" s="1"/>
  <c r="AT129" i="42"/>
  <c r="AA129" i="42"/>
  <c r="AT149" i="42"/>
  <c r="Z153" i="42"/>
  <c r="AA149" i="42"/>
  <c r="V12" i="42"/>
  <c r="AP203" i="42"/>
  <c r="AP18" i="42"/>
  <c r="AT12" i="42"/>
  <c r="AX12" i="42"/>
  <c r="V14" i="42"/>
  <c r="AT14" i="42"/>
  <c r="AX14" i="42"/>
  <c r="AX205" i="42" s="1"/>
  <c r="AA17" i="42"/>
  <c r="AT17" i="42"/>
  <c r="AG19" i="42"/>
  <c r="AW19" i="42"/>
  <c r="AW22" i="42" s="1"/>
  <c r="AY25" i="42"/>
  <c r="AQ25" i="42"/>
  <c r="AX25" i="42" s="1"/>
  <c r="V27" i="42"/>
  <c r="Z34" i="42"/>
  <c r="AS32" i="42"/>
  <c r="AB32" i="42"/>
  <c r="AU32" i="42" s="1"/>
  <c r="AC33" i="42"/>
  <c r="AF34" i="42"/>
  <c r="AA35" i="42"/>
  <c r="AS35" i="42"/>
  <c r="AA36" i="42"/>
  <c r="AG36" i="42" s="1"/>
  <c r="AR36" i="42" s="1"/>
  <c r="AS36" i="42"/>
  <c r="AA37" i="42"/>
  <c r="AG37" i="42" s="1"/>
  <c r="AR37" i="42" s="1"/>
  <c r="AS37" i="42"/>
  <c r="AC39" i="42"/>
  <c r="AS39" i="42"/>
  <c r="AC40" i="42"/>
  <c r="AV40" i="42" s="1"/>
  <c r="AS40" i="42"/>
  <c r="V41" i="42"/>
  <c r="AC42" i="42"/>
  <c r="AQ42" i="42"/>
  <c r="AC43" i="42"/>
  <c r="AV43" i="42" s="1"/>
  <c r="AQ43" i="42"/>
  <c r="AX43" i="42" s="1"/>
  <c r="AC44" i="42"/>
  <c r="AV44" i="42" s="1"/>
  <c r="AQ44" i="42"/>
  <c r="AX44" i="42" s="1"/>
  <c r="AA46" i="42"/>
  <c r="R204" i="42"/>
  <c r="V48" i="42"/>
  <c r="AZ53" i="42"/>
  <c r="AB49" i="42"/>
  <c r="AU49" i="42" s="1"/>
  <c r="AA50" i="42"/>
  <c r="AG50" i="42" s="1"/>
  <c r="AR50" i="42" s="1"/>
  <c r="AY50" i="42"/>
  <c r="AQ50" i="42"/>
  <c r="AX50" i="42" s="1"/>
  <c r="AT210" i="42"/>
  <c r="AT53" i="42"/>
  <c r="AF206" i="42"/>
  <c r="AF202" i="42" s="1"/>
  <c r="AW60" i="42"/>
  <c r="AT60" i="42"/>
  <c r="AQ70" i="42"/>
  <c r="AX66" i="42"/>
  <c r="AX70" i="42" s="1"/>
  <c r="AY70" i="42"/>
  <c r="AA72" i="42"/>
  <c r="AG72" i="42" s="1"/>
  <c r="AR72" i="42" s="1"/>
  <c r="AY72" i="42"/>
  <c r="AQ72" i="42"/>
  <c r="AX72" i="42" s="1"/>
  <c r="AS73" i="42"/>
  <c r="AB75" i="42"/>
  <c r="AU75" i="42" s="1"/>
  <c r="AA76" i="42"/>
  <c r="AG76" i="42" s="1"/>
  <c r="AR76" i="42" s="1"/>
  <c r="AF211" i="42"/>
  <c r="AW78" i="42"/>
  <c r="AQ211" i="42"/>
  <c r="AQ79" i="42"/>
  <c r="AX78" i="42"/>
  <c r="AG81" i="42"/>
  <c r="AR81" i="42" s="1"/>
  <c r="AS84" i="42"/>
  <c r="AS86" i="42" s="1"/>
  <c r="R86" i="42"/>
  <c r="V86" i="42"/>
  <c r="AO86" i="42"/>
  <c r="AB90" i="42"/>
  <c r="AU87" i="42"/>
  <c r="AU90" i="42" s="1"/>
  <c r="AY88" i="42"/>
  <c r="AQ88" i="42"/>
  <c r="AX88" i="42" s="1"/>
  <c r="Z96" i="42"/>
  <c r="AT91" i="42"/>
  <c r="AT96" i="42" s="1"/>
  <c r="AS92" i="42"/>
  <c r="AB92" i="42"/>
  <c r="AU92" i="42" s="1"/>
  <c r="AA92" i="42"/>
  <c r="AG92" i="42" s="1"/>
  <c r="AR92" i="42" s="1"/>
  <c r="AC92" i="42"/>
  <c r="AV92" i="42" s="1"/>
  <c r="AZ92" i="42"/>
  <c r="AQ92" i="42"/>
  <c r="AX92" i="42" s="1"/>
  <c r="AT97" i="42"/>
  <c r="AT100" i="42" s="1"/>
  <c r="Z100" i="42"/>
  <c r="V101" i="42"/>
  <c r="R106" i="42"/>
  <c r="AY102" i="42"/>
  <c r="AQ102" i="42"/>
  <c r="AX102" i="42" s="1"/>
  <c r="AB103" i="42"/>
  <c r="AU103" i="42" s="1"/>
  <c r="AC105" i="42"/>
  <c r="AV105" i="42" s="1"/>
  <c r="AA105" i="42"/>
  <c r="AG105" i="42" s="1"/>
  <c r="AR105" i="42" s="1"/>
  <c r="AS105" i="42"/>
  <c r="AP113" i="42"/>
  <c r="AC110" i="42"/>
  <c r="AV110" i="42" s="1"/>
  <c r="AV113" i="42" s="1"/>
  <c r="AS110" i="42"/>
  <c r="AB110" i="42"/>
  <c r="AU110" i="42" s="1"/>
  <c r="AA110" i="42"/>
  <c r="AA117" i="42"/>
  <c r="V122" i="42"/>
  <c r="AS117" i="42"/>
  <c r="AC117" i="42"/>
  <c r="AB117" i="42"/>
  <c r="AA120" i="42"/>
  <c r="AG120" i="42" s="1"/>
  <c r="AR120" i="42" s="1"/>
  <c r="AS120" i="42"/>
  <c r="AC120" i="42"/>
  <c r="AV120" i="42" s="1"/>
  <c r="AB120" i="42"/>
  <c r="AU120" i="42" s="1"/>
  <c r="AA121" i="42"/>
  <c r="AG121" i="42" s="1"/>
  <c r="AR121" i="42" s="1"/>
  <c r="AS121" i="42"/>
  <c r="AC121" i="42"/>
  <c r="AV121" i="42" s="1"/>
  <c r="AB121" i="42"/>
  <c r="AU121" i="42" s="1"/>
  <c r="R209" i="42"/>
  <c r="AO209" i="42"/>
  <c r="AB46" i="42"/>
  <c r="AS46" i="42"/>
  <c r="R47" i="42"/>
  <c r="V47" i="42"/>
  <c r="AP47" i="42"/>
  <c r="AP204" i="42"/>
  <c r="AP210" i="42"/>
  <c r="AB66" i="42"/>
  <c r="AS66" i="42"/>
  <c r="AB67" i="42"/>
  <c r="AU67" i="42" s="1"/>
  <c r="AS67" i="42"/>
  <c r="AB68" i="42"/>
  <c r="AU68" i="42" s="1"/>
  <c r="AS68" i="42"/>
  <c r="AB69" i="42"/>
  <c r="AU69" i="42" s="1"/>
  <c r="AS69" i="42"/>
  <c r="V70" i="42"/>
  <c r="AT71" i="42"/>
  <c r="AT77" i="42" s="1"/>
  <c r="AY80" i="42"/>
  <c r="AQ80" i="42"/>
  <c r="AY82" i="42"/>
  <c r="AQ82" i="42"/>
  <c r="AX82" i="42" s="1"/>
  <c r="AY84" i="42"/>
  <c r="AQ84" i="42"/>
  <c r="AX84" i="42" s="1"/>
  <c r="AC87" i="42"/>
  <c r="AS87" i="42"/>
  <c r="AC88" i="42"/>
  <c r="AV88" i="42" s="1"/>
  <c r="AS88" i="42"/>
  <c r="AC89" i="42"/>
  <c r="AV89" i="42" s="1"/>
  <c r="AS89" i="42"/>
  <c r="V90" i="42"/>
  <c r="AC99" i="42"/>
  <c r="AV99" i="42" s="1"/>
  <c r="AS99" i="42"/>
  <c r="AB99" i="42"/>
  <c r="AU99" i="42" s="1"/>
  <c r="AZ106" i="42"/>
  <c r="AB102" i="42"/>
  <c r="AU102" i="42" s="1"/>
  <c r="AB104" i="42"/>
  <c r="AW107" i="42"/>
  <c r="AW113" i="42" s="1"/>
  <c r="AF113" i="42"/>
  <c r="AB116" i="42"/>
  <c r="AU114" i="42"/>
  <c r="AU116" i="42" s="1"/>
  <c r="AZ122" i="42"/>
  <c r="AA118" i="42"/>
  <c r="AG118" i="42" s="1"/>
  <c r="AR118" i="42" s="1"/>
  <c r="AS118" i="42"/>
  <c r="AC118" i="42"/>
  <c r="AV118" i="42" s="1"/>
  <c r="AY118" i="42"/>
  <c r="AQ118" i="42"/>
  <c r="AX118" i="42" s="1"/>
  <c r="AP122" i="42"/>
  <c r="V126" i="42"/>
  <c r="AS123" i="42"/>
  <c r="AB123" i="42"/>
  <c r="AA123" i="42"/>
  <c r="AC123" i="42"/>
  <c r="AP126" i="42"/>
  <c r="AZ123" i="42"/>
  <c r="AZ126" i="42" s="1"/>
  <c r="AQ123" i="42"/>
  <c r="AT127" i="42"/>
  <c r="Z132" i="42"/>
  <c r="AA127" i="42"/>
  <c r="AY140" i="42"/>
  <c r="AQ140" i="42"/>
  <c r="AX140" i="42" s="1"/>
  <c r="AY141" i="42"/>
  <c r="AY206" i="42" s="1"/>
  <c r="AQ141" i="42"/>
  <c r="AX141" i="42" s="1"/>
  <c r="AY144" i="42"/>
  <c r="AQ144" i="42"/>
  <c r="AX144" i="42" s="1"/>
  <c r="AZ153" i="42"/>
  <c r="AY178" i="42"/>
  <c r="AQ178" i="42"/>
  <c r="AX178" i="42" s="1"/>
  <c r="AC46" i="42"/>
  <c r="Z204" i="42"/>
  <c r="Z210" i="42"/>
  <c r="AF210" i="42"/>
  <c r="AF53" i="42"/>
  <c r="R206" i="42"/>
  <c r="AO206" i="42"/>
  <c r="R65" i="42"/>
  <c r="AG87" i="42"/>
  <c r="AG89" i="42"/>
  <c r="AR89" i="42" s="1"/>
  <c r="AA90" i="42"/>
  <c r="AQ100" i="42"/>
  <c r="AX97" i="42"/>
  <c r="AX100" i="42" s="1"/>
  <c r="AY100" i="42"/>
  <c r="AO106" i="42"/>
  <c r="AY101" i="42"/>
  <c r="AY106" i="42" s="1"/>
  <c r="AQ101" i="42"/>
  <c r="AY103" i="42"/>
  <c r="AY209" i="42" s="1"/>
  <c r="AQ103" i="42"/>
  <c r="AX103" i="42" s="1"/>
  <c r="AY105" i="42"/>
  <c r="AQ105" i="42"/>
  <c r="AX105" i="42" s="1"/>
  <c r="V113" i="42"/>
  <c r="AS107" i="42"/>
  <c r="AB107" i="42"/>
  <c r="AA107" i="42"/>
  <c r="AY115" i="42"/>
  <c r="AQ115" i="42"/>
  <c r="AX115" i="42" s="1"/>
  <c r="AA119" i="42"/>
  <c r="AG119" i="42" s="1"/>
  <c r="AR119" i="42" s="1"/>
  <c r="AS119" i="42"/>
  <c r="AC119" i="42"/>
  <c r="AV119" i="42" s="1"/>
  <c r="AY119" i="42"/>
  <c r="AQ119" i="42"/>
  <c r="AX119" i="42" s="1"/>
  <c r="Z126" i="42"/>
  <c r="AT123" i="42"/>
  <c r="AT126" i="42" s="1"/>
  <c r="AS124" i="42"/>
  <c r="AB124" i="42"/>
  <c r="AU124" i="42" s="1"/>
  <c r="AA124" i="42"/>
  <c r="AC124" i="42"/>
  <c r="AV124" i="42" s="1"/>
  <c r="AZ124" i="42"/>
  <c r="AQ124" i="42"/>
  <c r="AX124" i="42" s="1"/>
  <c r="AZ132" i="42"/>
  <c r="AB138" i="42"/>
  <c r="AU136" i="42"/>
  <c r="AU138" i="42" s="1"/>
  <c r="AA140" i="42"/>
  <c r="AS140" i="42"/>
  <c r="AC140" i="42"/>
  <c r="AV140" i="42" s="1"/>
  <c r="AB140" i="42"/>
  <c r="AU140" i="42" s="1"/>
  <c r="AA141" i="42"/>
  <c r="AS141" i="42"/>
  <c r="AC141" i="42"/>
  <c r="AV141" i="42" s="1"/>
  <c r="AB141" i="42"/>
  <c r="AU141" i="42" s="1"/>
  <c r="AA144" i="42"/>
  <c r="AS144" i="42"/>
  <c r="AC144" i="42"/>
  <c r="AV144" i="42" s="1"/>
  <c r="AB144" i="42"/>
  <c r="AU144" i="42" s="1"/>
  <c r="R100" i="42"/>
  <c r="Z113" i="42"/>
  <c r="AS108" i="42"/>
  <c r="AB108" i="42"/>
  <c r="AU108" i="42" s="1"/>
  <c r="AZ109" i="42"/>
  <c r="AZ113" i="42" s="1"/>
  <c r="R122" i="42"/>
  <c r="V135" i="42"/>
  <c r="AS133" i="42"/>
  <c r="AB133" i="42"/>
  <c r="AC133" i="42"/>
  <c r="AA133" i="42"/>
  <c r="AS134" i="42"/>
  <c r="AB134" i="42"/>
  <c r="AU134" i="42" s="1"/>
  <c r="AA134" i="42"/>
  <c r="AG134" i="42" s="1"/>
  <c r="AR134" i="42" s="1"/>
  <c r="AT138" i="42"/>
  <c r="AY136" i="42"/>
  <c r="AY138" i="42" s="1"/>
  <c r="AQ136" i="42"/>
  <c r="AW145" i="42"/>
  <c r="AA142" i="42"/>
  <c r="AG142" i="42" s="1"/>
  <c r="AR142" i="42" s="1"/>
  <c r="AS142" i="42"/>
  <c r="AC142" i="42"/>
  <c r="AV142" i="42" s="1"/>
  <c r="AY142" i="42"/>
  <c r="AQ142" i="42"/>
  <c r="AX142" i="42" s="1"/>
  <c r="Z148" i="42"/>
  <c r="AT146" i="42"/>
  <c r="AT148" i="42" s="1"/>
  <c r="AS147" i="42"/>
  <c r="AB147" i="42"/>
  <c r="AU147" i="42" s="1"/>
  <c r="AA147" i="42"/>
  <c r="AG147" i="42" s="1"/>
  <c r="AR147" i="42" s="1"/>
  <c r="AC147" i="42"/>
  <c r="AV147" i="42" s="1"/>
  <c r="AZ147" i="42"/>
  <c r="AQ147" i="42"/>
  <c r="AX147" i="42" s="1"/>
  <c r="AS158" i="42"/>
  <c r="AB158" i="42"/>
  <c r="AU158" i="42" s="1"/>
  <c r="AA158" i="42"/>
  <c r="AC158" i="42"/>
  <c r="AV158" i="42" s="1"/>
  <c r="AA164" i="42"/>
  <c r="AG164" i="42" s="1"/>
  <c r="AR164" i="42" s="1"/>
  <c r="AC164" i="42"/>
  <c r="AV164" i="42" s="1"/>
  <c r="AB164" i="42"/>
  <c r="AU164" i="42" s="1"/>
  <c r="AS164" i="42"/>
  <c r="AW167" i="42"/>
  <c r="AW172" i="42" s="1"/>
  <c r="AF172" i="42"/>
  <c r="AG174" i="42"/>
  <c r="AR174" i="42" s="1"/>
  <c r="AT107" i="42"/>
  <c r="AT113" i="42" s="1"/>
  <c r="AY113" i="42"/>
  <c r="AS109" i="42"/>
  <c r="AB109" i="42"/>
  <c r="AU109" i="42" s="1"/>
  <c r="AS114" i="42"/>
  <c r="AS116" i="42" s="1"/>
  <c r="AW132" i="42"/>
  <c r="AQ132" i="42"/>
  <c r="AX127" i="42"/>
  <c r="AX132" i="42" s="1"/>
  <c r="AF132" i="42"/>
  <c r="Z135" i="42"/>
  <c r="AT133" i="42"/>
  <c r="AT135" i="42" s="1"/>
  <c r="AA138" i="42"/>
  <c r="AG136" i="42"/>
  <c r="AO138" i="42"/>
  <c r="AA139" i="42"/>
  <c r="V145" i="42"/>
  <c r="AS139" i="42"/>
  <c r="AC139" i="42"/>
  <c r="AO145" i="42"/>
  <c r="AY139" i="42"/>
  <c r="AQ139" i="42"/>
  <c r="AA143" i="42"/>
  <c r="AG143" i="42" s="1"/>
  <c r="AR143" i="42" s="1"/>
  <c r="AS143" i="42"/>
  <c r="AC143" i="42"/>
  <c r="AV143" i="42" s="1"/>
  <c r="AY143" i="42"/>
  <c r="AQ143" i="42"/>
  <c r="AX143" i="42" s="1"/>
  <c r="AV153" i="42"/>
  <c r="AT151" i="42"/>
  <c r="AA151" i="42"/>
  <c r="AT156" i="42"/>
  <c r="AV157" i="42"/>
  <c r="AL199" i="42"/>
  <c r="AB185" i="42"/>
  <c r="AU180" i="42"/>
  <c r="AP162" i="42"/>
  <c r="AQ166" i="42"/>
  <c r="AX163" i="42"/>
  <c r="AX166" i="42" s="1"/>
  <c r="AR173" i="42"/>
  <c r="AC176" i="42"/>
  <c r="AB176" i="42"/>
  <c r="AU176" i="42" s="1"/>
  <c r="AA176" i="42"/>
  <c r="AS176" i="42"/>
  <c r="Y199" i="42"/>
  <c r="AA189" i="42"/>
  <c r="AG189" i="42" s="1"/>
  <c r="AR189" i="42" s="1"/>
  <c r="AC189" i="42"/>
  <c r="AV189" i="42" s="1"/>
  <c r="AS189" i="42"/>
  <c r="AB189" i="42"/>
  <c r="AU189" i="42" s="1"/>
  <c r="AB111" i="42"/>
  <c r="AU111" i="42" s="1"/>
  <c r="AS111" i="42"/>
  <c r="AB112" i="42"/>
  <c r="AU112" i="42" s="1"/>
  <c r="AS112" i="42"/>
  <c r="AB127" i="42"/>
  <c r="AS127" i="42"/>
  <c r="AB128" i="42"/>
  <c r="AU128" i="42" s="1"/>
  <c r="AS128" i="42"/>
  <c r="AB129" i="42"/>
  <c r="AU129" i="42" s="1"/>
  <c r="AS129" i="42"/>
  <c r="AB130" i="42"/>
  <c r="AU130" i="42" s="1"/>
  <c r="AS130" i="42"/>
  <c r="AB131" i="42"/>
  <c r="AU131" i="42" s="1"/>
  <c r="AS131" i="42"/>
  <c r="V132" i="42"/>
  <c r="R145" i="42"/>
  <c r="AA154" i="42"/>
  <c r="AC154" i="42"/>
  <c r="AO156" i="42"/>
  <c r="AY154" i="42"/>
  <c r="AQ154" i="42"/>
  <c r="AS157" i="42"/>
  <c r="AB157" i="42"/>
  <c r="V162" i="42"/>
  <c r="AA157" i="42"/>
  <c r="AB159" i="42"/>
  <c r="AU159" i="42" s="1"/>
  <c r="AS159" i="42"/>
  <c r="AA159" i="42"/>
  <c r="AG159" i="42" s="1"/>
  <c r="AR159" i="42" s="1"/>
  <c r="AW166" i="42"/>
  <c r="AW164" i="42"/>
  <c r="AF166" i="42"/>
  <c r="AD199" i="42"/>
  <c r="AF200" i="42" s="1"/>
  <c r="V172" i="42"/>
  <c r="AS167" i="42"/>
  <c r="AB167" i="42"/>
  <c r="AC167" i="42"/>
  <c r="AA167" i="42"/>
  <c r="AZ168" i="42"/>
  <c r="AG169" i="42"/>
  <c r="AR169" i="42" s="1"/>
  <c r="AS171" i="42"/>
  <c r="AB171" i="42"/>
  <c r="AU171" i="42" s="1"/>
  <c r="AC171" i="42"/>
  <c r="AV171" i="42" s="1"/>
  <c r="AA171" i="42"/>
  <c r="AG171" i="42" s="1"/>
  <c r="AR171" i="42" s="1"/>
  <c r="AB179" i="42"/>
  <c r="AU173" i="42"/>
  <c r="AS179" i="42"/>
  <c r="AY174" i="42"/>
  <c r="AQ174" i="42"/>
  <c r="AX174" i="42" s="1"/>
  <c r="AT186" i="42"/>
  <c r="AT191" i="42" s="1"/>
  <c r="Z191" i="42"/>
  <c r="AZ191" i="42"/>
  <c r="AY188" i="42"/>
  <c r="AQ188" i="42"/>
  <c r="AX188" i="42" s="1"/>
  <c r="AV192" i="42"/>
  <c r="AQ192" i="42"/>
  <c r="AZ192" i="42"/>
  <c r="AP198" i="42"/>
  <c r="AP135" i="42"/>
  <c r="AZ133" i="42"/>
  <c r="AZ135" i="42" s="1"/>
  <c r="AS136" i="42"/>
  <c r="AS138" i="42" s="1"/>
  <c r="AF153" i="42"/>
  <c r="AW149" i="42"/>
  <c r="AW153" i="42" s="1"/>
  <c r="AQ153" i="42"/>
  <c r="AX149" i="42"/>
  <c r="AX153" i="42" s="1"/>
  <c r="AY153" i="42"/>
  <c r="AA155" i="42"/>
  <c r="AC155" i="42"/>
  <c r="AV155" i="42" s="1"/>
  <c r="AY155" i="42"/>
  <c r="AQ155" i="42"/>
  <c r="AX155" i="42" s="1"/>
  <c r="AZ162" i="42"/>
  <c r="AS160" i="42"/>
  <c r="AA160" i="42"/>
  <c r="AC160" i="42"/>
  <c r="AV160" i="42" s="1"/>
  <c r="AY160" i="42"/>
  <c r="AQ160" i="42"/>
  <c r="AX160" i="42" s="1"/>
  <c r="R166" i="42"/>
  <c r="V163" i="42"/>
  <c r="AQ172" i="42"/>
  <c r="AX167" i="42"/>
  <c r="AX172" i="42" s="1"/>
  <c r="S199" i="42"/>
  <c r="AG177" i="42"/>
  <c r="AR177" i="42" s="1"/>
  <c r="AP185" i="42"/>
  <c r="AZ180" i="42"/>
  <c r="AZ185" i="42" s="1"/>
  <c r="AB149" i="42"/>
  <c r="AS149" i="42"/>
  <c r="AB150" i="42"/>
  <c r="AU150" i="42" s="1"/>
  <c r="AS150" i="42"/>
  <c r="AB151" i="42"/>
  <c r="AU151" i="42" s="1"/>
  <c r="AS151" i="42"/>
  <c r="AB152" i="42"/>
  <c r="AU152" i="42" s="1"/>
  <c r="AS152" i="42"/>
  <c r="V153" i="42"/>
  <c r="AQ157" i="42"/>
  <c r="AY157" i="42"/>
  <c r="AQ158" i="42"/>
  <c r="AX158" i="42" s="1"/>
  <c r="AB161" i="42"/>
  <c r="AY161" i="42"/>
  <c r="AQ161" i="42"/>
  <c r="AX161" i="42" s="1"/>
  <c r="AB165" i="42"/>
  <c r="AU165" i="42" s="1"/>
  <c r="Z166" i="42"/>
  <c r="Z172" i="42"/>
  <c r="Z199" i="42" s="1"/>
  <c r="AS168" i="42"/>
  <c r="AB168" i="42"/>
  <c r="AU168" i="42" s="1"/>
  <c r="AA170" i="42"/>
  <c r="AZ179" i="42"/>
  <c r="AB174" i="42"/>
  <c r="AU174" i="42" s="1"/>
  <c r="AA175" i="42"/>
  <c r="AY175" i="42"/>
  <c r="AQ175" i="42"/>
  <c r="AX175" i="42" s="1"/>
  <c r="AB178" i="42"/>
  <c r="AU178" i="42" s="1"/>
  <c r="AC180" i="42"/>
  <c r="AC181" i="42"/>
  <c r="AV181" i="42" s="1"/>
  <c r="AS181" i="42"/>
  <c r="AS185" i="42" s="1"/>
  <c r="AC182" i="42"/>
  <c r="AV182" i="42" s="1"/>
  <c r="AS182" i="42"/>
  <c r="AC183" i="42"/>
  <c r="AV183" i="42" s="1"/>
  <c r="AS183" i="42"/>
  <c r="AU186" i="42"/>
  <c r="AQ191" i="42"/>
  <c r="AX186" i="42"/>
  <c r="AX191" i="42" s="1"/>
  <c r="AA188" i="42"/>
  <c r="AC188" i="42"/>
  <c r="AV188" i="42" s="1"/>
  <c r="AB188" i="42"/>
  <c r="AU188" i="42" s="1"/>
  <c r="AC196" i="42"/>
  <c r="AV196" i="42" s="1"/>
  <c r="AS196" i="42"/>
  <c r="AA196" i="42"/>
  <c r="AB196" i="42"/>
  <c r="AU196" i="42" s="1"/>
  <c r="AO166" i="42"/>
  <c r="AY163" i="42"/>
  <c r="AP166" i="42"/>
  <c r="AT172" i="42"/>
  <c r="AS169" i="42"/>
  <c r="AB169" i="42"/>
  <c r="AU169" i="42" s="1"/>
  <c r="AB175" i="42"/>
  <c r="AU175" i="42" s="1"/>
  <c r="AY176" i="42"/>
  <c r="AQ176" i="42"/>
  <c r="AX176" i="42" s="1"/>
  <c r="V185" i="42"/>
  <c r="AA180" i="42"/>
  <c r="AG181" i="42"/>
  <c r="AR181" i="42" s="1"/>
  <c r="AG182" i="42"/>
  <c r="AR182" i="42" s="1"/>
  <c r="AI199" i="42"/>
  <c r="AF191" i="42"/>
  <c r="AW191" i="42"/>
  <c r="U199" i="42"/>
  <c r="AS193" i="42"/>
  <c r="AB193" i="42"/>
  <c r="AU193" i="42" s="1"/>
  <c r="AC193" i="42"/>
  <c r="AV193" i="42" s="1"/>
  <c r="AA193" i="42"/>
  <c r="AB197" i="42"/>
  <c r="AU197" i="42" s="1"/>
  <c r="AC197" i="42"/>
  <c r="AV197" i="42" s="1"/>
  <c r="AA197" i="42"/>
  <c r="AG197" i="42" s="1"/>
  <c r="AR197" i="42" s="1"/>
  <c r="AE199" i="42"/>
  <c r="AK199" i="42"/>
  <c r="Y202" i="42"/>
  <c r="Z201" i="42" s="1"/>
  <c r="AY159" i="42"/>
  <c r="AQ159" i="42"/>
  <c r="AX159" i="42" s="1"/>
  <c r="AA165" i="42"/>
  <c r="AG165" i="42" s="1"/>
  <c r="AR165" i="42" s="1"/>
  <c r="AS165" i="42"/>
  <c r="AP172" i="42"/>
  <c r="AZ167" i="42"/>
  <c r="AS170" i="42"/>
  <c r="AB170" i="42"/>
  <c r="AU170" i="42" s="1"/>
  <c r="AA179" i="42"/>
  <c r="AY173" i="42"/>
  <c r="AQ173" i="42"/>
  <c r="AY177" i="42"/>
  <c r="AQ177" i="42"/>
  <c r="AX177" i="42" s="1"/>
  <c r="R179" i="42"/>
  <c r="R199" i="42" s="1"/>
  <c r="V179" i="42"/>
  <c r="AO179" i="42"/>
  <c r="AY180" i="42"/>
  <c r="AQ180" i="42"/>
  <c r="AY181" i="42"/>
  <c r="AQ181" i="42"/>
  <c r="AX181" i="42" s="1"/>
  <c r="AY182" i="42"/>
  <c r="AQ182" i="42"/>
  <c r="AX182" i="42" s="1"/>
  <c r="AY183" i="42"/>
  <c r="AQ183" i="42"/>
  <c r="AX183" i="42" s="1"/>
  <c r="V191" i="42"/>
  <c r="AY189" i="42"/>
  <c r="AY191" i="42" s="1"/>
  <c r="AQ189" i="42"/>
  <c r="AX189" i="42" s="1"/>
  <c r="AS192" i="42"/>
  <c r="AB192" i="42"/>
  <c r="AA192" i="42"/>
  <c r="AB195" i="42"/>
  <c r="AU195" i="42" s="1"/>
  <c r="AC195" i="42"/>
  <c r="AV195" i="42" s="1"/>
  <c r="AA195" i="42"/>
  <c r="AG195" i="42" s="1"/>
  <c r="AR195" i="42" s="1"/>
  <c r="AH199" i="42"/>
  <c r="I202" i="42"/>
  <c r="M202" i="42"/>
  <c r="I201" i="42" s="1"/>
  <c r="Q202" i="42"/>
  <c r="AS184" i="42"/>
  <c r="AB184" i="42"/>
  <c r="AU184" i="42" s="1"/>
  <c r="AS186" i="42"/>
  <c r="AS191" i="42" s="1"/>
  <c r="AA187" i="42"/>
  <c r="AC187" i="42"/>
  <c r="AV187" i="42" s="1"/>
  <c r="R191" i="42"/>
  <c r="AT198" i="42"/>
  <c r="AZ194" i="42"/>
  <c r="W199" i="42"/>
  <c r="AM199" i="42"/>
  <c r="I200" i="42"/>
  <c r="O201" i="42"/>
  <c r="AA186" i="42"/>
  <c r="AC186" i="42"/>
  <c r="AO191" i="42"/>
  <c r="AA190" i="42"/>
  <c r="AC190" i="42"/>
  <c r="AV190" i="42" s="1"/>
  <c r="AO198" i="42"/>
  <c r="AS194" i="42"/>
  <c r="AB194" i="42"/>
  <c r="AU194" i="42" s="1"/>
  <c r="T199" i="42"/>
  <c r="X199" i="42"/>
  <c r="AJ199" i="42"/>
  <c r="AN199" i="42"/>
  <c r="AF199" i="42"/>
  <c r="AY195" i="42"/>
  <c r="AY198" i="42" s="1"/>
  <c r="AQ195" i="42"/>
  <c r="AX195" i="42" s="1"/>
  <c r="AQ184" i="42"/>
  <c r="AX184" i="42" s="1"/>
  <c r="AW192" i="42"/>
  <c r="AW198" i="42" s="1"/>
  <c r="AY197" i="42"/>
  <c r="AQ197" i="42"/>
  <c r="AX197" i="42" s="1"/>
  <c r="AY26" i="41"/>
  <c r="AQ26" i="41"/>
  <c r="AX26" i="41" s="1"/>
  <c r="AO155" i="41"/>
  <c r="AO29" i="41"/>
  <c r="AY28" i="41"/>
  <c r="AQ28" i="41"/>
  <c r="V32" i="41"/>
  <c r="AS30" i="41"/>
  <c r="AB30" i="41"/>
  <c r="AA30" i="41"/>
  <c r="AS31" i="41"/>
  <c r="AB31" i="41"/>
  <c r="AU31" i="41" s="1"/>
  <c r="AA31" i="41"/>
  <c r="AF150" i="41"/>
  <c r="AW33" i="41"/>
  <c r="AY38" i="41"/>
  <c r="AF38" i="41"/>
  <c r="AY42" i="41"/>
  <c r="AY153" i="41" s="1"/>
  <c r="AQ42" i="41"/>
  <c r="AX42" i="41" s="1"/>
  <c r="AG51" i="41"/>
  <c r="AR51" i="41" s="1"/>
  <c r="AA65" i="41"/>
  <c r="AS65" i="41"/>
  <c r="AT74" i="41"/>
  <c r="AC76" i="41"/>
  <c r="AV76" i="41" s="1"/>
  <c r="AS76" i="41"/>
  <c r="AB76" i="41"/>
  <c r="AU76" i="41" s="1"/>
  <c r="AA76" i="41"/>
  <c r="AA81" i="41" s="1"/>
  <c r="AY82" i="41"/>
  <c r="AQ82" i="41"/>
  <c r="AO85" i="41"/>
  <c r="V127" i="41"/>
  <c r="R130" i="41"/>
  <c r="V16" i="41"/>
  <c r="AS12" i="41"/>
  <c r="AB12" i="41"/>
  <c r="AA12" i="41"/>
  <c r="AS13" i="41"/>
  <c r="AB13" i="41"/>
  <c r="AU13" i="41" s="1"/>
  <c r="AA13" i="41"/>
  <c r="AS14" i="41"/>
  <c r="AB14" i="41"/>
  <c r="AU14" i="41" s="1"/>
  <c r="AA14" i="41"/>
  <c r="AG14" i="41" s="1"/>
  <c r="AR14" i="41" s="1"/>
  <c r="V153" i="41"/>
  <c r="AS15" i="41"/>
  <c r="AB15" i="41"/>
  <c r="AA15" i="41"/>
  <c r="Z148" i="41"/>
  <c r="AT17" i="41"/>
  <c r="Z21" i="41"/>
  <c r="AC18" i="41"/>
  <c r="AV18" i="41" s="1"/>
  <c r="AS18" i="41"/>
  <c r="AB18" i="41"/>
  <c r="AU18" i="41" s="1"/>
  <c r="AF154" i="41"/>
  <c r="AW19" i="41"/>
  <c r="AW154" i="41" s="1"/>
  <c r="AX19" i="41"/>
  <c r="AA20" i="41"/>
  <c r="AG20" i="41" s="1"/>
  <c r="AR20" i="41" s="1"/>
  <c r="AZ21" i="41"/>
  <c r="AU22" i="41"/>
  <c r="AV27" i="41"/>
  <c r="AS23" i="41"/>
  <c r="AS27" i="41" s="1"/>
  <c r="AS25" i="41"/>
  <c r="AC27" i="41"/>
  <c r="AB155" i="41"/>
  <c r="AB29" i="41"/>
  <c r="AU28" i="41"/>
  <c r="AP155" i="41"/>
  <c r="AZ28" i="41"/>
  <c r="AP29" i="41"/>
  <c r="AP32" i="41"/>
  <c r="AZ30" i="41"/>
  <c r="AZ32" i="41" s="1"/>
  <c r="V38" i="41"/>
  <c r="AA35" i="41"/>
  <c r="AC37" i="41"/>
  <c r="AV37" i="41" s="1"/>
  <c r="AS37" i="41"/>
  <c r="AB37" i="41"/>
  <c r="AU37" i="41" s="1"/>
  <c r="AY39" i="41"/>
  <c r="AQ39" i="41"/>
  <c r="AV45" i="41"/>
  <c r="AS40" i="41"/>
  <c r="AY43" i="41"/>
  <c r="AQ43" i="41"/>
  <c r="AX43" i="41" s="1"/>
  <c r="AS44" i="41"/>
  <c r="R45" i="41"/>
  <c r="V45" i="41"/>
  <c r="AO45" i="41"/>
  <c r="AO52" i="41"/>
  <c r="AY46" i="41"/>
  <c r="AQ46" i="41"/>
  <c r="AY47" i="41"/>
  <c r="AQ47" i="41"/>
  <c r="AX47" i="41" s="1"/>
  <c r="AY48" i="41"/>
  <c r="AQ48" i="41"/>
  <c r="AX48" i="41" s="1"/>
  <c r="AY49" i="41"/>
  <c r="AQ49" i="41"/>
  <c r="AX49" i="41" s="1"/>
  <c r="AY50" i="41"/>
  <c r="AQ50" i="41"/>
  <c r="AX50" i="41" s="1"/>
  <c r="AY51" i="41"/>
  <c r="AQ51" i="41"/>
  <c r="AX51" i="41" s="1"/>
  <c r="V60" i="41"/>
  <c r="AS53" i="41"/>
  <c r="AB53" i="41"/>
  <c r="AA53" i="41"/>
  <c r="AS54" i="41"/>
  <c r="AB54" i="41"/>
  <c r="AU54" i="41" s="1"/>
  <c r="AA54" i="41"/>
  <c r="AG54" i="41" s="1"/>
  <c r="AR54" i="41" s="1"/>
  <c r="AS55" i="41"/>
  <c r="AB55" i="41"/>
  <c r="AU55" i="41" s="1"/>
  <c r="AA55" i="41"/>
  <c r="AS56" i="41"/>
  <c r="AB56" i="41"/>
  <c r="AU56" i="41" s="1"/>
  <c r="AA56" i="41"/>
  <c r="AS57" i="41"/>
  <c r="AB57" i="41"/>
  <c r="AU57" i="41" s="1"/>
  <c r="AA57" i="41"/>
  <c r="AS58" i="41"/>
  <c r="AB58" i="41"/>
  <c r="AU58" i="41" s="1"/>
  <c r="AA58" i="41"/>
  <c r="AG58" i="41" s="1"/>
  <c r="AR58" i="41" s="1"/>
  <c r="AS59" i="41"/>
  <c r="AB59" i="41"/>
  <c r="AU59" i="41" s="1"/>
  <c r="AA59" i="41"/>
  <c r="AT61" i="41"/>
  <c r="AT63" i="41" s="1"/>
  <c r="Z63" i="41"/>
  <c r="AC62" i="41"/>
  <c r="AV62" i="41" s="1"/>
  <c r="AS62" i="41"/>
  <c r="AB62" i="41"/>
  <c r="AU62" i="41" s="1"/>
  <c r="AQ72" i="41"/>
  <c r="AX72" i="41" s="1"/>
  <c r="AF74" i="41"/>
  <c r="AA79" i="41"/>
  <c r="AG92" i="41"/>
  <c r="AR92" i="41" s="1"/>
  <c r="AS106" i="41"/>
  <c r="AB106" i="41"/>
  <c r="AU106" i="41" s="1"/>
  <c r="AC106" i="41"/>
  <c r="AV106" i="41" s="1"/>
  <c r="AA106" i="41"/>
  <c r="V111" i="41"/>
  <c r="AS109" i="41"/>
  <c r="AA109" i="41"/>
  <c r="AB109" i="41"/>
  <c r="AU109" i="41" s="1"/>
  <c r="AC109" i="41"/>
  <c r="AV109" i="41" s="1"/>
  <c r="AA125" i="41"/>
  <c r="AG125" i="41" s="1"/>
  <c r="AR125" i="41" s="1"/>
  <c r="AT125" i="41"/>
  <c r="AS138" i="41"/>
  <c r="AB138" i="41"/>
  <c r="AU138" i="41" s="1"/>
  <c r="AC138" i="41"/>
  <c r="AV138" i="41" s="1"/>
  <c r="AA138" i="41"/>
  <c r="Z147" i="41"/>
  <c r="Z16" i="41"/>
  <c r="AP147" i="41"/>
  <c r="AP16" i="41"/>
  <c r="AZ12" i="41"/>
  <c r="AX12" i="41"/>
  <c r="Z153" i="41"/>
  <c r="AP153" i="41"/>
  <c r="AZ15" i="41"/>
  <c r="AA23" i="41"/>
  <c r="AG23" i="41" s="1"/>
  <c r="AR23" i="41" s="1"/>
  <c r="AY23" i="41"/>
  <c r="AQ23" i="41"/>
  <c r="AX23" i="41" s="1"/>
  <c r="AA25" i="41"/>
  <c r="AY25" i="41"/>
  <c r="AY154" i="41" s="1"/>
  <c r="AQ25" i="41"/>
  <c r="AX25" i="41" s="1"/>
  <c r="AC28" i="41"/>
  <c r="AS28" i="41"/>
  <c r="R29" i="41"/>
  <c r="AC30" i="41"/>
  <c r="AQ30" i="41"/>
  <c r="AC31" i="41"/>
  <c r="AV31" i="41" s="1"/>
  <c r="AQ31" i="41"/>
  <c r="AX31" i="41" s="1"/>
  <c r="AX153" i="41" s="1"/>
  <c r="Z150" i="41"/>
  <c r="AT33" i="41"/>
  <c r="Z38" i="41"/>
  <c r="AC34" i="41"/>
  <c r="AV34" i="41" s="1"/>
  <c r="AS34" i="41"/>
  <c r="AB34" i="41"/>
  <c r="AU34" i="41" s="1"/>
  <c r="AZ38" i="41"/>
  <c r="AB39" i="41"/>
  <c r="AA40" i="41"/>
  <c r="AA45" i="41" s="1"/>
  <c r="AY40" i="41"/>
  <c r="AQ40" i="41"/>
  <c r="AX40" i="41" s="1"/>
  <c r="AS41" i="41"/>
  <c r="AS45" i="41" s="1"/>
  <c r="AB43" i="41"/>
  <c r="AA44" i="41"/>
  <c r="AY44" i="41"/>
  <c r="AQ44" i="41"/>
  <c r="AX44" i="41" s="1"/>
  <c r="AB46" i="41"/>
  <c r="AB47" i="41"/>
  <c r="AU47" i="41" s="1"/>
  <c r="AB48" i="41"/>
  <c r="AU48" i="41" s="1"/>
  <c r="AB49" i="41"/>
  <c r="AU49" i="41" s="1"/>
  <c r="AB50" i="41"/>
  <c r="AU50" i="41" s="1"/>
  <c r="AB51" i="41"/>
  <c r="AU51" i="41" s="1"/>
  <c r="AP52" i="41"/>
  <c r="AP60" i="41"/>
  <c r="AZ53" i="41"/>
  <c r="AZ60" i="41" s="1"/>
  <c r="AX53" i="41"/>
  <c r="AX60" i="41" s="1"/>
  <c r="AF60" i="41"/>
  <c r="R67" i="41"/>
  <c r="AO67" i="41"/>
  <c r="AQ64" i="41"/>
  <c r="AB65" i="41"/>
  <c r="AU65" i="41" s="1"/>
  <c r="AS70" i="41"/>
  <c r="AB70" i="41"/>
  <c r="AU70" i="41" s="1"/>
  <c r="AC70" i="41"/>
  <c r="AV70" i="41" s="1"/>
  <c r="AA70" i="41"/>
  <c r="AS71" i="41"/>
  <c r="AB71" i="41"/>
  <c r="AU71" i="41" s="1"/>
  <c r="AA71" i="41"/>
  <c r="AT75" i="41"/>
  <c r="AT81" i="41" s="1"/>
  <c r="Z81" i="41"/>
  <c r="AC80" i="41"/>
  <c r="AV80" i="41" s="1"/>
  <c r="AS80" i="41"/>
  <c r="AB80" i="41"/>
  <c r="AU80" i="41" s="1"/>
  <c r="AA80" i="41"/>
  <c r="AG80" i="41" s="1"/>
  <c r="AR80" i="41" s="1"/>
  <c r="AA86" i="41"/>
  <c r="V89" i="41"/>
  <c r="AS86" i="41"/>
  <c r="AC86" i="41"/>
  <c r="AB86" i="41"/>
  <c r="AA87" i="41"/>
  <c r="AG87" i="41" s="1"/>
  <c r="AR87" i="41" s="1"/>
  <c r="AS87" i="41"/>
  <c r="AC87" i="41"/>
  <c r="AV87" i="41" s="1"/>
  <c r="AB87" i="41"/>
  <c r="AU87" i="41" s="1"/>
  <c r="AA88" i="41"/>
  <c r="AG88" i="41" s="1"/>
  <c r="AR88" i="41" s="1"/>
  <c r="AS88" i="41"/>
  <c r="AC88" i="41"/>
  <c r="AV88" i="41" s="1"/>
  <c r="AB88" i="41"/>
  <c r="AU88" i="41" s="1"/>
  <c r="AW90" i="41"/>
  <c r="AW95" i="41" s="1"/>
  <c r="AF95" i="41"/>
  <c r="AC99" i="41"/>
  <c r="AV99" i="41" s="1"/>
  <c r="AB99" i="41"/>
  <c r="AU99" i="41" s="1"/>
  <c r="AA99" i="41"/>
  <c r="AG99" i="41" s="1"/>
  <c r="AR99" i="41" s="1"/>
  <c r="AR101" i="41" s="1"/>
  <c r="V101" i="41"/>
  <c r="AA116" i="41"/>
  <c r="AB116" i="41"/>
  <c r="AU116" i="41" s="1"/>
  <c r="AC116" i="41"/>
  <c r="AV116" i="41" s="1"/>
  <c r="AS123" i="41"/>
  <c r="AB123" i="41"/>
  <c r="AU123" i="41" s="1"/>
  <c r="AA123" i="41"/>
  <c r="AG123" i="41" s="1"/>
  <c r="AR123" i="41" s="1"/>
  <c r="AC123" i="41"/>
  <c r="AV123" i="41" s="1"/>
  <c r="AZ123" i="41"/>
  <c r="AQ123" i="41"/>
  <c r="AX123" i="41" s="1"/>
  <c r="AQ137" i="41"/>
  <c r="AX137" i="41" s="1"/>
  <c r="AZ137" i="41"/>
  <c r="AF147" i="41"/>
  <c r="AF146" i="41" s="1"/>
  <c r="AW12" i="41"/>
  <c r="AT16" i="41"/>
  <c r="AF153" i="41"/>
  <c r="AW15" i="41"/>
  <c r="AW153" i="41" s="1"/>
  <c r="AY22" i="41"/>
  <c r="AY27" i="41" s="1"/>
  <c r="AQ22" i="41"/>
  <c r="AY24" i="41"/>
  <c r="AQ24" i="41"/>
  <c r="AX24" i="41" s="1"/>
  <c r="R27" i="41"/>
  <c r="V27" i="41"/>
  <c r="AO27" i="41"/>
  <c r="AW155" i="41"/>
  <c r="AW29" i="41"/>
  <c r="AQ38" i="41"/>
  <c r="AX33" i="41"/>
  <c r="AC36" i="41"/>
  <c r="AV36" i="41" s="1"/>
  <c r="AS36" i="41"/>
  <c r="AB36" i="41"/>
  <c r="AU36" i="41" s="1"/>
  <c r="AG46" i="41"/>
  <c r="AG47" i="41"/>
  <c r="AR47" i="41" s="1"/>
  <c r="AC61" i="41"/>
  <c r="V63" i="41"/>
  <c r="AS61" i="41"/>
  <c r="AS63" i="41" s="1"/>
  <c r="AB61" i="41"/>
  <c r="AF63" i="41"/>
  <c r="AC74" i="41"/>
  <c r="AV68" i="41"/>
  <c r="AV74" i="41" s="1"/>
  <c r="AC12" i="41"/>
  <c r="AC13" i="41"/>
  <c r="AV13" i="41" s="1"/>
  <c r="AC14" i="41"/>
  <c r="AV14" i="41" s="1"/>
  <c r="AC15" i="41"/>
  <c r="AF148" i="41"/>
  <c r="AW17" i="41"/>
  <c r="AQ21" i="41"/>
  <c r="AX17" i="41"/>
  <c r="AY21" i="41"/>
  <c r="AA18" i="41"/>
  <c r="Z154" i="41"/>
  <c r="AT19" i="41"/>
  <c r="AT154" i="41" s="1"/>
  <c r="AC20" i="41"/>
  <c r="AV20" i="41" s="1"/>
  <c r="AS20" i="41"/>
  <c r="AB20" i="41"/>
  <c r="AU20" i="41" s="1"/>
  <c r="AG22" i="41"/>
  <c r="AZ27" i="41"/>
  <c r="AB23" i="41"/>
  <c r="AU23" i="41" s="1"/>
  <c r="AB25" i="41"/>
  <c r="AU25" i="41" s="1"/>
  <c r="V155" i="41"/>
  <c r="AA28" i="41"/>
  <c r="AT155" i="41"/>
  <c r="AT29" i="41"/>
  <c r="AT30" i="41"/>
  <c r="AT32" i="41" s="1"/>
  <c r="AC35" i="41"/>
  <c r="AV35" i="41" s="1"/>
  <c r="AS35" i="41"/>
  <c r="AB35" i="41"/>
  <c r="AU35" i="41" s="1"/>
  <c r="AA37" i="41"/>
  <c r="AZ45" i="41"/>
  <c r="AB40" i="41"/>
  <c r="AU40" i="41" s="1"/>
  <c r="AA41" i="41"/>
  <c r="AG41" i="41" s="1"/>
  <c r="AR41" i="41" s="1"/>
  <c r="AY41" i="41"/>
  <c r="AQ41" i="41"/>
  <c r="AX41" i="41" s="1"/>
  <c r="AB44" i="41"/>
  <c r="AU44" i="41" s="1"/>
  <c r="AC46" i="41"/>
  <c r="AS46" i="41"/>
  <c r="AC47" i="41"/>
  <c r="AV47" i="41" s="1"/>
  <c r="AS47" i="41"/>
  <c r="AC48" i="41"/>
  <c r="AV48" i="41" s="1"/>
  <c r="AS48" i="41"/>
  <c r="AC49" i="41"/>
  <c r="AV49" i="41" s="1"/>
  <c r="AS49" i="41"/>
  <c r="AC50" i="41"/>
  <c r="AV50" i="41" s="1"/>
  <c r="AS50" i="41"/>
  <c r="AC51" i="41"/>
  <c r="AV51" i="41" s="1"/>
  <c r="AS51" i="41"/>
  <c r="V52" i="41"/>
  <c r="AC53" i="41"/>
  <c r="AC54" i="41"/>
  <c r="AV54" i="41" s="1"/>
  <c r="AC55" i="41"/>
  <c r="AV55" i="41" s="1"/>
  <c r="AC56" i="41"/>
  <c r="AV56" i="41" s="1"/>
  <c r="AC57" i="41"/>
  <c r="AV57" i="41" s="1"/>
  <c r="AC58" i="41"/>
  <c r="AV58" i="41" s="1"/>
  <c r="AC59" i="41"/>
  <c r="AV59" i="41" s="1"/>
  <c r="AW63" i="41"/>
  <c r="AQ63" i="41"/>
  <c r="AX61" i="41"/>
  <c r="AX63" i="41" s="1"/>
  <c r="AA62" i="41"/>
  <c r="AG62" i="41" s="1"/>
  <c r="AR62" i="41" s="1"/>
  <c r="AY67" i="41"/>
  <c r="AC65" i="41"/>
  <c r="AV65" i="41" s="1"/>
  <c r="AA66" i="41"/>
  <c r="AB66" i="41"/>
  <c r="AU66" i="41" s="1"/>
  <c r="AP67" i="41"/>
  <c r="AP74" i="41"/>
  <c r="AQ68" i="41"/>
  <c r="AZ68" i="41"/>
  <c r="AZ81" i="41"/>
  <c r="AC77" i="41"/>
  <c r="AV77" i="41" s="1"/>
  <c r="AS77" i="41"/>
  <c r="AB77" i="41"/>
  <c r="AU77" i="41" s="1"/>
  <c r="AA77" i="41"/>
  <c r="AG77" i="41" s="1"/>
  <c r="AR77" i="41" s="1"/>
  <c r="AG82" i="41"/>
  <c r="V83" i="41"/>
  <c r="R85" i="41"/>
  <c r="S143" i="41"/>
  <c r="Z111" i="41"/>
  <c r="AA105" i="41"/>
  <c r="Z118" i="41"/>
  <c r="AT112" i="41"/>
  <c r="AT118" i="41" s="1"/>
  <c r="AS132" i="41"/>
  <c r="AA132" i="41"/>
  <c r="AG132" i="41" s="1"/>
  <c r="AR132" i="41" s="1"/>
  <c r="AC132" i="41"/>
  <c r="AV132" i="41" s="1"/>
  <c r="AB132" i="41"/>
  <c r="AU132" i="41" s="1"/>
  <c r="AQ139" i="41"/>
  <c r="AX139" i="41" s="1"/>
  <c r="AZ139" i="41"/>
  <c r="AZ142" i="41" s="1"/>
  <c r="AY84" i="41"/>
  <c r="AQ84" i="41"/>
  <c r="AX84" i="41" s="1"/>
  <c r="AO89" i="41"/>
  <c r="AY86" i="41"/>
  <c r="AQ86" i="41"/>
  <c r="AY87" i="41"/>
  <c r="AQ87" i="41"/>
  <c r="AX87" i="41" s="1"/>
  <c r="AY88" i="41"/>
  <c r="AQ88" i="41"/>
  <c r="AX88" i="41" s="1"/>
  <c r="V95" i="41"/>
  <c r="AS90" i="41"/>
  <c r="AB90" i="41"/>
  <c r="AA90" i="41"/>
  <c r="AA102" i="41"/>
  <c r="AS102" i="41"/>
  <c r="AC102" i="41"/>
  <c r="AO104" i="41"/>
  <c r="AQ102" i="41"/>
  <c r="AP104" i="41"/>
  <c r="AY107" i="41"/>
  <c r="AY148" i="41" s="1"/>
  <c r="AQ107" i="41"/>
  <c r="R111" i="41"/>
  <c r="AV112" i="41"/>
  <c r="AV118" i="41" s="1"/>
  <c r="AQ113" i="41"/>
  <c r="AX113" i="41" s="1"/>
  <c r="AY113" i="41"/>
  <c r="AN143" i="41"/>
  <c r="AY133" i="41"/>
  <c r="AQ133" i="41"/>
  <c r="AX133" i="41" s="1"/>
  <c r="AA141" i="41"/>
  <c r="AT141" i="41"/>
  <c r="AT142" i="41" s="1"/>
  <c r="R148" i="41"/>
  <c r="AO148" i="41"/>
  <c r="R154" i="41"/>
  <c r="AO154" i="41"/>
  <c r="R21" i="41"/>
  <c r="Z155" i="41"/>
  <c r="AF155" i="41"/>
  <c r="AF29" i="41"/>
  <c r="AB33" i="41"/>
  <c r="AS33" i="41"/>
  <c r="R38" i="41"/>
  <c r="R63" i="41"/>
  <c r="AW67" i="41"/>
  <c r="V74" i="41"/>
  <c r="AS68" i="41"/>
  <c r="AB68" i="41"/>
  <c r="AG68" i="41" s="1"/>
  <c r="AW74" i="41"/>
  <c r="AZ69" i="41"/>
  <c r="AZ150" i="41" s="1"/>
  <c r="AS72" i="41"/>
  <c r="AB72" i="41"/>
  <c r="AU72" i="41" s="1"/>
  <c r="AQ81" i="41"/>
  <c r="AX75" i="41"/>
  <c r="AX81" i="41" s="1"/>
  <c r="AY81" i="41"/>
  <c r="AC78" i="41"/>
  <c r="AV78" i="41" s="1"/>
  <c r="AS78" i="41"/>
  <c r="AB78" i="41"/>
  <c r="AU78" i="41" s="1"/>
  <c r="AU82" i="41"/>
  <c r="AP89" i="41"/>
  <c r="Z95" i="41"/>
  <c r="AT90" i="41"/>
  <c r="AT92" i="41"/>
  <c r="AT153" i="41" s="1"/>
  <c r="AS93" i="41"/>
  <c r="AB93" i="41"/>
  <c r="AU93" i="41" s="1"/>
  <c r="AC93" i="41"/>
  <c r="AV93" i="41" s="1"/>
  <c r="AA93" i="41"/>
  <c r="AG93" i="41" s="1"/>
  <c r="AR93" i="41" s="1"/>
  <c r="AS94" i="41"/>
  <c r="AB94" i="41"/>
  <c r="AU94" i="41" s="1"/>
  <c r="AA94" i="41"/>
  <c r="AG94" i="41" s="1"/>
  <c r="AR94" i="41" s="1"/>
  <c r="AO156" i="41"/>
  <c r="AQ96" i="41"/>
  <c r="AY96" i="41"/>
  <c r="AO97" i="41"/>
  <c r="AB101" i="41"/>
  <c r="AU98" i="41"/>
  <c r="AB100" i="41"/>
  <c r="AU100" i="41" s="1"/>
  <c r="AS100" i="41"/>
  <c r="AA100" i="41"/>
  <c r="AG100" i="41" s="1"/>
  <c r="AR100" i="41" s="1"/>
  <c r="AY102" i="41"/>
  <c r="AY104" i="41" s="1"/>
  <c r="AQ103" i="41"/>
  <c r="AX103" i="41" s="1"/>
  <c r="AV111" i="41"/>
  <c r="AY111" i="41"/>
  <c r="AW118" i="41"/>
  <c r="AA113" i="41"/>
  <c r="AC113" i="41"/>
  <c r="AV113" i="41" s="1"/>
  <c r="AS113" i="41"/>
  <c r="AB113" i="41"/>
  <c r="AU113" i="41" s="1"/>
  <c r="AY114" i="41"/>
  <c r="AQ114" i="41"/>
  <c r="AX114" i="41" s="1"/>
  <c r="AY116" i="41"/>
  <c r="AY118" i="41" s="1"/>
  <c r="AP126" i="41"/>
  <c r="AS122" i="41"/>
  <c r="AB122" i="41"/>
  <c r="AU122" i="41" s="1"/>
  <c r="AC122" i="41"/>
  <c r="AV122" i="41" s="1"/>
  <c r="AA122" i="41"/>
  <c r="AF130" i="41"/>
  <c r="AC128" i="41"/>
  <c r="AV128" i="41" s="1"/>
  <c r="AB128" i="41"/>
  <c r="AU128" i="41" s="1"/>
  <c r="AS128" i="41"/>
  <c r="AA128" i="41"/>
  <c r="AC134" i="41"/>
  <c r="AV134" i="41" s="1"/>
  <c r="AB134" i="41"/>
  <c r="AU134" i="41" s="1"/>
  <c r="AA134" i="41"/>
  <c r="U143" i="41"/>
  <c r="AK143" i="41"/>
  <c r="AY98" i="41"/>
  <c r="AQ98" i="41"/>
  <c r="V104" i="41"/>
  <c r="AS110" i="41"/>
  <c r="AC110" i="41"/>
  <c r="AV110" i="41" s="1"/>
  <c r="AQ118" i="41"/>
  <c r="AJ143" i="41"/>
  <c r="X143" i="41"/>
  <c r="V142" i="41"/>
  <c r="AS136" i="41"/>
  <c r="AB136" i="41"/>
  <c r="AC136" i="41"/>
  <c r="AA136" i="41"/>
  <c r="R147" i="41"/>
  <c r="AO147" i="41"/>
  <c r="R153" i="41"/>
  <c r="AO153" i="41"/>
  <c r="R16" i="41"/>
  <c r="V17" i="41"/>
  <c r="AP148" i="41"/>
  <c r="V19" i="41"/>
  <c r="AP154" i="41"/>
  <c r="V150" i="41"/>
  <c r="AC33" i="41"/>
  <c r="AP150" i="41"/>
  <c r="V64" i="41"/>
  <c r="V147" i="41" s="1"/>
  <c r="Z74" i="41"/>
  <c r="AS69" i="41"/>
  <c r="AB69" i="41"/>
  <c r="AU69" i="41" s="1"/>
  <c r="AS73" i="41"/>
  <c r="AB73" i="41"/>
  <c r="AU73" i="41" s="1"/>
  <c r="AA73" i="41"/>
  <c r="AG73" i="41" s="1"/>
  <c r="AR73" i="41" s="1"/>
  <c r="AC75" i="41"/>
  <c r="V81" i="41"/>
  <c r="AS75" i="41"/>
  <c r="AB75" i="41"/>
  <c r="AC79" i="41"/>
  <c r="AV79" i="41" s="1"/>
  <c r="AS79" i="41"/>
  <c r="AB79" i="41"/>
  <c r="AU79" i="41" s="1"/>
  <c r="AF81" i="41"/>
  <c r="AY83" i="41"/>
  <c r="AQ83" i="41"/>
  <c r="AX83" i="41" s="1"/>
  <c r="AC90" i="41"/>
  <c r="AQ95" i="41"/>
  <c r="AX90" i="41"/>
  <c r="AX95" i="41" s="1"/>
  <c r="AZ91" i="41"/>
  <c r="AC101" i="41"/>
  <c r="AV98" i="41"/>
  <c r="AV101" i="41" s="1"/>
  <c r="AS98" i="41"/>
  <c r="AB102" i="41"/>
  <c r="AA103" i="41"/>
  <c r="AG103" i="41" s="1"/>
  <c r="AR103" i="41" s="1"/>
  <c r="AS103" i="41"/>
  <c r="AA110" i="41"/>
  <c r="AG110" i="41" s="1"/>
  <c r="AR110" i="41" s="1"/>
  <c r="AY110" i="41"/>
  <c r="AQ110" i="41"/>
  <c r="AX110" i="41" s="1"/>
  <c r="AP111" i="41"/>
  <c r="AA112" i="41"/>
  <c r="AB112" i="41"/>
  <c r="V118" i="41"/>
  <c r="AS112" i="41"/>
  <c r="AS118" i="41" s="1"/>
  <c r="AX112" i="41"/>
  <c r="AA115" i="41"/>
  <c r="AC115" i="41"/>
  <c r="AV115" i="41" s="1"/>
  <c r="AB115" i="41"/>
  <c r="AU115" i="41" s="1"/>
  <c r="AV119" i="41"/>
  <c r="AQ119" i="41"/>
  <c r="AY126" i="41"/>
  <c r="T143" i="41"/>
  <c r="Y143" i="41"/>
  <c r="AI143" i="41"/>
  <c r="V135" i="41"/>
  <c r="AB131" i="41"/>
  <c r="AS131" i="41"/>
  <c r="AA131" i="41"/>
  <c r="AC131" i="41"/>
  <c r="AY132" i="41"/>
  <c r="AQ132" i="41"/>
  <c r="AX132" i="41" s="1"/>
  <c r="AG140" i="41"/>
  <c r="AR140" i="41" s="1"/>
  <c r="AZ140" i="41"/>
  <c r="AQ140" i="41"/>
  <c r="AX140" i="41" s="1"/>
  <c r="W143" i="41"/>
  <c r="AH143" i="41"/>
  <c r="AL143" i="41"/>
  <c r="R81" i="41"/>
  <c r="AS91" i="41"/>
  <c r="AB91" i="41"/>
  <c r="AU91" i="41" s="1"/>
  <c r="AZ92" i="41"/>
  <c r="R156" i="41"/>
  <c r="V96" i="41"/>
  <c r="R97" i="41"/>
  <c r="R143" i="41" s="1"/>
  <c r="AY99" i="41"/>
  <c r="AQ99" i="41"/>
  <c r="AX99" i="41" s="1"/>
  <c r="AW104" i="41"/>
  <c r="AZ105" i="41"/>
  <c r="AZ111" i="41" s="1"/>
  <c r="AY109" i="41"/>
  <c r="AQ109" i="41"/>
  <c r="AX109" i="41" s="1"/>
  <c r="AC111" i="41"/>
  <c r="AF118" i="41"/>
  <c r="AF143" i="41" s="1"/>
  <c r="AA117" i="41"/>
  <c r="AC117" i="41"/>
  <c r="AV117" i="41" s="1"/>
  <c r="AW119" i="41"/>
  <c r="AW126" i="41" s="1"/>
  <c r="AF126" i="41"/>
  <c r="AZ124" i="41"/>
  <c r="AZ154" i="41" s="1"/>
  <c r="AT130" i="41"/>
  <c r="AW127" i="41"/>
  <c r="AW130" i="41" s="1"/>
  <c r="Z130" i="41"/>
  <c r="AZ135" i="41"/>
  <c r="AB133" i="41"/>
  <c r="AM143" i="41"/>
  <c r="AS92" i="41"/>
  <c r="AB92" i="41"/>
  <c r="AU92" i="41" s="1"/>
  <c r="Z156" i="41"/>
  <c r="AT96" i="41"/>
  <c r="AW96" i="41"/>
  <c r="AF97" i="41"/>
  <c r="AY100" i="41"/>
  <c r="AQ100" i="41"/>
  <c r="AX100" i="41" s="1"/>
  <c r="AS105" i="41"/>
  <c r="AB105" i="41"/>
  <c r="AF111" i="41"/>
  <c r="AW105" i="41"/>
  <c r="AW111" i="41" s="1"/>
  <c r="AS108" i="41"/>
  <c r="AO118" i="41"/>
  <c r="AA114" i="41"/>
  <c r="AG114" i="41" s="1"/>
  <c r="AR114" i="41" s="1"/>
  <c r="AS114" i="41"/>
  <c r="AQ115" i="41"/>
  <c r="AX115" i="41" s="1"/>
  <c r="V126" i="41"/>
  <c r="AS119" i="41"/>
  <c r="AB119" i="41"/>
  <c r="AA119" i="41"/>
  <c r="AQ130" i="41"/>
  <c r="AX127" i="41"/>
  <c r="AX130" i="41" s="1"/>
  <c r="AC129" i="41"/>
  <c r="AV129" i="41" s="1"/>
  <c r="AB129" i="41"/>
  <c r="AU129" i="41" s="1"/>
  <c r="AS129" i="41"/>
  <c r="AA129" i="41"/>
  <c r="AG129" i="41" s="1"/>
  <c r="AR129" i="41" s="1"/>
  <c r="AS133" i="41"/>
  <c r="AP135" i="41"/>
  <c r="AY142" i="41"/>
  <c r="AE143" i="41"/>
  <c r="Z126" i="41"/>
  <c r="AS120" i="41"/>
  <c r="AB120" i="41"/>
  <c r="AU120" i="41" s="1"/>
  <c r="AZ121" i="41"/>
  <c r="AZ126" i="41" s="1"/>
  <c r="AS124" i="41"/>
  <c r="AB124" i="41"/>
  <c r="AU124" i="41" s="1"/>
  <c r="AZ125" i="41"/>
  <c r="AY127" i="41"/>
  <c r="AY130" i="41" s="1"/>
  <c r="AP142" i="41"/>
  <c r="AS140" i="41"/>
  <c r="AB140" i="41"/>
  <c r="AU140" i="41" s="1"/>
  <c r="AD143" i="41"/>
  <c r="AF144" i="41" s="1"/>
  <c r="Z145" i="41"/>
  <c r="AY108" i="41"/>
  <c r="AQ108" i="41"/>
  <c r="AX108" i="41" s="1"/>
  <c r="AP118" i="41"/>
  <c r="AT119" i="41"/>
  <c r="AT126" i="41" s="1"/>
  <c r="AS121" i="41"/>
  <c r="AB121" i="41"/>
  <c r="AU121" i="41" s="1"/>
  <c r="AS125" i="41"/>
  <c r="AB125" i="41"/>
  <c r="AU125" i="41" s="1"/>
  <c r="R135" i="41"/>
  <c r="AO135" i="41"/>
  <c r="AY131" i="41"/>
  <c r="AY135" i="41" s="1"/>
  <c r="AQ131" i="41"/>
  <c r="AT135" i="41"/>
  <c r="AQ136" i="41"/>
  <c r="AS139" i="41"/>
  <c r="AB139" i="41"/>
  <c r="AU139" i="41" s="1"/>
  <c r="AA139" i="41"/>
  <c r="AG139" i="41" s="1"/>
  <c r="AR139" i="41" s="1"/>
  <c r="Z142" i="41"/>
  <c r="Z143" i="41" s="1"/>
  <c r="AS137" i="41"/>
  <c r="AB137" i="41"/>
  <c r="AU137" i="41" s="1"/>
  <c r="AS141" i="41"/>
  <c r="AB141" i="41"/>
  <c r="AU141" i="41" s="1"/>
  <c r="O144" i="41"/>
  <c r="AA27" i="40"/>
  <c r="AC27" i="40"/>
  <c r="AV27" i="40" s="1"/>
  <c r="AS27" i="40"/>
  <c r="AB27" i="40"/>
  <c r="AU27" i="40" s="1"/>
  <c r="AC44" i="40"/>
  <c r="AU45" i="40"/>
  <c r="AG77" i="40"/>
  <c r="AR77" i="40" s="1"/>
  <c r="AC23" i="40"/>
  <c r="AV20" i="40"/>
  <c r="AV23" i="40" s="1"/>
  <c r="AT15" i="40"/>
  <c r="AU30" i="40"/>
  <c r="AV33" i="40"/>
  <c r="AA13" i="40"/>
  <c r="AS13" i="40"/>
  <c r="AB13" i="40"/>
  <c r="AU13" i="40" s="1"/>
  <c r="AC13" i="40"/>
  <c r="AV13" i="40" s="1"/>
  <c r="R15" i="40"/>
  <c r="AC16" i="40"/>
  <c r="AC17" i="40"/>
  <c r="AV17" i="40" s="1"/>
  <c r="AC18" i="40"/>
  <c r="AV18" i="40" s="1"/>
  <c r="AO171" i="40"/>
  <c r="AO38" i="40"/>
  <c r="AS41" i="40"/>
  <c r="AB41" i="40"/>
  <c r="AU41" i="40" s="1"/>
  <c r="AY95" i="40"/>
  <c r="AQ95" i="40"/>
  <c r="AX95" i="40" s="1"/>
  <c r="AS117" i="40"/>
  <c r="AB117" i="40"/>
  <c r="AU117" i="40" s="1"/>
  <c r="AA117" i="40"/>
  <c r="AG117" i="40" s="1"/>
  <c r="AR117" i="40" s="1"/>
  <c r="AC117" i="40"/>
  <c r="AV117" i="40" s="1"/>
  <c r="V12" i="40"/>
  <c r="AP169" i="40"/>
  <c r="V14" i="40"/>
  <c r="AP175" i="40"/>
  <c r="AQ16" i="40"/>
  <c r="AY16" i="40"/>
  <c r="AY19" i="40" s="1"/>
  <c r="AQ17" i="40"/>
  <c r="AX17" i="40" s="1"/>
  <c r="AQ18" i="40"/>
  <c r="AX18" i="40" s="1"/>
  <c r="AA20" i="40"/>
  <c r="AZ20" i="40"/>
  <c r="AZ23" i="40" s="1"/>
  <c r="AA21" i="40"/>
  <c r="AA22" i="40"/>
  <c r="AB24" i="40"/>
  <c r="AS24" i="40"/>
  <c r="AW24" i="40"/>
  <c r="R25" i="40"/>
  <c r="V25" i="40"/>
  <c r="Z25" i="40"/>
  <c r="AP25" i="40"/>
  <c r="V26" i="40"/>
  <c r="AP170" i="40"/>
  <c r="AT26" i="40"/>
  <c r="V28" i="40"/>
  <c r="AB29" i="40"/>
  <c r="AU29" i="40" s="1"/>
  <c r="AY29" i="40"/>
  <c r="AQ29" i="40"/>
  <c r="AX29" i="40" s="1"/>
  <c r="AA30" i="40"/>
  <c r="AS30" i="40"/>
  <c r="AO32" i="40"/>
  <c r="AB33" i="40"/>
  <c r="AW33" i="40"/>
  <c r="AB34" i="40"/>
  <c r="AU34" i="40" s="1"/>
  <c r="AQ34" i="40"/>
  <c r="AX34" i="40" s="1"/>
  <c r="AA36" i="40"/>
  <c r="AG36" i="40" s="1"/>
  <c r="AR36" i="40" s="1"/>
  <c r="AC36" i="40"/>
  <c r="AV36" i="40" s="1"/>
  <c r="AP44" i="40"/>
  <c r="AQ39" i="40"/>
  <c r="AS40" i="40"/>
  <c r="AB40" i="40"/>
  <c r="AU40" i="40" s="1"/>
  <c r="AZ41" i="40"/>
  <c r="AA42" i="40"/>
  <c r="AG42" i="40" s="1"/>
  <c r="AR42" i="40" s="1"/>
  <c r="AT45" i="40"/>
  <c r="AT51" i="40" s="1"/>
  <c r="Z51" i="40"/>
  <c r="AW45" i="40"/>
  <c r="AW51" i="40" s="1"/>
  <c r="AA53" i="40"/>
  <c r="AB54" i="40"/>
  <c r="AB56" i="40"/>
  <c r="AU56" i="40" s="1"/>
  <c r="AB57" i="40"/>
  <c r="AU57" i="40" s="1"/>
  <c r="AB58" i="40"/>
  <c r="AU58" i="40" s="1"/>
  <c r="AB59" i="40"/>
  <c r="AU59" i="40" s="1"/>
  <c r="V67" i="40"/>
  <c r="AS61" i="40"/>
  <c r="AB61" i="40"/>
  <c r="AA61" i="40"/>
  <c r="AS63" i="40"/>
  <c r="AB63" i="40"/>
  <c r="AU63" i="40" s="1"/>
  <c r="AA63" i="40"/>
  <c r="AS65" i="40"/>
  <c r="AB65" i="40"/>
  <c r="AU65" i="40" s="1"/>
  <c r="AA65" i="40"/>
  <c r="AG65" i="40" s="1"/>
  <c r="AR65" i="40" s="1"/>
  <c r="AC68" i="40"/>
  <c r="V74" i="40"/>
  <c r="AS68" i="40"/>
  <c r="AB68" i="40"/>
  <c r="AA68" i="40"/>
  <c r="AC69" i="40"/>
  <c r="AV69" i="40" s="1"/>
  <c r="AS69" i="40"/>
  <c r="AB69" i="40"/>
  <c r="AU69" i="40" s="1"/>
  <c r="AA69" i="40"/>
  <c r="AC70" i="40"/>
  <c r="AV70" i="40" s="1"/>
  <c r="AS70" i="40"/>
  <c r="AB70" i="40"/>
  <c r="AU70" i="40" s="1"/>
  <c r="AA70" i="40"/>
  <c r="AC71" i="40"/>
  <c r="AV71" i="40" s="1"/>
  <c r="AS71" i="40"/>
  <c r="AB71" i="40"/>
  <c r="AU71" i="40" s="1"/>
  <c r="AA71" i="40"/>
  <c r="AC72" i="40"/>
  <c r="AV72" i="40" s="1"/>
  <c r="AS72" i="40"/>
  <c r="AB72" i="40"/>
  <c r="AU72" i="40" s="1"/>
  <c r="AA72" i="40"/>
  <c r="AC73" i="40"/>
  <c r="AV73" i="40" s="1"/>
  <c r="AS73" i="40"/>
  <c r="AB73" i="40"/>
  <c r="AU73" i="40" s="1"/>
  <c r="AA73" i="40"/>
  <c r="AA81" i="40"/>
  <c r="AQ81" i="40"/>
  <c r="AX75" i="40"/>
  <c r="AX81" i="40" s="1"/>
  <c r="AA84" i="40"/>
  <c r="AG84" i="40" s="1"/>
  <c r="AR84" i="40" s="1"/>
  <c r="AC84" i="40"/>
  <c r="AV84" i="40" s="1"/>
  <c r="AY84" i="40"/>
  <c r="AQ84" i="40"/>
  <c r="AX84" i="40" s="1"/>
  <c r="AB86" i="40"/>
  <c r="AU86" i="40" s="1"/>
  <c r="AU93" i="40"/>
  <c r="AX93" i="40"/>
  <c r="AA95" i="40"/>
  <c r="AC95" i="40"/>
  <c r="AV95" i="40" s="1"/>
  <c r="AS95" i="40"/>
  <c r="AB95" i="40"/>
  <c r="AU95" i="40" s="1"/>
  <c r="V102" i="40"/>
  <c r="AS99" i="40"/>
  <c r="AB99" i="40"/>
  <c r="AC99" i="40"/>
  <c r="AA99" i="40"/>
  <c r="AZ102" i="40"/>
  <c r="AC122" i="40"/>
  <c r="AV122" i="40" s="1"/>
  <c r="AS122" i="40"/>
  <c r="AB122" i="40"/>
  <c r="AU122" i="40" s="1"/>
  <c r="AA122" i="40"/>
  <c r="AS127" i="40"/>
  <c r="AW175" i="40"/>
  <c r="AP33" i="47" s="1"/>
  <c r="AF23" i="40"/>
  <c r="AC31" i="40"/>
  <c r="AV31" i="40" s="1"/>
  <c r="R32" i="40"/>
  <c r="AA37" i="40"/>
  <c r="AC37" i="40"/>
  <c r="AV37" i="40" s="1"/>
  <c r="AC47" i="40"/>
  <c r="AV47" i="40" s="1"/>
  <c r="AA47" i="40"/>
  <c r="AC49" i="40"/>
  <c r="AV49" i="40" s="1"/>
  <c r="AA49" i="40"/>
  <c r="R51" i="40"/>
  <c r="AV81" i="40"/>
  <c r="AA83" i="40"/>
  <c r="AC83" i="40"/>
  <c r="AV83" i="40" s="1"/>
  <c r="AA87" i="40"/>
  <c r="AC87" i="40"/>
  <c r="AV87" i="40" s="1"/>
  <c r="V130" i="40"/>
  <c r="AS128" i="40"/>
  <c r="AB128" i="40"/>
  <c r="AC128" i="40"/>
  <c r="AA128" i="40"/>
  <c r="Z169" i="40"/>
  <c r="AF169" i="40"/>
  <c r="Y27" i="47" s="1"/>
  <c r="AQ12" i="40"/>
  <c r="AY12" i="40"/>
  <c r="AQ13" i="40"/>
  <c r="AX13" i="40" s="1"/>
  <c r="Z175" i="40"/>
  <c r="AF175" i="40"/>
  <c r="Y33" i="47" s="1"/>
  <c r="AQ14" i="40"/>
  <c r="AY14" i="40"/>
  <c r="AF15" i="40"/>
  <c r="AA16" i="40"/>
  <c r="AZ16" i="40"/>
  <c r="AZ19" i="40" s="1"/>
  <c r="AA17" i="40"/>
  <c r="AA18" i="40"/>
  <c r="AB20" i="40"/>
  <c r="AS20" i="40"/>
  <c r="AB21" i="40"/>
  <c r="AU21" i="40" s="1"/>
  <c r="AS21" i="40"/>
  <c r="AB22" i="40"/>
  <c r="AU22" i="40" s="1"/>
  <c r="AS22" i="40"/>
  <c r="V23" i="40"/>
  <c r="Z23" i="40"/>
  <c r="AC24" i="40"/>
  <c r="AT24" i="40"/>
  <c r="AX24" i="40"/>
  <c r="AA25" i="40"/>
  <c r="AF170" i="40"/>
  <c r="Y28" i="47" s="1"/>
  <c r="AF32" i="40"/>
  <c r="AQ26" i="40"/>
  <c r="AY26" i="40"/>
  <c r="AQ27" i="40"/>
  <c r="AX27" i="40" s="1"/>
  <c r="R176" i="40"/>
  <c r="AO176" i="40"/>
  <c r="AY30" i="40"/>
  <c r="AQ30" i="40"/>
  <c r="AT176" i="40"/>
  <c r="AA31" i="40"/>
  <c r="AG31" i="40" s="1"/>
  <c r="AR31" i="40" s="1"/>
  <c r="AS31" i="40"/>
  <c r="AP32" i="40"/>
  <c r="R171" i="40"/>
  <c r="R168" i="40" s="1"/>
  <c r="V167" i="40" s="1"/>
  <c r="AQ33" i="40"/>
  <c r="AY33" i="40"/>
  <c r="AA35" i="40"/>
  <c r="AC35" i="40"/>
  <c r="AV35" i="40" s="1"/>
  <c r="AB37" i="40"/>
  <c r="AU37" i="40" s="1"/>
  <c r="AQ37" i="40"/>
  <c r="AX37" i="40" s="1"/>
  <c r="V44" i="40"/>
  <c r="AS39" i="40"/>
  <c r="AB39" i="40"/>
  <c r="AZ40" i="40"/>
  <c r="AA41" i="40"/>
  <c r="AS43" i="40"/>
  <c r="AB43" i="40"/>
  <c r="AU43" i="40" s="1"/>
  <c r="AQ45" i="40"/>
  <c r="AY45" i="40"/>
  <c r="AY51" i="40" s="1"/>
  <c r="AQ46" i="40"/>
  <c r="AX46" i="40" s="1"/>
  <c r="AB47" i="40"/>
  <c r="AU47" i="40" s="1"/>
  <c r="AQ47" i="40"/>
  <c r="AX47" i="40" s="1"/>
  <c r="AQ48" i="40"/>
  <c r="AX48" i="40" s="1"/>
  <c r="AB49" i="40"/>
  <c r="AU49" i="40" s="1"/>
  <c r="AQ49" i="40"/>
  <c r="AX49" i="40" s="1"/>
  <c r="AQ50" i="40"/>
  <c r="AX50" i="40" s="1"/>
  <c r="AZ177" i="40"/>
  <c r="AZ53" i="40"/>
  <c r="AW172" i="40"/>
  <c r="AP30" i="47" s="1"/>
  <c r="AP67" i="40"/>
  <c r="AZ61" i="40"/>
  <c r="AZ67" i="40" s="1"/>
  <c r="AT68" i="40"/>
  <c r="AT74" i="40" s="1"/>
  <c r="Z74" i="40"/>
  <c r="AQ74" i="40"/>
  <c r="AX68" i="40"/>
  <c r="AX74" i="40" s="1"/>
  <c r="AF74" i="40"/>
  <c r="AZ81" i="40"/>
  <c r="AW88" i="40"/>
  <c r="AB83" i="40"/>
  <c r="AU83" i="40" s="1"/>
  <c r="AS83" i="40"/>
  <c r="AA85" i="40"/>
  <c r="AG85" i="40" s="1"/>
  <c r="AR85" i="40" s="1"/>
  <c r="AC85" i="40"/>
  <c r="AV85" i="40" s="1"/>
  <c r="AY85" i="40"/>
  <c r="AQ85" i="40"/>
  <c r="AX85" i="40" s="1"/>
  <c r="AB87" i="40"/>
  <c r="AU87" i="40" s="1"/>
  <c r="AS87" i="40"/>
  <c r="AC92" i="40"/>
  <c r="AF98" i="40"/>
  <c r="AC105" i="40"/>
  <c r="AV105" i="40" s="1"/>
  <c r="AS105" i="40"/>
  <c r="AB105" i="40"/>
  <c r="AU105" i="40" s="1"/>
  <c r="AA105" i="40"/>
  <c r="AY140" i="40"/>
  <c r="AQ140" i="40"/>
  <c r="AX140" i="40" s="1"/>
  <c r="AG24" i="40"/>
  <c r="AO173" i="40"/>
  <c r="AY28" i="40"/>
  <c r="AY173" i="40" s="1"/>
  <c r="AQ28" i="40"/>
  <c r="AW176" i="40"/>
  <c r="AP34" i="47" s="1"/>
  <c r="Z171" i="40"/>
  <c r="AT33" i="40"/>
  <c r="AC45" i="40"/>
  <c r="V51" i="40"/>
  <c r="AA45" i="40"/>
  <c r="AC46" i="40"/>
  <c r="AV46" i="40" s="1"/>
  <c r="AA46" i="40"/>
  <c r="AC48" i="40"/>
  <c r="AV48" i="40" s="1"/>
  <c r="AA48" i="40"/>
  <c r="AC50" i="40"/>
  <c r="AV50" i="40" s="1"/>
  <c r="AA50" i="40"/>
  <c r="AZ60" i="40"/>
  <c r="AY83" i="40"/>
  <c r="AQ83" i="40"/>
  <c r="AX83" i="40" s="1"/>
  <c r="AQ87" i="40"/>
  <c r="AX87" i="40" s="1"/>
  <c r="AY87" i="40"/>
  <c r="AO15" i="40"/>
  <c r="AW15" i="40"/>
  <c r="AB16" i="40"/>
  <c r="AS16" i="40"/>
  <c r="AS19" i="40" s="1"/>
  <c r="AB17" i="40"/>
  <c r="AU17" i="40" s="1"/>
  <c r="AB18" i="40"/>
  <c r="AU18" i="40" s="1"/>
  <c r="AX20" i="40"/>
  <c r="AX23" i="40" s="1"/>
  <c r="AF25" i="40"/>
  <c r="AZ25" i="40"/>
  <c r="AZ170" i="40"/>
  <c r="AZ32" i="40"/>
  <c r="V176" i="40"/>
  <c r="AC30" i="40"/>
  <c r="AP176" i="40"/>
  <c r="AY31" i="40"/>
  <c r="AQ31" i="40"/>
  <c r="AX31" i="40" s="1"/>
  <c r="AW32" i="40"/>
  <c r="V171" i="40"/>
  <c r="AA33" i="40"/>
  <c r="AS33" i="40"/>
  <c r="AA34" i="40"/>
  <c r="AC34" i="40"/>
  <c r="AV34" i="40" s="1"/>
  <c r="AS37" i="40"/>
  <c r="R38" i="40"/>
  <c r="V38" i="40"/>
  <c r="Z38" i="40"/>
  <c r="AF38" i="40"/>
  <c r="AT44" i="40"/>
  <c r="AZ44" i="40"/>
  <c r="AV40" i="40"/>
  <c r="AV44" i="40" s="1"/>
  <c r="AC41" i="40"/>
  <c r="AV41" i="40" s="1"/>
  <c r="AS42" i="40"/>
  <c r="AB42" i="40"/>
  <c r="AU42" i="40" s="1"/>
  <c r="AS45" i="40"/>
  <c r="AS46" i="40"/>
  <c r="AS47" i="40"/>
  <c r="AS48" i="40"/>
  <c r="AS49" i="40"/>
  <c r="AS50" i="40"/>
  <c r="AA54" i="40"/>
  <c r="AC54" i="40"/>
  <c r="AO60" i="40"/>
  <c r="AY54" i="40"/>
  <c r="AQ54" i="40"/>
  <c r="R172" i="40"/>
  <c r="V55" i="40"/>
  <c r="V60" i="40" s="1"/>
  <c r="AO172" i="40"/>
  <c r="AO168" i="40" s="1"/>
  <c r="AY55" i="40"/>
  <c r="AQ55" i="40"/>
  <c r="AA56" i="40"/>
  <c r="AG56" i="40" s="1"/>
  <c r="AR56" i="40" s="1"/>
  <c r="AC56" i="40"/>
  <c r="AV56" i="40" s="1"/>
  <c r="AY56" i="40"/>
  <c r="AQ56" i="40"/>
  <c r="AX56" i="40" s="1"/>
  <c r="AA57" i="40"/>
  <c r="AC57" i="40"/>
  <c r="AV57" i="40" s="1"/>
  <c r="AY57" i="40"/>
  <c r="AQ57" i="40"/>
  <c r="AX57" i="40" s="1"/>
  <c r="AA58" i="40"/>
  <c r="AG58" i="40" s="1"/>
  <c r="AR58" i="40" s="1"/>
  <c r="AC58" i="40"/>
  <c r="AV58" i="40" s="1"/>
  <c r="AY58" i="40"/>
  <c r="AQ58" i="40"/>
  <c r="AX58" i="40" s="1"/>
  <c r="AA59" i="40"/>
  <c r="AG59" i="40" s="1"/>
  <c r="AR59" i="40" s="1"/>
  <c r="AC59" i="40"/>
  <c r="AV59" i="40" s="1"/>
  <c r="AY59" i="40"/>
  <c r="AQ59" i="40"/>
  <c r="AX59" i="40" s="1"/>
  <c r="R60" i="40"/>
  <c r="AC67" i="40"/>
  <c r="AV61" i="40"/>
  <c r="AV67" i="40" s="1"/>
  <c r="AS62" i="40"/>
  <c r="AB62" i="40"/>
  <c r="AU62" i="40" s="1"/>
  <c r="AA62" i="40"/>
  <c r="AG62" i="40" s="1"/>
  <c r="AR62" i="40" s="1"/>
  <c r="AS64" i="40"/>
  <c r="AB64" i="40"/>
  <c r="AU64" i="40" s="1"/>
  <c r="AA64" i="40"/>
  <c r="AS66" i="40"/>
  <c r="AB66" i="40"/>
  <c r="AU66" i="40" s="1"/>
  <c r="AA66" i="40"/>
  <c r="AG66" i="40" s="1"/>
  <c r="AR66" i="40" s="1"/>
  <c r="R88" i="40"/>
  <c r="V82" i="40"/>
  <c r="AY82" i="40"/>
  <c r="AQ82" i="40"/>
  <c r="AO88" i="40"/>
  <c r="AA86" i="40"/>
  <c r="AG86" i="40" s="1"/>
  <c r="AR86" i="40" s="1"/>
  <c r="AC86" i="40"/>
  <c r="AV86" i="40" s="1"/>
  <c r="AY86" i="40"/>
  <c r="AQ86" i="40"/>
  <c r="AX86" i="40" s="1"/>
  <c r="AS91" i="40"/>
  <c r="AB91" i="40"/>
  <c r="AU91" i="40" s="1"/>
  <c r="AC91" i="40"/>
  <c r="AV91" i="40" s="1"/>
  <c r="AV92" i="40" s="1"/>
  <c r="AA91" i="40"/>
  <c r="AY98" i="40"/>
  <c r="AW108" i="40"/>
  <c r="AF108" i="40"/>
  <c r="AB114" i="40"/>
  <c r="AU111" i="40"/>
  <c r="AU114" i="40" s="1"/>
  <c r="V118" i="40"/>
  <c r="AS115" i="40"/>
  <c r="AB115" i="40"/>
  <c r="AA115" i="40"/>
  <c r="AC115" i="40"/>
  <c r="AA139" i="40"/>
  <c r="AC139" i="40"/>
  <c r="AV139" i="40" s="1"/>
  <c r="AS139" i="40"/>
  <c r="AB139" i="40"/>
  <c r="AU139" i="40" s="1"/>
  <c r="AF44" i="40"/>
  <c r="AB52" i="40"/>
  <c r="AS52" i="40"/>
  <c r="R53" i="40"/>
  <c r="Z53" i="40"/>
  <c r="AP53" i="40"/>
  <c r="AT53" i="40"/>
  <c r="AP172" i="40"/>
  <c r="AT55" i="40"/>
  <c r="AT172" i="40" s="1"/>
  <c r="AQ61" i="40"/>
  <c r="AQ62" i="40"/>
  <c r="AX62" i="40" s="1"/>
  <c r="AQ63" i="40"/>
  <c r="AX63" i="40" s="1"/>
  <c r="AQ64" i="40"/>
  <c r="AX64" i="40" s="1"/>
  <c r="AQ65" i="40"/>
  <c r="AX65" i="40" s="1"/>
  <c r="AQ66" i="40"/>
  <c r="AX66" i="40" s="1"/>
  <c r="AB75" i="40"/>
  <c r="AS75" i="40"/>
  <c r="AW75" i="40"/>
  <c r="AW81" i="40" s="1"/>
  <c r="AB76" i="40"/>
  <c r="AS76" i="40"/>
  <c r="AB77" i="40"/>
  <c r="AU77" i="40" s="1"/>
  <c r="AS77" i="40"/>
  <c r="AB78" i="40"/>
  <c r="AU78" i="40" s="1"/>
  <c r="AS78" i="40"/>
  <c r="AB79" i="40"/>
  <c r="AS79" i="40"/>
  <c r="AB80" i="40"/>
  <c r="AS80" i="40"/>
  <c r="V81" i="40"/>
  <c r="AP81" i="40"/>
  <c r="AT82" i="40"/>
  <c r="AT88" i="40" s="1"/>
  <c r="AP92" i="40"/>
  <c r="AS90" i="40"/>
  <c r="AB90" i="40"/>
  <c r="AS93" i="40"/>
  <c r="AA94" i="40"/>
  <c r="AG94" i="40" s="1"/>
  <c r="AR94" i="40" s="1"/>
  <c r="AC94" i="40"/>
  <c r="AV94" i="40" s="1"/>
  <c r="AQ96" i="40"/>
  <c r="AX96" i="40" s="1"/>
  <c r="R98" i="40"/>
  <c r="Z98" i="40"/>
  <c r="AT102" i="40"/>
  <c r="AY108" i="40"/>
  <c r="AC106" i="40"/>
  <c r="AV106" i="40" s="1"/>
  <c r="AS106" i="40"/>
  <c r="AB106" i="40"/>
  <c r="AU106" i="40" s="1"/>
  <c r="AA106" i="40"/>
  <c r="AG106" i="40" s="1"/>
  <c r="AR106" i="40" s="1"/>
  <c r="AP118" i="40"/>
  <c r="AZ115" i="40"/>
  <c r="AQ115" i="40"/>
  <c r="AZ117" i="40"/>
  <c r="AZ175" i="40" s="1"/>
  <c r="AQ117" i="40"/>
  <c r="AX117" i="40" s="1"/>
  <c r="AC119" i="40"/>
  <c r="V124" i="40"/>
  <c r="AS119" i="40"/>
  <c r="AB119" i="40"/>
  <c r="AA119" i="40"/>
  <c r="AC123" i="40"/>
  <c r="AV123" i="40" s="1"/>
  <c r="AS123" i="40"/>
  <c r="AB123" i="40"/>
  <c r="AU123" i="40" s="1"/>
  <c r="AA123" i="40"/>
  <c r="AW125" i="40"/>
  <c r="AW127" i="40" s="1"/>
  <c r="AF127" i="40"/>
  <c r="AY126" i="40"/>
  <c r="AE165" i="40"/>
  <c r="X20" i="47" s="1"/>
  <c r="AQ137" i="40"/>
  <c r="AX131" i="40"/>
  <c r="AS138" i="40"/>
  <c r="AA138" i="40"/>
  <c r="V144" i="40"/>
  <c r="AC138" i="40"/>
  <c r="AB138" i="40"/>
  <c r="AC140" i="40"/>
  <c r="AV140" i="40" s="1"/>
  <c r="AB140" i="40"/>
  <c r="AU140" i="40" s="1"/>
  <c r="AS140" i="40"/>
  <c r="AA140" i="40"/>
  <c r="V177" i="40"/>
  <c r="AC52" i="40"/>
  <c r="AF172" i="40"/>
  <c r="Y30" i="47" s="1"/>
  <c r="R74" i="40"/>
  <c r="V92" i="40"/>
  <c r="AS89" i="40"/>
  <c r="AS92" i="40" s="1"/>
  <c r="AB89" i="40"/>
  <c r="AA93" i="40"/>
  <c r="AC93" i="40"/>
  <c r="AO98" i="40"/>
  <c r="AA97" i="40"/>
  <c r="AC97" i="40"/>
  <c r="AV97" i="40" s="1"/>
  <c r="AS101" i="40"/>
  <c r="AB101" i="40"/>
  <c r="AU101" i="40" s="1"/>
  <c r="AC103" i="40"/>
  <c r="V108" i="40"/>
  <c r="AS103" i="40"/>
  <c r="AB103" i="40"/>
  <c r="AA103" i="40"/>
  <c r="AC107" i="40"/>
  <c r="AV107" i="40" s="1"/>
  <c r="AS107" i="40"/>
  <c r="AB107" i="40"/>
  <c r="AU107" i="40" s="1"/>
  <c r="AA107" i="40"/>
  <c r="AA111" i="40"/>
  <c r="AC111" i="40"/>
  <c r="AO114" i="40"/>
  <c r="AY111" i="40"/>
  <c r="AQ111" i="40"/>
  <c r="AA112" i="40"/>
  <c r="AC112" i="40"/>
  <c r="AV112" i="40" s="1"/>
  <c r="AY112" i="40"/>
  <c r="AQ112" i="40"/>
  <c r="AX112" i="40" s="1"/>
  <c r="AA113" i="40"/>
  <c r="AC113" i="40"/>
  <c r="AV113" i="40" s="1"/>
  <c r="AY113" i="40"/>
  <c r="AQ113" i="40"/>
  <c r="AX113" i="40" s="1"/>
  <c r="R114" i="40"/>
  <c r="V114" i="40"/>
  <c r="AT118" i="40"/>
  <c r="AS116" i="40"/>
  <c r="AB116" i="40"/>
  <c r="AU116" i="40" s="1"/>
  <c r="AA116" i="40"/>
  <c r="AG116" i="40" s="1"/>
  <c r="AR116" i="40" s="1"/>
  <c r="AT119" i="40"/>
  <c r="AT124" i="40" s="1"/>
  <c r="Z124" i="40"/>
  <c r="AQ124" i="40"/>
  <c r="AX119" i="40"/>
  <c r="AX124" i="40" s="1"/>
  <c r="AC120" i="40"/>
  <c r="AV120" i="40" s="1"/>
  <c r="AS120" i="40"/>
  <c r="AB120" i="40"/>
  <c r="AU120" i="40" s="1"/>
  <c r="AA120" i="40"/>
  <c r="AG120" i="40" s="1"/>
  <c r="AR120" i="40" s="1"/>
  <c r="AA126" i="40"/>
  <c r="AS126" i="40"/>
  <c r="AC126" i="40"/>
  <c r="AV126" i="40" s="1"/>
  <c r="AB126" i="40"/>
  <c r="AU126" i="40" s="1"/>
  <c r="AQ133" i="40"/>
  <c r="AX133" i="40" s="1"/>
  <c r="AY133" i="40"/>
  <c r="AS142" i="40"/>
  <c r="AA142" i="40"/>
  <c r="AC142" i="40"/>
  <c r="AV142" i="40" s="1"/>
  <c r="AB142" i="40"/>
  <c r="AU142" i="40" s="1"/>
  <c r="T165" i="40"/>
  <c r="AQ160" i="40"/>
  <c r="AX155" i="40"/>
  <c r="AX160" i="40" s="1"/>
  <c r="Z176" i="40"/>
  <c r="AF176" i="40"/>
  <c r="Y34" i="47" s="1"/>
  <c r="AZ33" i="40"/>
  <c r="AQ52" i="40"/>
  <c r="AY52" i="40"/>
  <c r="AF53" i="40"/>
  <c r="AZ55" i="40"/>
  <c r="AZ172" i="40" s="1"/>
  <c r="AT92" i="40"/>
  <c r="AZ92" i="40"/>
  <c r="AW98" i="40"/>
  <c r="AA96" i="40"/>
  <c r="AG96" i="40" s="1"/>
  <c r="AR96" i="40" s="1"/>
  <c r="AC96" i="40"/>
  <c r="AV96" i="40" s="1"/>
  <c r="AP102" i="40"/>
  <c r="AQ99" i="40"/>
  <c r="AS100" i="40"/>
  <c r="AB100" i="40"/>
  <c r="AU100" i="40" s="1"/>
  <c r="AT103" i="40"/>
  <c r="AT108" i="40" s="1"/>
  <c r="Z108" i="40"/>
  <c r="AQ108" i="40"/>
  <c r="AX103" i="40"/>
  <c r="AX108" i="40" s="1"/>
  <c r="AC104" i="40"/>
  <c r="AV104" i="40" s="1"/>
  <c r="AS104" i="40"/>
  <c r="AB104" i="40"/>
  <c r="AU104" i="40" s="1"/>
  <c r="AA104" i="40"/>
  <c r="AZ116" i="40"/>
  <c r="AQ116" i="40"/>
  <c r="AX116" i="40" s="1"/>
  <c r="AC121" i="40"/>
  <c r="AV121" i="40" s="1"/>
  <c r="AS121" i="40"/>
  <c r="AB121" i="40"/>
  <c r="AU121" i="40" s="1"/>
  <c r="AA121" i="40"/>
  <c r="AF124" i="40"/>
  <c r="AA125" i="40"/>
  <c r="AC125" i="40"/>
  <c r="AB125" i="40"/>
  <c r="V127" i="40"/>
  <c r="AC133" i="40"/>
  <c r="AV133" i="40" s="1"/>
  <c r="AB133" i="40"/>
  <c r="AU133" i="40" s="1"/>
  <c r="AS133" i="40"/>
  <c r="AA133" i="40"/>
  <c r="AY139" i="40"/>
  <c r="AQ139" i="40"/>
  <c r="AX139" i="40" s="1"/>
  <c r="AW152" i="40"/>
  <c r="AW154" i="40" s="1"/>
  <c r="AF154" i="40"/>
  <c r="AC159" i="40"/>
  <c r="AV159" i="40" s="1"/>
  <c r="AS159" i="40"/>
  <c r="AB159" i="40"/>
  <c r="AU159" i="40" s="1"/>
  <c r="AA159" i="40"/>
  <c r="AG159" i="40" s="1"/>
  <c r="AR159" i="40" s="1"/>
  <c r="AF102" i="40"/>
  <c r="AB109" i="40"/>
  <c r="AS109" i="40"/>
  <c r="AS110" i="40" s="1"/>
  <c r="V110" i="40"/>
  <c r="AF118" i="40"/>
  <c r="AO127" i="40"/>
  <c r="AT125" i="40"/>
  <c r="AT127" i="40" s="1"/>
  <c r="AY125" i="40"/>
  <c r="AY127" i="40" s="1"/>
  <c r="R127" i="40"/>
  <c r="AT130" i="40"/>
  <c r="AZ130" i="40"/>
  <c r="AW131" i="40"/>
  <c r="AW137" i="40" s="1"/>
  <c r="AF137" i="40"/>
  <c r="AC132" i="40"/>
  <c r="AV132" i="40" s="1"/>
  <c r="AB132" i="40"/>
  <c r="AU132" i="40" s="1"/>
  <c r="AC136" i="40"/>
  <c r="AV136" i="40" s="1"/>
  <c r="AB136" i="40"/>
  <c r="AU136" i="40" s="1"/>
  <c r="AP144" i="40"/>
  <c r="AZ138" i="40"/>
  <c r="AZ144" i="40" s="1"/>
  <c r="AA145" i="40"/>
  <c r="V151" i="40"/>
  <c r="AB145" i="40"/>
  <c r="AS145" i="40"/>
  <c r="AQ146" i="40"/>
  <c r="AX146" i="40" s="1"/>
  <c r="AY146" i="40"/>
  <c r="AA147" i="40"/>
  <c r="AG147" i="40" s="1"/>
  <c r="AR147" i="40" s="1"/>
  <c r="AS147" i="40"/>
  <c r="AC147" i="40"/>
  <c r="AV147" i="40" s="1"/>
  <c r="AQ147" i="40"/>
  <c r="AX147" i="40" s="1"/>
  <c r="AY147" i="40"/>
  <c r="AA148" i="40"/>
  <c r="AS148" i="40"/>
  <c r="AC148" i="40"/>
  <c r="AV148" i="40" s="1"/>
  <c r="AA149" i="40"/>
  <c r="AB149" i="40"/>
  <c r="AU149" i="40" s="1"/>
  <c r="AC149" i="40"/>
  <c r="AV149" i="40" s="1"/>
  <c r="AF160" i="40"/>
  <c r="AW155" i="40"/>
  <c r="AW160" i="40" s="1"/>
  <c r="AY160" i="40"/>
  <c r="AJ165" i="40"/>
  <c r="AN165" i="40"/>
  <c r="R108" i="40"/>
  <c r="R124" i="40"/>
  <c r="AP127" i="40"/>
  <c r="V131" i="40"/>
  <c r="R137" i="40"/>
  <c r="AO137" i="40"/>
  <c r="AC135" i="40"/>
  <c r="AV135" i="40" s="1"/>
  <c r="AB135" i="40"/>
  <c r="AU135" i="40" s="1"/>
  <c r="AZ148" i="40"/>
  <c r="AQ148" i="40"/>
  <c r="AX148" i="40" s="1"/>
  <c r="AA150" i="40"/>
  <c r="AS150" i="40"/>
  <c r="AC150" i="40"/>
  <c r="AV150" i="40" s="1"/>
  <c r="AB150" i="40"/>
  <c r="AU150" i="40" s="1"/>
  <c r="V154" i="40"/>
  <c r="AS152" i="40"/>
  <c r="AB152" i="40"/>
  <c r="AA152" i="40"/>
  <c r="AC152" i="40"/>
  <c r="S165" i="40"/>
  <c r="AQ89" i="40"/>
  <c r="AQ90" i="40"/>
  <c r="AX90" i="40" s="1"/>
  <c r="AQ91" i="40"/>
  <c r="AX91" i="40" s="1"/>
  <c r="AQ109" i="40"/>
  <c r="AQ125" i="40"/>
  <c r="AP130" i="40"/>
  <c r="AQ128" i="40"/>
  <c r="AS129" i="40"/>
  <c r="AB129" i="40"/>
  <c r="AY131" i="40"/>
  <c r="AA132" i="40"/>
  <c r="AC134" i="40"/>
  <c r="AV134" i="40" s="1"/>
  <c r="AB134" i="40"/>
  <c r="AU134" i="40" s="1"/>
  <c r="AA136" i="40"/>
  <c r="AQ136" i="40"/>
  <c r="AX136" i="40" s="1"/>
  <c r="AG143" i="40"/>
  <c r="AR143" i="40" s="1"/>
  <c r="AC145" i="40"/>
  <c r="AX145" i="40"/>
  <c r="AB147" i="40"/>
  <c r="AU147" i="40" s="1"/>
  <c r="AB148" i="40"/>
  <c r="AU148" i="40" s="1"/>
  <c r="AS149" i="40"/>
  <c r="AC155" i="40"/>
  <c r="AS155" i="40"/>
  <c r="AB155" i="40"/>
  <c r="AA155" i="40"/>
  <c r="V160" i="40"/>
  <c r="AZ137" i="40"/>
  <c r="Z137" i="40"/>
  <c r="AY138" i="40"/>
  <c r="AQ138" i="40"/>
  <c r="AO144" i="40"/>
  <c r="AS143" i="40"/>
  <c r="Z151" i="40"/>
  <c r="AC158" i="40"/>
  <c r="AV158" i="40" s="1"/>
  <c r="AS158" i="40"/>
  <c r="AB158" i="40"/>
  <c r="AU158" i="40" s="1"/>
  <c r="AA158" i="40"/>
  <c r="Z160" i="40"/>
  <c r="AW162" i="40"/>
  <c r="AW164" i="40" s="1"/>
  <c r="AF164" i="40"/>
  <c r="AF165" i="40" s="1"/>
  <c r="Y20" i="47" s="1"/>
  <c r="AK168" i="40"/>
  <c r="Y168" i="40"/>
  <c r="Z167" i="40" s="1"/>
  <c r="R144" i="40"/>
  <c r="AB141" i="40"/>
  <c r="AU141" i="40" s="1"/>
  <c r="AS141" i="40"/>
  <c r="AA141" i="40"/>
  <c r="AY142" i="40"/>
  <c r="AQ142" i="40"/>
  <c r="AX142" i="40" s="1"/>
  <c r="AY143" i="40"/>
  <c r="AQ143" i="40"/>
  <c r="AX143" i="40" s="1"/>
  <c r="Y165" i="40"/>
  <c r="R151" i="40"/>
  <c r="R165" i="40" s="1"/>
  <c r="AF151" i="40"/>
  <c r="AA146" i="40"/>
  <c r="AC146" i="40"/>
  <c r="AV146" i="40" s="1"/>
  <c r="AB146" i="40"/>
  <c r="AU146" i="40" s="1"/>
  <c r="AY150" i="40"/>
  <c r="AQ150" i="40"/>
  <c r="AX150" i="40" s="1"/>
  <c r="AT154" i="40"/>
  <c r="AS153" i="40"/>
  <c r="AB153" i="40"/>
  <c r="AU153" i="40" s="1"/>
  <c r="AA153" i="40"/>
  <c r="AG153" i="40" s="1"/>
  <c r="AR153" i="40" s="1"/>
  <c r="AC153" i="40"/>
  <c r="AV153" i="40" s="1"/>
  <c r="X165" i="40"/>
  <c r="V164" i="40"/>
  <c r="AS161" i="40"/>
  <c r="AB161" i="40"/>
  <c r="AC161" i="40"/>
  <c r="AA161" i="40"/>
  <c r="AS162" i="40"/>
  <c r="AB162" i="40"/>
  <c r="AU162" i="40" s="1"/>
  <c r="AA162" i="40"/>
  <c r="AG162" i="40" s="1"/>
  <c r="AR162" i="40" s="1"/>
  <c r="AC162" i="40"/>
  <c r="AV162" i="40" s="1"/>
  <c r="AI165" i="40"/>
  <c r="AM165" i="40"/>
  <c r="AO151" i="40"/>
  <c r="AO165" i="40" s="1"/>
  <c r="AT145" i="40"/>
  <c r="AT151" i="40" s="1"/>
  <c r="AY145" i="40"/>
  <c r="AP151" i="40"/>
  <c r="AP154" i="40"/>
  <c r="AZ152" i="40"/>
  <c r="AZ154" i="40" s="1"/>
  <c r="AC156" i="40"/>
  <c r="AV156" i="40" s="1"/>
  <c r="AS156" i="40"/>
  <c r="AB156" i="40"/>
  <c r="AU156" i="40" s="1"/>
  <c r="Z164" i="40"/>
  <c r="AT161" i="40"/>
  <c r="AT164" i="40" s="1"/>
  <c r="U165" i="40"/>
  <c r="AK165" i="40"/>
  <c r="U168" i="40"/>
  <c r="AY141" i="40"/>
  <c r="AQ141" i="40"/>
  <c r="AX141" i="40" s="1"/>
  <c r="AZ151" i="40"/>
  <c r="AQ152" i="40"/>
  <c r="AQ153" i="40"/>
  <c r="AX153" i="40" s="1"/>
  <c r="AC157" i="40"/>
  <c r="AV157" i="40" s="1"/>
  <c r="AS157" i="40"/>
  <c r="AB157" i="40"/>
  <c r="AU157" i="40" s="1"/>
  <c r="AQ162" i="40"/>
  <c r="AX162" i="40" s="1"/>
  <c r="AX164" i="40" s="1"/>
  <c r="AZ163" i="40"/>
  <c r="W165" i="40"/>
  <c r="I168" i="40"/>
  <c r="M168" i="40"/>
  <c r="I167" i="40" s="1"/>
  <c r="Q168" i="40"/>
  <c r="O167" i="40" s="1"/>
  <c r="AS163" i="40"/>
  <c r="AB163" i="40"/>
  <c r="AU163" i="40" s="1"/>
  <c r="AP164" i="40"/>
  <c r="AZ161" i="40"/>
  <c r="AD165" i="40"/>
  <c r="AH165" i="40"/>
  <c r="AL165" i="40"/>
  <c r="AV47" i="39"/>
  <c r="AC15" i="39"/>
  <c r="AV15" i="39" s="1"/>
  <c r="AS15" i="39"/>
  <c r="AB15" i="39"/>
  <c r="AU15" i="39" s="1"/>
  <c r="AA15" i="39"/>
  <c r="AY136" i="39"/>
  <c r="AY13" i="39"/>
  <c r="AC16" i="39"/>
  <c r="AV16" i="39" s="1"/>
  <c r="AS16" i="39"/>
  <c r="AB16" i="39"/>
  <c r="AU16" i="39" s="1"/>
  <c r="AA16" i="39"/>
  <c r="AG69" i="39"/>
  <c r="AR69" i="39" s="1"/>
  <c r="AC12" i="39"/>
  <c r="AQ129" i="39"/>
  <c r="AQ42" i="39"/>
  <c r="AX37" i="39"/>
  <c r="AO46" i="39"/>
  <c r="AY45" i="39"/>
  <c r="AY46" i="39" s="1"/>
  <c r="AQ45" i="39"/>
  <c r="AQ12" i="39"/>
  <c r="AF13" i="39"/>
  <c r="AZ14" i="39"/>
  <c r="AZ17" i="39"/>
  <c r="AP18" i="39"/>
  <c r="AB19" i="39"/>
  <c r="AG19" i="39" s="1"/>
  <c r="AO128" i="39"/>
  <c r="AY19" i="39"/>
  <c r="AQ19" i="39"/>
  <c r="AA21" i="39"/>
  <c r="AY21" i="39"/>
  <c r="AQ21" i="39"/>
  <c r="AX21" i="39" s="1"/>
  <c r="R134" i="39"/>
  <c r="V22" i="39"/>
  <c r="V24" i="39" s="1"/>
  <c r="AW134" i="39"/>
  <c r="AA23" i="39"/>
  <c r="AY23" i="39"/>
  <c r="AQ23" i="39"/>
  <c r="AX23" i="39" s="1"/>
  <c r="R24" i="39"/>
  <c r="AO24" i="39"/>
  <c r="AO130" i="39"/>
  <c r="AO126" i="39" s="1"/>
  <c r="AQ125" i="39" s="1"/>
  <c r="AO30" i="39"/>
  <c r="AY25" i="39"/>
  <c r="AQ25" i="39"/>
  <c r="AW130" i="39"/>
  <c r="AW30" i="39"/>
  <c r="AY26" i="39"/>
  <c r="AQ26" i="39"/>
  <c r="AX26" i="39" s="1"/>
  <c r="AY27" i="39"/>
  <c r="AY133" i="39" s="1"/>
  <c r="AQ27" i="39"/>
  <c r="AX27" i="39" s="1"/>
  <c r="AY28" i="39"/>
  <c r="AQ28" i="39"/>
  <c r="AX28" i="39" s="1"/>
  <c r="AY29" i="39"/>
  <c r="AQ29" i="39"/>
  <c r="AX29" i="39" s="1"/>
  <c r="V36" i="39"/>
  <c r="AS31" i="39"/>
  <c r="AB31" i="39"/>
  <c r="AA31" i="39"/>
  <c r="AS32" i="39"/>
  <c r="AB32" i="39"/>
  <c r="AU32" i="39" s="1"/>
  <c r="AA32" i="39"/>
  <c r="AG32" i="39" s="1"/>
  <c r="AR32" i="39" s="1"/>
  <c r="AS33" i="39"/>
  <c r="AB33" i="39"/>
  <c r="AU33" i="39" s="1"/>
  <c r="AA33" i="39"/>
  <c r="AG33" i="39" s="1"/>
  <c r="AR33" i="39" s="1"/>
  <c r="AS34" i="39"/>
  <c r="AB34" i="39"/>
  <c r="AU34" i="39" s="1"/>
  <c r="AA34" i="39"/>
  <c r="AS35" i="39"/>
  <c r="AB35" i="39"/>
  <c r="AU35" i="39" s="1"/>
  <c r="AA35" i="39"/>
  <c r="AZ129" i="39"/>
  <c r="AA38" i="39"/>
  <c r="AG38" i="39" s="1"/>
  <c r="AR38" i="39" s="1"/>
  <c r="AA40" i="39"/>
  <c r="AG40" i="39" s="1"/>
  <c r="AR40" i="39" s="1"/>
  <c r="AO135" i="39"/>
  <c r="AY43" i="39"/>
  <c r="AQ43" i="39"/>
  <c r="AB45" i="39"/>
  <c r="AP46" i="39"/>
  <c r="Z50" i="39"/>
  <c r="AP50" i="39"/>
  <c r="AZ47" i="39"/>
  <c r="AZ50" i="39" s="1"/>
  <c r="AT65" i="39"/>
  <c r="AZ72" i="39"/>
  <c r="AS68" i="39"/>
  <c r="AS72" i="39" s="1"/>
  <c r="AA68" i="39"/>
  <c r="AG68" i="39" s="1"/>
  <c r="AR68" i="39" s="1"/>
  <c r="AC68" i="39"/>
  <c r="AV68" i="39" s="1"/>
  <c r="AB68" i="39"/>
  <c r="AU68" i="39" s="1"/>
  <c r="AF93" i="39"/>
  <c r="U123" i="39"/>
  <c r="AI123" i="39"/>
  <c r="AM123" i="39"/>
  <c r="AZ24" i="39"/>
  <c r="AA25" i="39"/>
  <c r="AF129" i="39"/>
  <c r="AW37" i="39"/>
  <c r="AY129" i="39"/>
  <c r="AY42" i="39"/>
  <c r="AC48" i="39"/>
  <c r="AV48" i="39" s="1"/>
  <c r="AA48" i="39"/>
  <c r="AS48" i="39"/>
  <c r="AB48" i="39"/>
  <c r="AU48" i="39" s="1"/>
  <c r="AV56" i="39"/>
  <c r="AS53" i="39"/>
  <c r="AB53" i="39"/>
  <c r="AU53" i="39" s="1"/>
  <c r="AA53" i="39"/>
  <c r="AG53" i="39" s="1"/>
  <c r="AR53" i="39" s="1"/>
  <c r="AQ58" i="39"/>
  <c r="AX57" i="39"/>
  <c r="AX58" i="39" s="1"/>
  <c r="AS63" i="39"/>
  <c r="AB63" i="39"/>
  <c r="AU63" i="39" s="1"/>
  <c r="AC63" i="39"/>
  <c r="AV63" i="39" s="1"/>
  <c r="AA63" i="39"/>
  <c r="AY68" i="39"/>
  <c r="AY72" i="39" s="1"/>
  <c r="AQ68" i="39"/>
  <c r="AX68" i="39" s="1"/>
  <c r="AC70" i="39"/>
  <c r="AV70" i="39" s="1"/>
  <c r="AS70" i="39"/>
  <c r="AA70" i="39"/>
  <c r="AG70" i="39" s="1"/>
  <c r="AR70" i="39" s="1"/>
  <c r="AB70" i="39"/>
  <c r="AU70" i="39" s="1"/>
  <c r="AA12" i="39"/>
  <c r="AZ12" i="39"/>
  <c r="R126" i="39"/>
  <c r="V125" i="39" s="1"/>
  <c r="AW14" i="39"/>
  <c r="R133" i="39"/>
  <c r="AW17" i="39"/>
  <c r="AW133" i="39" s="1"/>
  <c r="R18" i="39"/>
  <c r="Z18" i="39"/>
  <c r="AC19" i="39"/>
  <c r="AB21" i="39"/>
  <c r="AU21" i="39" s="1"/>
  <c r="AB23" i="39"/>
  <c r="AU23" i="39" s="1"/>
  <c r="AB25" i="39"/>
  <c r="AP130" i="39"/>
  <c r="AZ25" i="39"/>
  <c r="AB26" i="39"/>
  <c r="AU26" i="39" s="1"/>
  <c r="AB27" i="39"/>
  <c r="AU27" i="39" s="1"/>
  <c r="AB28" i="39"/>
  <c r="AU28" i="39" s="1"/>
  <c r="AB29" i="39"/>
  <c r="AU29" i="39" s="1"/>
  <c r="AP30" i="39"/>
  <c r="AP36" i="39"/>
  <c r="AZ31" i="39"/>
  <c r="AZ36" i="39" s="1"/>
  <c r="AF36" i="39"/>
  <c r="Z129" i="39"/>
  <c r="AT37" i="39"/>
  <c r="Z42" i="39"/>
  <c r="AC45" i="39"/>
  <c r="AS45" i="39"/>
  <c r="AS46" i="39" s="1"/>
  <c r="V46" i="39"/>
  <c r="V56" i="39"/>
  <c r="AS51" i="39"/>
  <c r="AB51" i="39"/>
  <c r="AA51" i="39"/>
  <c r="AC53" i="39"/>
  <c r="AV53" i="39" s="1"/>
  <c r="AS55" i="39"/>
  <c r="AB55" i="39"/>
  <c r="AU55" i="39" s="1"/>
  <c r="AA55" i="39"/>
  <c r="V65" i="39"/>
  <c r="AS59" i="39"/>
  <c r="AB59" i="39"/>
  <c r="AC59" i="39"/>
  <c r="AA59" i="39"/>
  <c r="AY65" i="39"/>
  <c r="AZ65" i="39"/>
  <c r="AB72" i="39"/>
  <c r="AU66" i="39"/>
  <c r="AU72" i="39" s="1"/>
  <c r="AQ72" i="39"/>
  <c r="AX66" i="39"/>
  <c r="Z79" i="39"/>
  <c r="AT73" i="39"/>
  <c r="AT79" i="39" s="1"/>
  <c r="AA77" i="39"/>
  <c r="AG77" i="39" s="1"/>
  <c r="AR77" i="39" s="1"/>
  <c r="AS77" i="39"/>
  <c r="AC77" i="39"/>
  <c r="AV77" i="39" s="1"/>
  <c r="AB77" i="39"/>
  <c r="AU77" i="39" s="1"/>
  <c r="AF86" i="39"/>
  <c r="AT91" i="39"/>
  <c r="AA91" i="39"/>
  <c r="AQ18" i="39"/>
  <c r="AY18" i="39"/>
  <c r="AQ133" i="39"/>
  <c r="AG26" i="39"/>
  <c r="AR26" i="39" s="1"/>
  <c r="AT30" i="39"/>
  <c r="AF42" i="39"/>
  <c r="AS47" i="39"/>
  <c r="AS50" i="39" s="1"/>
  <c r="AB47" i="39"/>
  <c r="V50" i="39"/>
  <c r="AA47" i="39"/>
  <c r="AB58" i="39"/>
  <c r="AU57" i="39"/>
  <c r="AU58" i="39" s="1"/>
  <c r="AT90" i="39"/>
  <c r="AA90" i="39"/>
  <c r="AC97" i="39"/>
  <c r="AV97" i="39" s="1"/>
  <c r="AS97" i="39"/>
  <c r="AB97" i="39"/>
  <c r="AU97" i="39" s="1"/>
  <c r="AA97" i="39"/>
  <c r="AC99" i="39"/>
  <c r="AV99" i="39" s="1"/>
  <c r="AB99" i="39"/>
  <c r="AU99" i="39" s="1"/>
  <c r="AS99" i="39"/>
  <c r="AS100" i="39" s="1"/>
  <c r="AA99" i="39"/>
  <c r="AB12" i="39"/>
  <c r="AO136" i="39"/>
  <c r="AS12" i="39"/>
  <c r="AW136" i="39"/>
  <c r="R13" i="39"/>
  <c r="V13" i="39"/>
  <c r="AP13" i="39"/>
  <c r="AT13" i="39"/>
  <c r="V14" i="39"/>
  <c r="AT14" i="39"/>
  <c r="AX14" i="39"/>
  <c r="V17" i="39"/>
  <c r="AT17" i="39"/>
  <c r="AT133" i="39" s="1"/>
  <c r="AX17" i="39"/>
  <c r="AX133" i="39" s="1"/>
  <c r="AF18" i="39"/>
  <c r="AY20" i="39"/>
  <c r="AQ20" i="39"/>
  <c r="AX20" i="39" s="1"/>
  <c r="AO134" i="39"/>
  <c r="AY22" i="39"/>
  <c r="AQ22" i="39"/>
  <c r="AC25" i="39"/>
  <c r="AS25" i="39"/>
  <c r="AC26" i="39"/>
  <c r="AV26" i="39" s="1"/>
  <c r="AS26" i="39"/>
  <c r="AC27" i="39"/>
  <c r="AV27" i="39" s="1"/>
  <c r="AS27" i="39"/>
  <c r="AC28" i="39"/>
  <c r="AV28" i="39" s="1"/>
  <c r="AS28" i="39"/>
  <c r="AC29" i="39"/>
  <c r="AV29" i="39" s="1"/>
  <c r="AS29" i="39"/>
  <c r="R30" i="39"/>
  <c r="V30" i="39"/>
  <c r="AC36" i="39"/>
  <c r="AV31" i="39"/>
  <c r="AV36" i="39" s="1"/>
  <c r="AQ31" i="39"/>
  <c r="AQ32" i="39"/>
  <c r="AX32" i="39" s="1"/>
  <c r="AQ33" i="39"/>
  <c r="AX33" i="39" s="1"/>
  <c r="AQ34" i="39"/>
  <c r="AX34" i="39" s="1"/>
  <c r="AQ35" i="39"/>
  <c r="AX35" i="39" s="1"/>
  <c r="AA37" i="39"/>
  <c r="AA39" i="39"/>
  <c r="AA41" i="39"/>
  <c r="R135" i="39"/>
  <c r="V43" i="39"/>
  <c r="AZ135" i="39"/>
  <c r="AZ44" i="39"/>
  <c r="AA46" i="39"/>
  <c r="AW47" i="39"/>
  <c r="AW50" i="39" s="1"/>
  <c r="AF50" i="39"/>
  <c r="AY48" i="39"/>
  <c r="AY50" i="39" s="1"/>
  <c r="AQ48" i="39"/>
  <c r="AX48" i="39" s="1"/>
  <c r="AX50" i="39" s="1"/>
  <c r="AZ51" i="39"/>
  <c r="AZ56" i="39" s="1"/>
  <c r="AC56" i="39"/>
  <c r="AS61" i="39"/>
  <c r="AB61" i="39"/>
  <c r="AU61" i="39" s="1"/>
  <c r="AC61" i="39"/>
  <c r="AV61" i="39" s="1"/>
  <c r="AA61" i="39"/>
  <c r="AW72" i="39"/>
  <c r="AY70" i="39"/>
  <c r="AQ70" i="39"/>
  <c r="AX70" i="39" s="1"/>
  <c r="R72" i="39"/>
  <c r="V72" i="39"/>
  <c r="AX73" i="39"/>
  <c r="Z86" i="39"/>
  <c r="AT80" i="39"/>
  <c r="AT86" i="39" s="1"/>
  <c r="AZ81" i="39"/>
  <c r="AQ81" i="39"/>
  <c r="AX81" i="39" s="1"/>
  <c r="AZ82" i="39"/>
  <c r="AQ82" i="39"/>
  <c r="AX82" i="39" s="1"/>
  <c r="AZ85" i="39"/>
  <c r="AQ85" i="39"/>
  <c r="AX85" i="39" s="1"/>
  <c r="AY93" i="39"/>
  <c r="AT88" i="39"/>
  <c r="AT130" i="39" s="1"/>
  <c r="AA88" i="39"/>
  <c r="AY97" i="39"/>
  <c r="AQ97" i="39"/>
  <c r="AX97" i="39" s="1"/>
  <c r="AY99" i="39"/>
  <c r="AQ99" i="39"/>
  <c r="AX99" i="39" s="1"/>
  <c r="AA102" i="39"/>
  <c r="AS102" i="39"/>
  <c r="AC102" i="39"/>
  <c r="AV102" i="39" s="1"/>
  <c r="AB102" i="39"/>
  <c r="AU102" i="39" s="1"/>
  <c r="AA103" i="39"/>
  <c r="AS103" i="39"/>
  <c r="AC103" i="39"/>
  <c r="AV103" i="39" s="1"/>
  <c r="AB103" i="39"/>
  <c r="AU103" i="39" s="1"/>
  <c r="AA104" i="39"/>
  <c r="AS104" i="39"/>
  <c r="AC104" i="39"/>
  <c r="AV104" i="39" s="1"/>
  <c r="AB104" i="39"/>
  <c r="AU104" i="39" s="1"/>
  <c r="AA105" i="39"/>
  <c r="AS105" i="39"/>
  <c r="AC105" i="39"/>
  <c r="AV105" i="39" s="1"/>
  <c r="AB105" i="39"/>
  <c r="AU105" i="39" s="1"/>
  <c r="AU101" i="39"/>
  <c r="AT107" i="39"/>
  <c r="AY118" i="39"/>
  <c r="AO122" i="39"/>
  <c r="AQ118" i="39"/>
  <c r="AP128" i="39"/>
  <c r="AP126" i="39" s="1"/>
  <c r="AT128" i="39"/>
  <c r="AP134" i="39"/>
  <c r="AT134" i="39"/>
  <c r="Z130" i="39"/>
  <c r="AF130" i="39"/>
  <c r="AF30" i="39"/>
  <c r="AB37" i="39"/>
  <c r="AS37" i="39"/>
  <c r="AB38" i="39"/>
  <c r="AU38" i="39" s="1"/>
  <c r="AS38" i="39"/>
  <c r="AB39" i="39"/>
  <c r="AU39" i="39" s="1"/>
  <c r="AS39" i="39"/>
  <c r="AB40" i="39"/>
  <c r="AU40" i="39" s="1"/>
  <c r="AS40" i="39"/>
  <c r="AB41" i="39"/>
  <c r="AU41" i="39" s="1"/>
  <c r="AS41" i="39"/>
  <c r="R42" i="39"/>
  <c r="V42" i="39"/>
  <c r="AP42" i="39"/>
  <c r="AT43" i="39"/>
  <c r="AT56" i="39"/>
  <c r="AA57" i="39"/>
  <c r="AC57" i="39"/>
  <c r="AS60" i="39"/>
  <c r="AB60" i="39"/>
  <c r="AU60" i="39" s="1"/>
  <c r="AS62" i="39"/>
  <c r="AB62" i="39"/>
  <c r="AU62" i="39" s="1"/>
  <c r="AS64" i="39"/>
  <c r="AB64" i="39"/>
  <c r="AU64" i="39" s="1"/>
  <c r="AF72" i="39"/>
  <c r="AC67" i="39"/>
  <c r="AV67" i="39" s="1"/>
  <c r="AA67" i="39"/>
  <c r="AG67" i="39" s="1"/>
  <c r="AR67" i="39" s="1"/>
  <c r="AC69" i="39"/>
  <c r="AV69" i="39" s="1"/>
  <c r="AC71" i="39"/>
  <c r="AV71" i="39" s="1"/>
  <c r="AA74" i="39"/>
  <c r="AC74" i="39"/>
  <c r="AV74" i="39" s="1"/>
  <c r="AA76" i="39"/>
  <c r="AG76" i="39" s="1"/>
  <c r="AR76" i="39" s="1"/>
  <c r="AC76" i="39"/>
  <c r="AV76" i="39" s="1"/>
  <c r="AA78" i="39"/>
  <c r="AG78" i="39" s="1"/>
  <c r="AR78" i="39" s="1"/>
  <c r="AS78" i="39"/>
  <c r="AC78" i="39"/>
  <c r="AV78" i="39" s="1"/>
  <c r="AZ83" i="39"/>
  <c r="AQ83" i="39"/>
  <c r="AX83" i="39" s="1"/>
  <c r="AT87" i="39"/>
  <c r="AT93" i="39" s="1"/>
  <c r="Z93" i="39"/>
  <c r="AA87" i="39"/>
  <c r="AQ93" i="39"/>
  <c r="AX87" i="39"/>
  <c r="AX93" i="39" s="1"/>
  <c r="AT92" i="39"/>
  <c r="AA92" i="39"/>
  <c r="AU94" i="39"/>
  <c r="AU100" i="39" s="1"/>
  <c r="AC95" i="39"/>
  <c r="AB95" i="39"/>
  <c r="AU95" i="39" s="1"/>
  <c r="AS95" i="39"/>
  <c r="AY95" i="39"/>
  <c r="AQ95" i="39"/>
  <c r="AX95" i="39" s="1"/>
  <c r="Z128" i="39"/>
  <c r="Z126" i="39" s="1"/>
  <c r="AF128" i="39"/>
  <c r="AF126" i="39" s="1"/>
  <c r="Z134" i="39"/>
  <c r="AF134" i="39"/>
  <c r="AF24" i="39"/>
  <c r="AC37" i="39"/>
  <c r="AF135" i="39"/>
  <c r="AF44" i="39"/>
  <c r="AO50" i="39"/>
  <c r="AC49" i="39"/>
  <c r="AV49" i="39" s="1"/>
  <c r="AA49" i="39"/>
  <c r="AS52" i="39"/>
  <c r="AB52" i="39"/>
  <c r="AU52" i="39" s="1"/>
  <c r="AS54" i="39"/>
  <c r="AB54" i="39"/>
  <c r="AP65" i="39"/>
  <c r="AC66" i="39"/>
  <c r="AA66" i="39"/>
  <c r="AO72" i="39"/>
  <c r="AS69" i="39"/>
  <c r="AS71" i="39"/>
  <c r="V73" i="39"/>
  <c r="R79" i="39"/>
  <c r="AW79" i="39"/>
  <c r="AA75" i="39"/>
  <c r="AB75" i="39"/>
  <c r="AU75" i="39" s="1"/>
  <c r="AS75" i="39"/>
  <c r="AZ76" i="39"/>
  <c r="AQ76" i="39"/>
  <c r="AX76" i="39" s="1"/>
  <c r="AP79" i="39"/>
  <c r="AC86" i="39"/>
  <c r="AV80" i="39"/>
  <c r="AV86" i="39" s="1"/>
  <c r="AP86" i="39"/>
  <c r="AZ80" i="39"/>
  <c r="AZ86" i="39" s="1"/>
  <c r="AQ80" i="39"/>
  <c r="AZ84" i="39"/>
  <c r="AZ134" i="39" s="1"/>
  <c r="AQ84" i="39"/>
  <c r="AX84" i="39" s="1"/>
  <c r="AW93" i="39"/>
  <c r="AT89" i="39"/>
  <c r="AA89" i="39"/>
  <c r="V107" i="39"/>
  <c r="AA101" i="39"/>
  <c r="AS101" i="39"/>
  <c r="AC101" i="39"/>
  <c r="AW51" i="39"/>
  <c r="AW56" i="39" s="1"/>
  <c r="AQ59" i="39"/>
  <c r="AQ60" i="39"/>
  <c r="AX60" i="39" s="1"/>
  <c r="AQ61" i="39"/>
  <c r="AX61" i="39" s="1"/>
  <c r="AQ62" i="39"/>
  <c r="AX62" i="39" s="1"/>
  <c r="AQ63" i="39"/>
  <c r="AX63" i="39" s="1"/>
  <c r="AQ64" i="39"/>
  <c r="AX64" i="39" s="1"/>
  <c r="AF65" i="39"/>
  <c r="AY69" i="39"/>
  <c r="AQ69" i="39"/>
  <c r="AX69" i="39" s="1"/>
  <c r="AZ79" i="39"/>
  <c r="AQ74" i="39"/>
  <c r="AX74" i="39" s="1"/>
  <c r="AV87" i="39"/>
  <c r="AV93" i="39" s="1"/>
  <c r="AA94" i="39"/>
  <c r="AY94" i="39"/>
  <c r="AY100" i="39" s="1"/>
  <c r="AQ94" i="39"/>
  <c r="AA98" i="39"/>
  <c r="AG98" i="39" s="1"/>
  <c r="AR98" i="39" s="1"/>
  <c r="AY98" i="39"/>
  <c r="AQ98" i="39"/>
  <c r="AX98" i="39" s="1"/>
  <c r="R100" i="39"/>
  <c r="V100" i="39"/>
  <c r="AO100" i="39"/>
  <c r="AO107" i="39"/>
  <c r="AY101" i="39"/>
  <c r="AQ101" i="39"/>
  <c r="AW107" i="39"/>
  <c r="AY102" i="39"/>
  <c r="AQ102" i="39"/>
  <c r="AX102" i="39" s="1"/>
  <c r="AY103" i="39"/>
  <c r="AQ103" i="39"/>
  <c r="AX103" i="39" s="1"/>
  <c r="AY104" i="39"/>
  <c r="AQ104" i="39"/>
  <c r="AX104" i="39" s="1"/>
  <c r="AY105" i="39"/>
  <c r="AQ105" i="39"/>
  <c r="AX105" i="39" s="1"/>
  <c r="W123" i="39"/>
  <c r="AC116" i="39"/>
  <c r="AV116" i="39" s="1"/>
  <c r="AS116" i="39"/>
  <c r="AB116" i="39"/>
  <c r="AU116" i="39" s="1"/>
  <c r="AA116" i="39"/>
  <c r="AG116" i="39" s="1"/>
  <c r="AR116" i="39" s="1"/>
  <c r="R122" i="39"/>
  <c r="V118" i="39"/>
  <c r="AP122" i="39"/>
  <c r="AY121" i="39"/>
  <c r="AQ121" i="39"/>
  <c r="AX121" i="39" s="1"/>
  <c r="AD123" i="39"/>
  <c r="AP107" i="39"/>
  <c r="AZ101" i="39"/>
  <c r="AZ107" i="39" s="1"/>
  <c r="AW114" i="39"/>
  <c r="AS121" i="39"/>
  <c r="AA121" i="39"/>
  <c r="AC121" i="39"/>
  <c r="AV121" i="39" s="1"/>
  <c r="AB121" i="39"/>
  <c r="AU121" i="39" s="1"/>
  <c r="I126" i="39"/>
  <c r="M126" i="39"/>
  <c r="I125" i="39" s="1"/>
  <c r="Q126" i="39"/>
  <c r="O125" i="39" s="1"/>
  <c r="Z125" i="39"/>
  <c r="Y126" i="39"/>
  <c r="AQ51" i="39"/>
  <c r="AQ52" i="39"/>
  <c r="AX52" i="39" s="1"/>
  <c r="AQ53" i="39"/>
  <c r="AX53" i="39" s="1"/>
  <c r="AQ54" i="39"/>
  <c r="AX54" i="39" s="1"/>
  <c r="AQ55" i="39"/>
  <c r="AX55" i="39" s="1"/>
  <c r="AY71" i="39"/>
  <c r="AQ71" i="39"/>
  <c r="AX71" i="39" s="1"/>
  <c r="AF79" i="39"/>
  <c r="AY77" i="39"/>
  <c r="AY79" i="39" s="1"/>
  <c r="AQ77" i="39"/>
  <c r="AX77" i="39" s="1"/>
  <c r="AY78" i="39"/>
  <c r="AQ78" i="39"/>
  <c r="AX78" i="39" s="1"/>
  <c r="V86" i="39"/>
  <c r="AS80" i="39"/>
  <c r="AB80" i="39"/>
  <c r="AA80" i="39"/>
  <c r="AS81" i="39"/>
  <c r="AB81" i="39"/>
  <c r="AU81" i="39" s="1"/>
  <c r="AA81" i="39"/>
  <c r="AS82" i="39"/>
  <c r="AB82" i="39"/>
  <c r="AU82" i="39" s="1"/>
  <c r="AA82" i="39"/>
  <c r="AG82" i="39" s="1"/>
  <c r="AR82" i="39" s="1"/>
  <c r="AS83" i="39"/>
  <c r="AB83" i="39"/>
  <c r="AU83" i="39" s="1"/>
  <c r="AA83" i="39"/>
  <c r="AG83" i="39" s="1"/>
  <c r="AR83" i="39" s="1"/>
  <c r="AS84" i="39"/>
  <c r="AB84" i="39"/>
  <c r="AU84" i="39" s="1"/>
  <c r="AA84" i="39"/>
  <c r="AS85" i="39"/>
  <c r="AB85" i="39"/>
  <c r="AU85" i="39" s="1"/>
  <c r="AA85" i="39"/>
  <c r="AZ100" i="39"/>
  <c r="AY96" i="39"/>
  <c r="AQ96" i="39"/>
  <c r="AX96" i="39" s="1"/>
  <c r="AY114" i="39"/>
  <c r="AB120" i="39"/>
  <c r="AU120" i="39" s="1"/>
  <c r="AS120" i="39"/>
  <c r="AA120" i="39"/>
  <c r="AG120" i="39" s="1"/>
  <c r="AR120" i="39" s="1"/>
  <c r="AC120" i="39"/>
  <c r="AV120" i="39" s="1"/>
  <c r="AB87" i="39"/>
  <c r="AS87" i="39"/>
  <c r="AB88" i="39"/>
  <c r="AU88" i="39" s="1"/>
  <c r="AS88" i="39"/>
  <c r="AB89" i="39"/>
  <c r="AU89" i="39" s="1"/>
  <c r="AS89" i="39"/>
  <c r="AB90" i="39"/>
  <c r="AU90" i="39" s="1"/>
  <c r="AS90" i="39"/>
  <c r="AB91" i="39"/>
  <c r="AU91" i="39" s="1"/>
  <c r="AS91" i="39"/>
  <c r="AB92" i="39"/>
  <c r="AU92" i="39" s="1"/>
  <c r="AS92" i="39"/>
  <c r="V93" i="39"/>
  <c r="AB106" i="39"/>
  <c r="AU106" i="39" s="1"/>
  <c r="AY106" i="39"/>
  <c r="AQ106" i="39"/>
  <c r="AX106" i="39" s="1"/>
  <c r="AC114" i="39"/>
  <c r="AV108" i="39"/>
  <c r="AV114" i="39" s="1"/>
  <c r="AE123" i="39"/>
  <c r="AK123" i="39"/>
  <c r="AC106" i="39"/>
  <c r="AV106" i="39" s="1"/>
  <c r="AT108" i="39"/>
  <c r="AT114" i="39" s="1"/>
  <c r="Z114" i="39"/>
  <c r="AQ114" i="39"/>
  <c r="AX108" i="39"/>
  <c r="AX114" i="39" s="1"/>
  <c r="AC115" i="39"/>
  <c r="V117" i="39"/>
  <c r="AS115" i="39"/>
  <c r="AS117" i="39" s="1"/>
  <c r="AB115" i="39"/>
  <c r="S123" i="39"/>
  <c r="Y123" i="39"/>
  <c r="AL123" i="39"/>
  <c r="U126" i="39"/>
  <c r="AK126" i="39"/>
  <c r="AA108" i="39"/>
  <c r="AZ108" i="39"/>
  <c r="AZ114" i="39" s="1"/>
  <c r="AA109" i="39"/>
  <c r="AA110" i="39"/>
  <c r="AA111" i="39"/>
  <c r="AG111" i="39" s="1"/>
  <c r="AR111" i="39" s="1"/>
  <c r="AA112" i="39"/>
  <c r="AG112" i="39" s="1"/>
  <c r="AR112" i="39" s="1"/>
  <c r="AA113" i="39"/>
  <c r="AW115" i="39"/>
  <c r="AW117" i="39" s="1"/>
  <c r="R117" i="39"/>
  <c r="Z117" i="39"/>
  <c r="Z123" i="39" s="1"/>
  <c r="AZ118" i="39"/>
  <c r="AZ122" i="39" s="1"/>
  <c r="AA119" i="39"/>
  <c r="AS119" i="39"/>
  <c r="AJ123" i="39"/>
  <c r="AN123" i="39"/>
  <c r="AB108" i="39"/>
  <c r="AS108" i="39"/>
  <c r="AB109" i="39"/>
  <c r="AU109" i="39" s="1"/>
  <c r="AS109" i="39"/>
  <c r="AB110" i="39"/>
  <c r="AU110" i="39" s="1"/>
  <c r="AS110" i="39"/>
  <c r="AB111" i="39"/>
  <c r="AU111" i="39" s="1"/>
  <c r="AS111" i="39"/>
  <c r="AB112" i="39"/>
  <c r="AU112" i="39" s="1"/>
  <c r="AS112" i="39"/>
  <c r="AB113" i="39"/>
  <c r="AU113" i="39" s="1"/>
  <c r="AS113" i="39"/>
  <c r="V114" i="39"/>
  <c r="AF123" i="39"/>
  <c r="AB119" i="39"/>
  <c r="AU119" i="39" s="1"/>
  <c r="AY119" i="39"/>
  <c r="AQ119" i="39"/>
  <c r="AX119" i="39" s="1"/>
  <c r="AQ115" i="39"/>
  <c r="AQ116" i="39"/>
  <c r="AX116" i="39" s="1"/>
  <c r="AY120" i="39"/>
  <c r="AQ120" i="39"/>
  <c r="AX120" i="39" s="1"/>
  <c r="T123" i="39"/>
  <c r="X123" i="39"/>
  <c r="AF166" i="40" l="1"/>
  <c r="AR31" i="42"/>
  <c r="V200" i="42"/>
  <c r="W200" i="42"/>
  <c r="AG186" i="42"/>
  <c r="AA191" i="42"/>
  <c r="AA198" i="42"/>
  <c r="AG192" i="42"/>
  <c r="AS153" i="42"/>
  <c r="AV198" i="42"/>
  <c r="AA162" i="42"/>
  <c r="AG157" i="42"/>
  <c r="AS135" i="42"/>
  <c r="AG90" i="42"/>
  <c r="AR87" i="42"/>
  <c r="AX71" i="42"/>
  <c r="AX77" i="42" s="1"/>
  <c r="AQ77" i="42"/>
  <c r="AG33" i="42"/>
  <c r="AR33" i="42" s="1"/>
  <c r="AQ148" i="42"/>
  <c r="AX146" i="42"/>
  <c r="AX148" i="42" s="1"/>
  <c r="AU145" i="42"/>
  <c r="AR114" i="42"/>
  <c r="AR116" i="42" s="1"/>
  <c r="AG116" i="42"/>
  <c r="AY204" i="42"/>
  <c r="AY53" i="42"/>
  <c r="AG42" i="42"/>
  <c r="AA45" i="42"/>
  <c r="AQ209" i="42"/>
  <c r="AX17" i="42"/>
  <c r="AX209" i="42" s="1"/>
  <c r="AC59" i="42"/>
  <c r="AV54" i="42"/>
  <c r="AV59" i="42" s="1"/>
  <c r="AG190" i="42"/>
  <c r="AR190" i="42" s="1"/>
  <c r="AG187" i="42"/>
  <c r="AR187" i="42" s="1"/>
  <c r="AB198" i="42"/>
  <c r="AU192" i="42"/>
  <c r="AU198" i="42" s="1"/>
  <c r="AG170" i="42"/>
  <c r="AR170" i="42" s="1"/>
  <c r="AU161" i="42"/>
  <c r="AG161" i="42"/>
  <c r="AR161" i="42" s="1"/>
  <c r="AB153" i="42"/>
  <c r="AU149" i="42"/>
  <c r="AU153" i="42" s="1"/>
  <c r="AG160" i="42"/>
  <c r="AR160" i="42" s="1"/>
  <c r="AZ198" i="42"/>
  <c r="AC172" i="42"/>
  <c r="AV167" i="42"/>
  <c r="AV172" i="42" s="1"/>
  <c r="AY156" i="42"/>
  <c r="AV176" i="42"/>
  <c r="AV179" i="42" s="1"/>
  <c r="AC179" i="42"/>
  <c r="AG151" i="42"/>
  <c r="AR151" i="42" s="1"/>
  <c r="AQ145" i="42"/>
  <c r="AX139" i="42"/>
  <c r="AX145" i="42" s="1"/>
  <c r="AS145" i="42"/>
  <c r="AR136" i="42"/>
  <c r="AR138" i="42" s="1"/>
  <c r="AG138" i="42"/>
  <c r="AA135" i="42"/>
  <c r="AG133" i="42"/>
  <c r="AS113" i="42"/>
  <c r="AS126" i="42"/>
  <c r="AY86" i="42"/>
  <c r="AS212" i="42"/>
  <c r="AS47" i="42"/>
  <c r="AB122" i="42"/>
  <c r="AU117" i="42"/>
  <c r="AU122" i="42" s="1"/>
  <c r="AG117" i="42"/>
  <c r="AA122" i="42"/>
  <c r="AW211" i="42"/>
  <c r="AW79" i="42"/>
  <c r="AW199" i="42" s="1"/>
  <c r="AW206" i="42"/>
  <c r="AW65" i="42"/>
  <c r="AA212" i="42"/>
  <c r="AA47" i="42"/>
  <c r="AG46" i="42"/>
  <c r="AS38" i="42"/>
  <c r="AT205" i="42"/>
  <c r="AC113" i="42"/>
  <c r="AA100" i="42"/>
  <c r="AG97" i="42"/>
  <c r="AC100" i="42"/>
  <c r="AV97" i="42"/>
  <c r="AV100" i="42" s="1"/>
  <c r="AG95" i="42"/>
  <c r="AR95" i="42" s="1"/>
  <c r="AZ96" i="42"/>
  <c r="AB96" i="42"/>
  <c r="AU91" i="42"/>
  <c r="AU96" i="42" s="1"/>
  <c r="AB86" i="42"/>
  <c r="AU80" i="42"/>
  <c r="AU86" i="42" s="1"/>
  <c r="AY77" i="42"/>
  <c r="AA70" i="42"/>
  <c r="AG66" i="42"/>
  <c r="AQ206" i="42"/>
  <c r="AQ65" i="42"/>
  <c r="AX60" i="42"/>
  <c r="V210" i="42"/>
  <c r="AC51" i="42"/>
  <c r="AS51" i="42"/>
  <c r="AS210" i="42" s="1"/>
  <c r="AA51" i="42"/>
  <c r="AB51" i="42"/>
  <c r="AB41" i="42"/>
  <c r="AU39" i="42"/>
  <c r="AU41" i="42" s="1"/>
  <c r="R202" i="42"/>
  <c r="V201" i="42" s="1"/>
  <c r="AS206" i="42"/>
  <c r="AS65" i="42"/>
  <c r="AY59" i="42"/>
  <c r="AY210" i="42"/>
  <c r="AG40" i="42"/>
  <c r="AR40" i="42" s="1"/>
  <c r="AY203" i="42"/>
  <c r="AZ148" i="42"/>
  <c r="AB148" i="42"/>
  <c r="AU146" i="42"/>
  <c r="AU148" i="42" s="1"/>
  <c r="AB145" i="42"/>
  <c r="AZ206" i="42"/>
  <c r="AZ65" i="42"/>
  <c r="AG43" i="42"/>
  <c r="AR43" i="42" s="1"/>
  <c r="AB45" i="42"/>
  <c r="AU42" i="42"/>
  <c r="AU45" i="42" s="1"/>
  <c r="AY116" i="42"/>
  <c r="AT204" i="42"/>
  <c r="AZ209" i="42"/>
  <c r="Z202" i="42"/>
  <c r="AG57" i="42"/>
  <c r="AR57" i="42" s="1"/>
  <c r="AG29" i="42"/>
  <c r="AR29" i="42" s="1"/>
  <c r="AS59" i="42"/>
  <c r="AG24" i="42"/>
  <c r="AR24" i="42" s="1"/>
  <c r="AB26" i="42"/>
  <c r="AU23" i="42"/>
  <c r="AU26" i="42" s="1"/>
  <c r="AS26" i="42"/>
  <c r="AG28" i="42"/>
  <c r="AR28" i="42" s="1"/>
  <c r="AG56" i="42"/>
  <c r="AR56" i="42" s="1"/>
  <c r="R200" i="42"/>
  <c r="Z200" i="42"/>
  <c r="AA163" i="42"/>
  <c r="AB163" i="42"/>
  <c r="V166" i="42"/>
  <c r="V199" i="42" s="1"/>
  <c r="AA200" i="42" s="1"/>
  <c r="AS163" i="42"/>
  <c r="AS166" i="42" s="1"/>
  <c r="AC163" i="42"/>
  <c r="AA172" i="42"/>
  <c r="AG167" i="42"/>
  <c r="AB113" i="42"/>
  <c r="AU107" i="42"/>
  <c r="AU113" i="42" s="1"/>
  <c r="AC41" i="42"/>
  <c r="AV39" i="42"/>
  <c r="AV41" i="42" s="1"/>
  <c r="AC34" i="42"/>
  <c r="AV33" i="42"/>
  <c r="AV34" i="42" s="1"/>
  <c r="AA27" i="42"/>
  <c r="V30" i="42"/>
  <c r="AS27" i="42"/>
  <c r="AS30" i="42" s="1"/>
  <c r="AC27" i="42"/>
  <c r="AB27" i="42"/>
  <c r="AR19" i="42"/>
  <c r="AR22" i="42" s="1"/>
  <c r="AG22" i="42"/>
  <c r="AT203" i="42"/>
  <c r="AT18" i="42"/>
  <c r="AG146" i="42"/>
  <c r="AA148" i="42"/>
  <c r="AS198" i="42"/>
  <c r="AQ185" i="42"/>
  <c r="AX180" i="42"/>
  <c r="AX185" i="42" s="1"/>
  <c r="AQ179" i="42"/>
  <c r="AX173" i="42"/>
  <c r="AX179" i="42" s="1"/>
  <c r="AG180" i="42"/>
  <c r="AA185" i="42"/>
  <c r="AG196" i="42"/>
  <c r="AR196" i="42" s="1"/>
  <c r="AU191" i="42"/>
  <c r="AV180" i="42"/>
  <c r="AV185" i="42" s="1"/>
  <c r="AC185" i="42"/>
  <c r="AG175" i="42"/>
  <c r="AR175" i="42" s="1"/>
  <c r="AR179" i="42" s="1"/>
  <c r="AQ198" i="42"/>
  <c r="AX192" i="42"/>
  <c r="AX198" i="42" s="1"/>
  <c r="AB172" i="42"/>
  <c r="AU167" i="42"/>
  <c r="AU172" i="42" s="1"/>
  <c r="AB162" i="42"/>
  <c r="AU157" i="42"/>
  <c r="AU162" i="42" s="1"/>
  <c r="AC162" i="42"/>
  <c r="AY145" i="42"/>
  <c r="AG158" i="42"/>
  <c r="AR158" i="42" s="1"/>
  <c r="AV133" i="42"/>
  <c r="AV135" i="42" s="1"/>
  <c r="AC135" i="42"/>
  <c r="AG128" i="42"/>
  <c r="AR128" i="42" s="1"/>
  <c r="AT132" i="42"/>
  <c r="AC126" i="42"/>
  <c r="AV123" i="42"/>
  <c r="AV126" i="42" s="1"/>
  <c r="AS90" i="42"/>
  <c r="AS70" i="42"/>
  <c r="AB212" i="42"/>
  <c r="AB47" i="42"/>
  <c r="AU46" i="42"/>
  <c r="AC122" i="42"/>
  <c r="AV117" i="42"/>
  <c r="AV122" i="42" s="1"/>
  <c r="AG110" i="42"/>
  <c r="AR110" i="42" s="1"/>
  <c r="AC101" i="42"/>
  <c r="V106" i="42"/>
  <c r="AA101" i="42"/>
  <c r="AS101" i="42"/>
  <c r="AS106" i="42" s="1"/>
  <c r="AB101" i="42"/>
  <c r="AX211" i="42"/>
  <c r="AX79" i="42"/>
  <c r="AZ204" i="42"/>
  <c r="AQ45" i="42"/>
  <c r="AX42" i="42"/>
  <c r="AX45" i="42" s="1"/>
  <c r="AA38" i="42"/>
  <c r="AG35" i="42"/>
  <c r="AT209" i="42"/>
  <c r="V205" i="42"/>
  <c r="AC14" i="42"/>
  <c r="AS14" i="42"/>
  <c r="AS205" i="42" s="1"/>
  <c r="AB14" i="42"/>
  <c r="AA14" i="42"/>
  <c r="AP202" i="42"/>
  <c r="AT153" i="42"/>
  <c r="AT199" i="42" s="1"/>
  <c r="AQ122" i="42"/>
  <c r="AX117" i="42"/>
  <c r="AX122" i="42" s="1"/>
  <c r="AG108" i="42"/>
  <c r="AR108" i="42" s="1"/>
  <c r="AB100" i="42"/>
  <c r="AU97" i="42"/>
  <c r="AU100" i="42" s="1"/>
  <c r="AS96" i="42"/>
  <c r="AV80" i="42"/>
  <c r="AV86" i="42" s="1"/>
  <c r="AC86" i="42"/>
  <c r="AT211" i="42"/>
  <c r="AT79" i="42"/>
  <c r="AG75" i="42"/>
  <c r="AR75" i="42" s="1"/>
  <c r="AC206" i="42"/>
  <c r="AC65" i="42"/>
  <c r="AV60" i="42"/>
  <c r="AG49" i="42"/>
  <c r="AR49" i="42" s="1"/>
  <c r="AT212" i="42"/>
  <c r="AT47" i="42"/>
  <c r="AX31" i="42"/>
  <c r="AX34" i="42" s="1"/>
  <c r="AQ34" i="42"/>
  <c r="AW203" i="42"/>
  <c r="AW202" i="42" s="1"/>
  <c r="AW18" i="42"/>
  <c r="AS148" i="42"/>
  <c r="AG131" i="42"/>
  <c r="AR131" i="42" s="1"/>
  <c r="AG112" i="42"/>
  <c r="AR112" i="42" s="1"/>
  <c r="AG99" i="42"/>
  <c r="AR99" i="42" s="1"/>
  <c r="AG94" i="42"/>
  <c r="AR94" i="42" s="1"/>
  <c r="AG44" i="42"/>
  <c r="AR44" i="42" s="1"/>
  <c r="AS45" i="42"/>
  <c r="AQ41" i="42"/>
  <c r="AX39" i="42"/>
  <c r="AX41" i="42" s="1"/>
  <c r="AG32" i="42"/>
  <c r="AR32" i="42" s="1"/>
  <c r="V77" i="42"/>
  <c r="AC71" i="42"/>
  <c r="AB71" i="42"/>
  <c r="AA71" i="42"/>
  <c r="AS71" i="42"/>
  <c r="AS77" i="42" s="1"/>
  <c r="AC209" i="42"/>
  <c r="AG58" i="42"/>
  <c r="AR58" i="42" s="1"/>
  <c r="AA26" i="42"/>
  <c r="AG23" i="42"/>
  <c r="AG102" i="42"/>
  <c r="AR102" i="42" s="1"/>
  <c r="AG16" i="42"/>
  <c r="AR16" i="42" s="1"/>
  <c r="AX22" i="42"/>
  <c r="AQ162" i="42"/>
  <c r="AX157" i="42"/>
  <c r="AX162" i="42" s="1"/>
  <c r="AP199" i="42"/>
  <c r="AQ156" i="42"/>
  <c r="AX154" i="42"/>
  <c r="AX156" i="42" s="1"/>
  <c r="AG154" i="42"/>
  <c r="AA156" i="42"/>
  <c r="AB132" i="42"/>
  <c r="AU127" i="42"/>
  <c r="AU132" i="42" s="1"/>
  <c r="AC145" i="42"/>
  <c r="AV139" i="42"/>
  <c r="AV145" i="42" s="1"/>
  <c r="AC212" i="42"/>
  <c r="AV46" i="42"/>
  <c r="AC47" i="42"/>
  <c r="AA132" i="42"/>
  <c r="AG127" i="42"/>
  <c r="AB126" i="42"/>
  <c r="AU123" i="42"/>
  <c r="AU126" i="42" s="1"/>
  <c r="AG111" i="42"/>
  <c r="AR111" i="42" s="1"/>
  <c r="AQ86" i="42"/>
  <c r="AX80" i="42"/>
  <c r="AX86" i="42" s="1"/>
  <c r="AT206" i="42"/>
  <c r="AT65" i="42"/>
  <c r="AA153" i="42"/>
  <c r="AG149" i="42"/>
  <c r="AX212" i="42"/>
  <c r="AX47" i="42"/>
  <c r="AQ96" i="42"/>
  <c r="AX91" i="42"/>
  <c r="AX96" i="42" s="1"/>
  <c r="AG91" i="42"/>
  <c r="AA96" i="42"/>
  <c r="AA86" i="42"/>
  <c r="AG80" i="42"/>
  <c r="AB206" i="42"/>
  <c r="AB65" i="42"/>
  <c r="AU60" i="42"/>
  <c r="AQ59" i="42"/>
  <c r="AX54" i="42"/>
  <c r="AX59" i="42" s="1"/>
  <c r="AQ210" i="42"/>
  <c r="AX51" i="42"/>
  <c r="AX210" i="42" s="1"/>
  <c r="AS209" i="42"/>
  <c r="AQ116" i="42"/>
  <c r="AX114" i="42"/>
  <c r="AX116" i="42" s="1"/>
  <c r="AC26" i="42"/>
  <c r="AV23" i="42"/>
  <c r="AV26" i="42" s="1"/>
  <c r="AO199" i="42"/>
  <c r="AQ200" i="42" s="1"/>
  <c r="AC191" i="42"/>
  <c r="AV186" i="42"/>
  <c r="AV191" i="42" s="1"/>
  <c r="AG184" i="42"/>
  <c r="AR184" i="42" s="1"/>
  <c r="AY185" i="42"/>
  <c r="AY179" i="42"/>
  <c r="AZ172" i="42"/>
  <c r="AG193" i="42"/>
  <c r="AR193" i="42" s="1"/>
  <c r="AG183" i="42"/>
  <c r="AR183" i="42" s="1"/>
  <c r="AY166" i="42"/>
  <c r="AG188" i="42"/>
  <c r="AR188" i="42" s="1"/>
  <c r="AB191" i="42"/>
  <c r="AY162" i="42"/>
  <c r="AG155" i="42"/>
  <c r="AR155" i="42" s="1"/>
  <c r="AG194" i="42"/>
  <c r="AR194" i="42" s="1"/>
  <c r="AC198" i="42"/>
  <c r="AG178" i="42"/>
  <c r="AR178" i="42" s="1"/>
  <c r="AU179" i="42"/>
  <c r="AG168" i="42"/>
  <c r="AR168" i="42" s="1"/>
  <c r="AS172" i="42"/>
  <c r="AS162" i="42"/>
  <c r="AC156" i="42"/>
  <c r="AV154" i="42"/>
  <c r="AV156" i="42" s="1"/>
  <c r="AS132" i="42"/>
  <c r="AG176" i="42"/>
  <c r="AR176" i="42" s="1"/>
  <c r="AU185" i="42"/>
  <c r="AV162" i="42"/>
  <c r="AG139" i="42"/>
  <c r="AA145" i="42"/>
  <c r="AQ138" i="42"/>
  <c r="AX136" i="42"/>
  <c r="AX138" i="42" s="1"/>
  <c r="AU133" i="42"/>
  <c r="AU135" i="42" s="1"/>
  <c r="AB135" i="42"/>
  <c r="AG144" i="42"/>
  <c r="AR144" i="42" s="1"/>
  <c r="AG141" i="42"/>
  <c r="AR141" i="42" s="1"/>
  <c r="AG140" i="42"/>
  <c r="AR140" i="42" s="1"/>
  <c r="AG124" i="42"/>
  <c r="AR124" i="42" s="1"/>
  <c r="AA113" i="42"/>
  <c r="AG107" i="42"/>
  <c r="AX101" i="42"/>
  <c r="AX106" i="42" s="1"/>
  <c r="AQ106" i="42"/>
  <c r="AG88" i="42"/>
  <c r="AR88" i="42" s="1"/>
  <c r="AG150" i="42"/>
  <c r="AR150" i="42" s="1"/>
  <c r="AG130" i="42"/>
  <c r="AR130" i="42" s="1"/>
  <c r="AX123" i="42"/>
  <c r="AX126" i="42" s="1"/>
  <c r="AQ126" i="42"/>
  <c r="AG123" i="42"/>
  <c r="AA126" i="42"/>
  <c r="AU104" i="42"/>
  <c r="AG104" i="42"/>
  <c r="AR104" i="42" s="1"/>
  <c r="AC90" i="42"/>
  <c r="AV87" i="42"/>
  <c r="AV90" i="42" s="1"/>
  <c r="AB70" i="42"/>
  <c r="AU66" i="42"/>
  <c r="AU70" i="42" s="1"/>
  <c r="AS122" i="42"/>
  <c r="V204" i="42"/>
  <c r="AC48" i="42"/>
  <c r="AB48" i="42"/>
  <c r="AA48" i="42"/>
  <c r="V53" i="42"/>
  <c r="AS48" i="42"/>
  <c r="AC45" i="42"/>
  <c r="AV42" i="42"/>
  <c r="AV45" i="42" s="1"/>
  <c r="AS41" i="42"/>
  <c r="AA209" i="42"/>
  <c r="AG17" i="42"/>
  <c r="AX203" i="42"/>
  <c r="AX18" i="42"/>
  <c r="V203" i="42"/>
  <c r="V18" i="42"/>
  <c r="AC12" i="42"/>
  <c r="AS12" i="42"/>
  <c r="AB12" i="42"/>
  <c r="AA12" i="42"/>
  <c r="AG129" i="42"/>
  <c r="AR129" i="42" s="1"/>
  <c r="AG61" i="42"/>
  <c r="AR61" i="42" s="1"/>
  <c r="AG39" i="42"/>
  <c r="AG125" i="42"/>
  <c r="AR125" i="42" s="1"/>
  <c r="AY122" i="42"/>
  <c r="AY199" i="42" s="1"/>
  <c r="AS100" i="42"/>
  <c r="AC96" i="42"/>
  <c r="AV91" i="42"/>
  <c r="AV96" i="42" s="1"/>
  <c r="AG68" i="42"/>
  <c r="AR68" i="42" s="1"/>
  <c r="AW204" i="42"/>
  <c r="AA34" i="42"/>
  <c r="AB34" i="42"/>
  <c r="AU31" i="42"/>
  <c r="AU34" i="42" s="1"/>
  <c r="AX27" i="42"/>
  <c r="AX30" i="42" s="1"/>
  <c r="AQ30" i="42"/>
  <c r="AQ18" i="42"/>
  <c r="AO202" i="42"/>
  <c r="AQ201" i="42" s="1"/>
  <c r="AG84" i="42"/>
  <c r="AR84" i="42" s="1"/>
  <c r="AA206" i="42"/>
  <c r="AG60" i="42"/>
  <c r="AA65" i="42"/>
  <c r="AW212" i="42"/>
  <c r="AW47" i="42"/>
  <c r="AY22" i="42"/>
  <c r="AC148" i="42"/>
  <c r="AV146" i="42"/>
  <c r="AV148" i="42" s="1"/>
  <c r="AG98" i="42"/>
  <c r="AR98" i="42" s="1"/>
  <c r="AQ90" i="42"/>
  <c r="AX87" i="42"/>
  <c r="AX90" i="42" s="1"/>
  <c r="V211" i="42"/>
  <c r="AC78" i="42"/>
  <c r="V79" i="42"/>
  <c r="AS78" i="42"/>
  <c r="AB78" i="42"/>
  <c r="AA78" i="42"/>
  <c r="AQ204" i="42"/>
  <c r="AQ53" i="42"/>
  <c r="AX48" i="42"/>
  <c r="AY41" i="42"/>
  <c r="AZ34" i="42"/>
  <c r="AQ26" i="42"/>
  <c r="AX23" i="42"/>
  <c r="AX26" i="42" s="1"/>
  <c r="AB209" i="42"/>
  <c r="AU17" i="42"/>
  <c r="AU209" i="42" s="1"/>
  <c r="AZ203" i="42"/>
  <c r="AG93" i="42"/>
  <c r="AR93" i="42" s="1"/>
  <c r="AQ203" i="42"/>
  <c r="AQ202" i="42" s="1"/>
  <c r="AB59" i="42"/>
  <c r="AU54" i="42"/>
  <c r="AU59" i="42" s="1"/>
  <c r="AG54" i="42"/>
  <c r="AA59" i="42"/>
  <c r="AG69" i="42"/>
  <c r="AR69" i="42" s="1"/>
  <c r="AQ22" i="42"/>
  <c r="AR68" i="41"/>
  <c r="W144" i="41"/>
  <c r="V144" i="41"/>
  <c r="AC81" i="41"/>
  <c r="AV75" i="41"/>
  <c r="AV81" i="41" s="1"/>
  <c r="V154" i="41"/>
  <c r="AC19" i="41"/>
  <c r="AS19" i="41"/>
  <c r="AS154" i="41" s="1"/>
  <c r="AB19" i="41"/>
  <c r="AA19" i="41"/>
  <c r="AC104" i="41"/>
  <c r="AV102" i="41"/>
  <c r="AV104" i="41" s="1"/>
  <c r="AG27" i="41"/>
  <c r="AR22" i="41"/>
  <c r="AR27" i="41" s="1"/>
  <c r="AW148" i="41"/>
  <c r="AW21" i="41"/>
  <c r="AC153" i="41"/>
  <c r="AV15" i="41"/>
  <c r="AV153" i="41" s="1"/>
  <c r="AB45" i="41"/>
  <c r="AU39" i="41"/>
  <c r="AG39" i="41"/>
  <c r="AB60" i="41"/>
  <c r="AU53" i="41"/>
  <c r="AU60" i="41" s="1"/>
  <c r="AQ45" i="41"/>
  <c r="AX39" i="41"/>
  <c r="AX45" i="41" s="1"/>
  <c r="AZ155" i="41"/>
  <c r="AZ29" i="41"/>
  <c r="AA63" i="41"/>
  <c r="AO143" i="41"/>
  <c r="V156" i="41"/>
  <c r="AC96" i="41"/>
  <c r="V97" i="41"/>
  <c r="AA96" i="41"/>
  <c r="AS96" i="41"/>
  <c r="AB96" i="41"/>
  <c r="Z144" i="41"/>
  <c r="R144" i="41"/>
  <c r="AG131" i="41"/>
  <c r="AA135" i="41"/>
  <c r="AB81" i="41"/>
  <c r="AU75" i="41"/>
  <c r="AU81" i="41" s="1"/>
  <c r="AQ101" i="41"/>
  <c r="AX98" i="41"/>
  <c r="AX101" i="41" s="1"/>
  <c r="AS104" i="41"/>
  <c r="AC16" i="41"/>
  <c r="AV12" i="41"/>
  <c r="AR46" i="41"/>
  <c r="AX150" i="41"/>
  <c r="AX38" i="41"/>
  <c r="AB89" i="41"/>
  <c r="AU86" i="41"/>
  <c r="AU89" i="41" s="1"/>
  <c r="AG86" i="41"/>
  <c r="AA89" i="41"/>
  <c r="AA74" i="41"/>
  <c r="AG70" i="41"/>
  <c r="AR70" i="41" s="1"/>
  <c r="AS155" i="41"/>
  <c r="AS29" i="41"/>
  <c r="AG25" i="41"/>
  <c r="AR25" i="41" s="1"/>
  <c r="AG59" i="41"/>
  <c r="AR59" i="41" s="1"/>
  <c r="AG55" i="41"/>
  <c r="AR55" i="41" s="1"/>
  <c r="AU27" i="41"/>
  <c r="AG34" i="41"/>
  <c r="AR34" i="41" s="1"/>
  <c r="AG119" i="41"/>
  <c r="AA126" i="41"/>
  <c r="AS111" i="41"/>
  <c r="AW156" i="41"/>
  <c r="AW97" i="41"/>
  <c r="AW143" i="41" s="1"/>
  <c r="AG124" i="41"/>
  <c r="AR124" i="41" s="1"/>
  <c r="AG117" i="41"/>
  <c r="AR117" i="41" s="1"/>
  <c r="AS135" i="41"/>
  <c r="AV126" i="41"/>
  <c r="AG115" i="41"/>
  <c r="AR115" i="41" s="1"/>
  <c r="AU112" i="41"/>
  <c r="AU118" i="41" s="1"/>
  <c r="AB118" i="41"/>
  <c r="AB104" i="41"/>
  <c r="AU102" i="41"/>
  <c r="AU104" i="41" s="1"/>
  <c r="AZ95" i="41"/>
  <c r="AV90" i="41"/>
  <c r="AV95" i="41" s="1"/>
  <c r="AC95" i="41"/>
  <c r="AS81" i="41"/>
  <c r="V148" i="41"/>
  <c r="V146" i="41" s="1"/>
  <c r="AA145" i="41" s="1"/>
  <c r="AC17" i="41"/>
  <c r="V21" i="41"/>
  <c r="AS17" i="41"/>
  <c r="AB17" i="41"/>
  <c r="AA17" i="41"/>
  <c r="AO146" i="41"/>
  <c r="AU136" i="41"/>
  <c r="AU142" i="41" s="1"/>
  <c r="AB142" i="41"/>
  <c r="AY101" i="41"/>
  <c r="AG128" i="41"/>
  <c r="AR128" i="41" s="1"/>
  <c r="AG113" i="41"/>
  <c r="AR113" i="41" s="1"/>
  <c r="AY156" i="41"/>
  <c r="AY97" i="41"/>
  <c r="AS74" i="41"/>
  <c r="AG141" i="41"/>
  <c r="AR141" i="41" s="1"/>
  <c r="AX102" i="41"/>
  <c r="AX104" i="41" s="1"/>
  <c r="AQ104" i="41"/>
  <c r="AG102" i="41"/>
  <c r="AA104" i="41"/>
  <c r="AG121" i="41"/>
  <c r="AR121" i="41" s="1"/>
  <c r="AR82" i="41"/>
  <c r="AC60" i="41"/>
  <c r="AV53" i="41"/>
  <c r="AV60" i="41" s="1"/>
  <c r="AS52" i="41"/>
  <c r="AG37" i="41"/>
  <c r="AR37" i="41" s="1"/>
  <c r="AA38" i="41"/>
  <c r="AG18" i="41"/>
  <c r="AR18" i="41" s="1"/>
  <c r="AV61" i="41"/>
  <c r="AV63" i="41" s="1"/>
  <c r="AC63" i="41"/>
  <c r="AT147" i="41"/>
  <c r="AC89" i="41"/>
  <c r="AV86" i="41"/>
  <c r="AV89" i="41" s="1"/>
  <c r="AG71" i="41"/>
  <c r="AR71" i="41" s="1"/>
  <c r="AX64" i="41"/>
  <c r="AX67" i="41" s="1"/>
  <c r="AQ67" i="41"/>
  <c r="AG44" i="41"/>
  <c r="AR44" i="41" s="1"/>
  <c r="AT38" i="41"/>
  <c r="AT150" i="41"/>
  <c r="AQ32" i="41"/>
  <c r="AX30" i="41"/>
  <c r="AX32" i="41" s="1"/>
  <c r="AC29" i="41"/>
  <c r="AV28" i="41"/>
  <c r="AC155" i="41"/>
  <c r="AZ153" i="41"/>
  <c r="AZ147" i="41"/>
  <c r="AZ16" i="41"/>
  <c r="Z146" i="41"/>
  <c r="AG106" i="41"/>
  <c r="AR106" i="41" s="1"/>
  <c r="AG101" i="41"/>
  <c r="AG56" i="41"/>
  <c r="AR56" i="41" s="1"/>
  <c r="AY52" i="41"/>
  <c r="AG35" i="41"/>
  <c r="AR35" i="41" s="1"/>
  <c r="AU155" i="41"/>
  <c r="AU29" i="41"/>
  <c r="AB27" i="41"/>
  <c r="AX154" i="41"/>
  <c r="AT148" i="41"/>
  <c r="AT21" i="41"/>
  <c r="AS153" i="41"/>
  <c r="AG12" i="41"/>
  <c r="AA16" i="41"/>
  <c r="AG48" i="41"/>
  <c r="AR48" i="41" s="1"/>
  <c r="AG31" i="41"/>
  <c r="AR31" i="41" s="1"/>
  <c r="AU30" i="41"/>
  <c r="AU32" i="41" s="1"/>
  <c r="AB32" i="41"/>
  <c r="AY155" i="41"/>
  <c r="AY29" i="41"/>
  <c r="AG36" i="41"/>
  <c r="AR36" i="41" s="1"/>
  <c r="AX136" i="41"/>
  <c r="AX142" i="41" s="1"/>
  <c r="AQ142" i="41"/>
  <c r="AS126" i="41"/>
  <c r="AU133" i="41"/>
  <c r="AG133" i="41"/>
  <c r="AR133" i="41" s="1"/>
  <c r="AC135" i="41"/>
  <c r="AV131" i="41"/>
  <c r="AV135" i="41" s="1"/>
  <c r="AG136" i="41"/>
  <c r="AA142" i="41"/>
  <c r="AB150" i="41"/>
  <c r="AB38" i="41"/>
  <c r="AU33" i="41"/>
  <c r="AG33" i="41"/>
  <c r="AB95" i="41"/>
  <c r="AU90" i="41"/>
  <c r="AU95" i="41" s="1"/>
  <c r="AY89" i="41"/>
  <c r="AY143" i="41" s="1"/>
  <c r="AX68" i="41"/>
  <c r="AX74" i="41" s="1"/>
  <c r="AQ74" i="41"/>
  <c r="AQ147" i="41"/>
  <c r="AP146" i="41"/>
  <c r="AA153" i="41"/>
  <c r="AG15" i="41"/>
  <c r="AS16" i="41"/>
  <c r="AC127" i="41"/>
  <c r="AB127" i="41"/>
  <c r="AS127" i="41"/>
  <c r="AS130" i="41" s="1"/>
  <c r="AA127" i="41"/>
  <c r="V130" i="41"/>
  <c r="V143" i="41" s="1"/>
  <c r="AA144" i="41" s="1"/>
  <c r="AY85" i="41"/>
  <c r="AW150" i="41"/>
  <c r="AW38" i="41"/>
  <c r="AG69" i="41"/>
  <c r="AR69" i="41" s="1"/>
  <c r="AB111" i="41"/>
  <c r="AU105" i="41"/>
  <c r="AU111" i="41" s="1"/>
  <c r="AX119" i="41"/>
  <c r="AX126" i="41" s="1"/>
  <c r="AQ126" i="41"/>
  <c r="AC150" i="41"/>
  <c r="AV33" i="41"/>
  <c r="AC38" i="41"/>
  <c r="AC142" i="41"/>
  <c r="AV136" i="41"/>
  <c r="AV142" i="41" s="1"/>
  <c r="AT95" i="41"/>
  <c r="AB74" i="41"/>
  <c r="AU68" i="41"/>
  <c r="AU74" i="41" s="1"/>
  <c r="AC118" i="41"/>
  <c r="AS95" i="41"/>
  <c r="AA111" i="41"/>
  <c r="AG105" i="41"/>
  <c r="AC83" i="41"/>
  <c r="AA83" i="41"/>
  <c r="AS83" i="41"/>
  <c r="AS85" i="41" s="1"/>
  <c r="V85" i="41"/>
  <c r="AB83" i="41"/>
  <c r="AG75" i="41"/>
  <c r="AG66" i="41"/>
  <c r="AR66" i="41" s="1"/>
  <c r="AX21" i="41"/>
  <c r="AA27" i="41"/>
  <c r="AG116" i="41"/>
  <c r="AR116" i="41" s="1"/>
  <c r="AX16" i="41"/>
  <c r="AG79" i="41"/>
  <c r="AR79" i="41" s="1"/>
  <c r="AS60" i="41"/>
  <c r="AQ52" i="41"/>
  <c r="AX46" i="41"/>
  <c r="AX52" i="41" s="1"/>
  <c r="AY45" i="41"/>
  <c r="AB153" i="41"/>
  <c r="AU15" i="41"/>
  <c r="AU153" i="41" s="1"/>
  <c r="AG76" i="41"/>
  <c r="AR76" i="41" s="1"/>
  <c r="AG49" i="41"/>
  <c r="AR49" i="41" s="1"/>
  <c r="AG30" i="41"/>
  <c r="AA32" i="41"/>
  <c r="AQ155" i="41"/>
  <c r="AQ29" i="41"/>
  <c r="AX28" i="41"/>
  <c r="AX131" i="41"/>
  <c r="AX135" i="41" s="1"/>
  <c r="AQ135" i="41"/>
  <c r="AP143" i="41"/>
  <c r="AB126" i="41"/>
  <c r="AU119" i="41"/>
  <c r="AU126" i="41" s="1"/>
  <c r="AT156" i="41"/>
  <c r="AT97" i="41"/>
  <c r="AT143" i="41" s="1"/>
  <c r="AU131" i="41"/>
  <c r="AB135" i="41"/>
  <c r="AC126" i="41"/>
  <c r="AX118" i="41"/>
  <c r="AG112" i="41"/>
  <c r="AA118" i="41"/>
  <c r="AS101" i="41"/>
  <c r="AG91" i="41"/>
  <c r="AR91" i="41" s="1"/>
  <c r="AA64" i="41"/>
  <c r="AA147" i="41" s="1"/>
  <c r="V67" i="41"/>
  <c r="AS64" i="41"/>
  <c r="AS67" i="41" s="1"/>
  <c r="AC64" i="41"/>
  <c r="AB64" i="41"/>
  <c r="R146" i="41"/>
  <c r="V145" i="41" s="1"/>
  <c r="AS142" i="41"/>
  <c r="AG120" i="41"/>
  <c r="AR120" i="41" s="1"/>
  <c r="AG134" i="41"/>
  <c r="AR134" i="41" s="1"/>
  <c r="AG122" i="41"/>
  <c r="AR122" i="41" s="1"/>
  <c r="AU101" i="41"/>
  <c r="AQ156" i="41"/>
  <c r="AQ97" i="41"/>
  <c r="AX96" i="41"/>
  <c r="AS150" i="41"/>
  <c r="AS38" i="41"/>
  <c r="AX107" i="41"/>
  <c r="AX111" i="41" s="1"/>
  <c r="AQ111" i="41"/>
  <c r="AA95" i="41"/>
  <c r="AG90" i="41"/>
  <c r="AQ89" i="41"/>
  <c r="AX86" i="41"/>
  <c r="AX89" i="41" s="1"/>
  <c r="AG78" i="41"/>
  <c r="AR78" i="41" s="1"/>
  <c r="AZ74" i="41"/>
  <c r="AZ143" i="41" s="1"/>
  <c r="AC52" i="41"/>
  <c r="AV46" i="41"/>
  <c r="AV52" i="41" s="1"/>
  <c r="AA150" i="41"/>
  <c r="AA155" i="41"/>
  <c r="AG28" i="41"/>
  <c r="AA29" i="41"/>
  <c r="AQ148" i="41"/>
  <c r="AQ153" i="41"/>
  <c r="AY147" i="41"/>
  <c r="AG72" i="41"/>
  <c r="AR72" i="41" s="1"/>
  <c r="AU61" i="41"/>
  <c r="AU63" i="41" s="1"/>
  <c r="AB63" i="41"/>
  <c r="AG50" i="41"/>
  <c r="AR50" i="41" s="1"/>
  <c r="AQ150" i="41"/>
  <c r="AQ27" i="41"/>
  <c r="AX22" i="41"/>
  <c r="AX27" i="41" s="1"/>
  <c r="AW147" i="41"/>
  <c r="AW146" i="41" s="1"/>
  <c r="AW16" i="41"/>
  <c r="AG137" i="41"/>
  <c r="AR137" i="41" s="1"/>
  <c r="AS89" i="41"/>
  <c r="AB52" i="41"/>
  <c r="AU46" i="41"/>
  <c r="AU52" i="41" s="1"/>
  <c r="AU43" i="41"/>
  <c r="AG43" i="41"/>
  <c r="AR43" i="41" s="1"/>
  <c r="AG40" i="41"/>
  <c r="AR40" i="41" s="1"/>
  <c r="AC32" i="41"/>
  <c r="AV30" i="41"/>
  <c r="AV32" i="41" s="1"/>
  <c r="AG138" i="41"/>
  <c r="AR138" i="41" s="1"/>
  <c r="AG109" i="41"/>
  <c r="AR109" i="41" s="1"/>
  <c r="AA101" i="41"/>
  <c r="AG57" i="41"/>
  <c r="AR57" i="41" s="1"/>
  <c r="AG53" i="41"/>
  <c r="AA60" i="41"/>
  <c r="AQ154" i="41"/>
  <c r="AG13" i="41"/>
  <c r="AR13" i="41" s="1"/>
  <c r="AB147" i="41"/>
  <c r="AB16" i="41"/>
  <c r="AU12" i="41"/>
  <c r="AQ85" i="41"/>
  <c r="AX82" i="41"/>
  <c r="AX85" i="41" s="1"/>
  <c r="AG65" i="41"/>
  <c r="AR65" i="41" s="1"/>
  <c r="AY150" i="41"/>
  <c r="AS32" i="41"/>
  <c r="AZ148" i="41"/>
  <c r="AG61" i="41"/>
  <c r="W166" i="40"/>
  <c r="V166" i="40"/>
  <c r="AC164" i="40"/>
  <c r="AV161" i="40"/>
  <c r="AV164" i="40" s="1"/>
  <c r="AB160" i="40"/>
  <c r="AU155" i="40"/>
  <c r="AU160" i="40" s="1"/>
  <c r="AC151" i="40"/>
  <c r="AV145" i="40"/>
  <c r="AV151" i="40" s="1"/>
  <c r="AU129" i="40"/>
  <c r="AG129" i="40"/>
  <c r="AR129" i="40" s="1"/>
  <c r="AX89" i="40"/>
  <c r="AX92" i="40" s="1"/>
  <c r="AQ92" i="40"/>
  <c r="AB110" i="40"/>
  <c r="AU109" i="40"/>
  <c r="AU110" i="40" s="1"/>
  <c r="AC127" i="40"/>
  <c r="AV125" i="40"/>
  <c r="AV127" i="40" s="1"/>
  <c r="AY172" i="40"/>
  <c r="AQ60" i="40"/>
  <c r="AX54" i="40"/>
  <c r="AG54" i="40"/>
  <c r="AA60" i="40"/>
  <c r="AS171" i="40"/>
  <c r="AS38" i="40"/>
  <c r="AS23" i="40"/>
  <c r="AY169" i="40"/>
  <c r="AY15" i="40"/>
  <c r="AG83" i="40"/>
  <c r="AR83" i="40" s="1"/>
  <c r="AB102" i="40"/>
  <c r="AU99" i="40"/>
  <c r="AU102" i="40" s="1"/>
  <c r="AS67" i="40"/>
  <c r="AB178" i="40"/>
  <c r="AB25" i="40"/>
  <c r="AU24" i="40"/>
  <c r="AA23" i="40"/>
  <c r="AG20" i="40"/>
  <c r="AQ19" i="40"/>
  <c r="AX16" i="40"/>
  <c r="AX19" i="40" s="1"/>
  <c r="V169" i="40"/>
  <c r="AA12" i="40"/>
  <c r="V15" i="40"/>
  <c r="AS12" i="40"/>
  <c r="AC12" i="40"/>
  <c r="AB12" i="40"/>
  <c r="AB176" i="40"/>
  <c r="AZ164" i="40"/>
  <c r="AZ165" i="40" s="1"/>
  <c r="Z166" i="40"/>
  <c r="R166" i="40"/>
  <c r="AQ164" i="40"/>
  <c r="AU161" i="40"/>
  <c r="AU164" i="40" s="1"/>
  <c r="AB164" i="40"/>
  <c r="AS160" i="40"/>
  <c r="AQ110" i="40"/>
  <c r="AX109" i="40"/>
  <c r="AX110" i="40" s="1"/>
  <c r="AG157" i="40"/>
  <c r="AR157" i="40" s="1"/>
  <c r="AB154" i="40"/>
  <c r="AU152" i="40"/>
  <c r="AU154" i="40" s="1"/>
  <c r="AG156" i="40"/>
  <c r="AR156" i="40" s="1"/>
  <c r="AG145" i="40"/>
  <c r="AA151" i="40"/>
  <c r="AG125" i="40"/>
  <c r="AA127" i="40"/>
  <c r="AG104" i="40"/>
  <c r="AR104" i="40" s="1"/>
  <c r="AQ177" i="40"/>
  <c r="AQ53" i="40"/>
  <c r="AX52" i="40"/>
  <c r="AG135" i="40"/>
  <c r="AR135" i="40" s="1"/>
  <c r="AG113" i="40"/>
  <c r="AR113" i="40" s="1"/>
  <c r="AG112" i="40"/>
  <c r="AR112" i="40" s="1"/>
  <c r="AC114" i="40"/>
  <c r="AV111" i="40"/>
  <c r="AV114" i="40" s="1"/>
  <c r="AS108" i="40"/>
  <c r="AC98" i="40"/>
  <c r="AV93" i="40"/>
  <c r="AV98" i="40" s="1"/>
  <c r="AA144" i="40"/>
  <c r="AG138" i="40"/>
  <c r="AG123" i="40"/>
  <c r="AR123" i="40" s="1"/>
  <c r="AA124" i="40"/>
  <c r="AG119" i="40"/>
  <c r="AC124" i="40"/>
  <c r="AV119" i="40"/>
  <c r="AV124" i="40" s="1"/>
  <c r="AZ118" i="40"/>
  <c r="AU79" i="40"/>
  <c r="AG79" i="40"/>
  <c r="AR79" i="40" s="1"/>
  <c r="AS81" i="40"/>
  <c r="AG139" i="40"/>
  <c r="AR139" i="40" s="1"/>
  <c r="AS118" i="40"/>
  <c r="AG91" i="40"/>
  <c r="AR91" i="40" s="1"/>
  <c r="AG64" i="40"/>
  <c r="AR64" i="40" s="1"/>
  <c r="AY60" i="40"/>
  <c r="AA171" i="40"/>
  <c r="AG33" i="40"/>
  <c r="AA38" i="40"/>
  <c r="AQ178" i="40"/>
  <c r="AG50" i="40"/>
  <c r="AR50" i="40" s="1"/>
  <c r="AG46" i="40"/>
  <c r="AR46" i="40" s="1"/>
  <c r="AC51" i="40"/>
  <c r="AV45" i="40"/>
  <c r="AV51" i="40" s="1"/>
  <c r="AQ173" i="40"/>
  <c r="AX28" i="40"/>
  <c r="AX173" i="40" s="1"/>
  <c r="AQ51" i="40"/>
  <c r="AX45" i="40"/>
  <c r="AX51" i="40" s="1"/>
  <c r="AG41" i="40"/>
  <c r="AR41" i="40" s="1"/>
  <c r="AG35" i="40"/>
  <c r="AR35" i="40" s="1"/>
  <c r="AQ176" i="40"/>
  <c r="AX30" i="40"/>
  <c r="AX176" i="40" s="1"/>
  <c r="AC178" i="40"/>
  <c r="AV24" i="40"/>
  <c r="AC25" i="40"/>
  <c r="AB23" i="40"/>
  <c r="AU20" i="40"/>
  <c r="AU23" i="40" s="1"/>
  <c r="AG16" i="40"/>
  <c r="AA19" i="40"/>
  <c r="AQ169" i="40"/>
  <c r="AQ15" i="40"/>
  <c r="AX12" i="40"/>
  <c r="AC130" i="40"/>
  <c r="AV128" i="40"/>
  <c r="AV130" i="40" s="1"/>
  <c r="AG47" i="40"/>
  <c r="AR47" i="40" s="1"/>
  <c r="AG37" i="40"/>
  <c r="AR37" i="40" s="1"/>
  <c r="AG122" i="40"/>
  <c r="AR122" i="40" s="1"/>
  <c r="AS102" i="40"/>
  <c r="AU98" i="40"/>
  <c r="AS74" i="40"/>
  <c r="AS176" i="40"/>
  <c r="V170" i="40"/>
  <c r="AA26" i="40"/>
  <c r="V32" i="40"/>
  <c r="AB26" i="40"/>
  <c r="AS26" i="40"/>
  <c r="AC26" i="40"/>
  <c r="AG22" i="40"/>
  <c r="AR22" i="40" s="1"/>
  <c r="AA92" i="40"/>
  <c r="AC38" i="40"/>
  <c r="AG29" i="40"/>
  <c r="AR29" i="40" s="1"/>
  <c r="AG78" i="40"/>
  <c r="AR78" i="40" s="1"/>
  <c r="AB108" i="40"/>
  <c r="AU103" i="40"/>
  <c r="AU108" i="40" s="1"/>
  <c r="AC177" i="40"/>
  <c r="AV52" i="40"/>
  <c r="AC53" i="40"/>
  <c r="AU90" i="40"/>
  <c r="AG90" i="40"/>
  <c r="AR90" i="40" s="1"/>
  <c r="AB177" i="40"/>
  <c r="AB53" i="40"/>
  <c r="AU52" i="40"/>
  <c r="AG52" i="40"/>
  <c r="AB118" i="40"/>
  <c r="AU115" i="40"/>
  <c r="AU118" i="40" s="1"/>
  <c r="AR24" i="40"/>
  <c r="AG25" i="40"/>
  <c r="AQ175" i="40"/>
  <c r="AX14" i="40"/>
  <c r="AX175" i="40" s="1"/>
  <c r="AQ98" i="40"/>
  <c r="AB74" i="40"/>
  <c r="AU68" i="40"/>
  <c r="AU74" i="40" s="1"/>
  <c r="AV171" i="40"/>
  <c r="AV38" i="40"/>
  <c r="AP165" i="40"/>
  <c r="AQ166" i="40" s="1"/>
  <c r="AQ154" i="40"/>
  <c r="AX152" i="40"/>
  <c r="AX154" i="40" s="1"/>
  <c r="AY151" i="40"/>
  <c r="AS164" i="40"/>
  <c r="AG146" i="40"/>
  <c r="AR146" i="40" s="1"/>
  <c r="AG141" i="40"/>
  <c r="AR141" i="40" s="1"/>
  <c r="AX138" i="40"/>
  <c r="AX144" i="40" s="1"/>
  <c r="AQ144" i="40"/>
  <c r="AC160" i="40"/>
  <c r="AV155" i="40"/>
  <c r="AV160" i="40" s="1"/>
  <c r="AX151" i="40"/>
  <c r="AG132" i="40"/>
  <c r="AR132" i="40" s="1"/>
  <c r="AX128" i="40"/>
  <c r="AX130" i="40" s="1"/>
  <c r="AQ130" i="40"/>
  <c r="AS154" i="40"/>
  <c r="AC131" i="40"/>
  <c r="V137" i="40"/>
  <c r="AB131" i="40"/>
  <c r="AS131" i="40"/>
  <c r="AS137" i="40" s="1"/>
  <c r="AA131" i="40"/>
  <c r="AG148" i="40"/>
  <c r="AR148" i="40" s="1"/>
  <c r="AS151" i="40"/>
  <c r="AG134" i="40"/>
  <c r="AR134" i="40" s="1"/>
  <c r="AG133" i="40"/>
  <c r="AR133" i="40" s="1"/>
  <c r="AZ171" i="40"/>
  <c r="AZ38" i="40"/>
  <c r="AQ114" i="40"/>
  <c r="AX111" i="40"/>
  <c r="AX114" i="40" s="1"/>
  <c r="AG111" i="40"/>
  <c r="AA114" i="40"/>
  <c r="AG93" i="40"/>
  <c r="AA98" i="40"/>
  <c r="AG140" i="40"/>
  <c r="AR140" i="40" s="1"/>
  <c r="AB144" i="40"/>
  <c r="AU138" i="40"/>
  <c r="AU144" i="40" s="1"/>
  <c r="AS144" i="40"/>
  <c r="AU119" i="40"/>
  <c r="AU124" i="40" s="1"/>
  <c r="AB124" i="40"/>
  <c r="AB81" i="40"/>
  <c r="AU75" i="40"/>
  <c r="AG75" i="40"/>
  <c r="AC118" i="40"/>
  <c r="AV115" i="40"/>
  <c r="AV118" i="40" s="1"/>
  <c r="AQ88" i="40"/>
  <c r="AX82" i="40"/>
  <c r="AX88" i="40" s="1"/>
  <c r="AG57" i="40"/>
  <c r="AR57" i="40" s="1"/>
  <c r="V172" i="40"/>
  <c r="AA55" i="40"/>
  <c r="AC55" i="40"/>
  <c r="AS55" i="40"/>
  <c r="AB55" i="40"/>
  <c r="AS51" i="40"/>
  <c r="AB19" i="40"/>
  <c r="AU16" i="40"/>
  <c r="AU19" i="40" s="1"/>
  <c r="AZ169" i="40"/>
  <c r="AZ168" i="40" s="1"/>
  <c r="AT171" i="40"/>
  <c r="AT38" i="40"/>
  <c r="AA44" i="40"/>
  <c r="AY171" i="40"/>
  <c r="AY38" i="40"/>
  <c r="AY176" i="40"/>
  <c r="AY170" i="40"/>
  <c r="AY32" i="40"/>
  <c r="AG18" i="40"/>
  <c r="AR18" i="40" s="1"/>
  <c r="AF168" i="40"/>
  <c r="AU128" i="40"/>
  <c r="AB130" i="40"/>
  <c r="AG87" i="40"/>
  <c r="AR87" i="40" s="1"/>
  <c r="AW169" i="40"/>
  <c r="AP27" i="47" s="1"/>
  <c r="AA102" i="40"/>
  <c r="AG99" i="40"/>
  <c r="AG95" i="40"/>
  <c r="AR95" i="40" s="1"/>
  <c r="AB98" i="40"/>
  <c r="AG61" i="40"/>
  <c r="AA67" i="40"/>
  <c r="AU54" i="40"/>
  <c r="AW171" i="40"/>
  <c r="AP29" i="47" s="1"/>
  <c r="AW38" i="40"/>
  <c r="AA176" i="40"/>
  <c r="AG30" i="40"/>
  <c r="V173" i="40"/>
  <c r="AS28" i="40"/>
  <c r="AS173" i="40" s="1"/>
  <c r="AA28" i="40"/>
  <c r="AB28" i="40"/>
  <c r="AC28" i="40"/>
  <c r="AW178" i="40"/>
  <c r="AP36" i="47" s="1"/>
  <c r="AW25" i="40"/>
  <c r="AG21" i="40"/>
  <c r="AR21" i="40" s="1"/>
  <c r="V175" i="40"/>
  <c r="AA14" i="40"/>
  <c r="AB14" i="40"/>
  <c r="AC14" i="40"/>
  <c r="AS14" i="40"/>
  <c r="AS175" i="40" s="1"/>
  <c r="AC19" i="40"/>
  <c r="AV16" i="40"/>
  <c r="AV19" i="40" s="1"/>
  <c r="AG43" i="40"/>
  <c r="AR43" i="40" s="1"/>
  <c r="AG13" i="40"/>
  <c r="AR13" i="40" s="1"/>
  <c r="AC171" i="40"/>
  <c r="AG100" i="40"/>
  <c r="AR100" i="40" s="1"/>
  <c r="AU51" i="40"/>
  <c r="AG40" i="40"/>
  <c r="AR40" i="40" s="1"/>
  <c r="AQ127" i="40"/>
  <c r="AX125" i="40"/>
  <c r="AX127" i="40" s="1"/>
  <c r="AG152" i="40"/>
  <c r="AA154" i="40"/>
  <c r="AY177" i="40"/>
  <c r="AY53" i="40"/>
  <c r="AX115" i="40"/>
  <c r="AX118" i="40" s="1"/>
  <c r="AQ118" i="40"/>
  <c r="AQ67" i="40"/>
  <c r="AX61" i="40"/>
  <c r="AX67" i="40" s="1"/>
  <c r="V88" i="40"/>
  <c r="V165" i="40" s="1"/>
  <c r="AA166" i="40" s="1"/>
  <c r="AA82" i="40"/>
  <c r="AC82" i="40"/>
  <c r="AS82" i="40"/>
  <c r="AS88" i="40" s="1"/>
  <c r="AB82" i="40"/>
  <c r="AS44" i="40"/>
  <c r="AT178" i="40"/>
  <c r="AT25" i="40"/>
  <c r="AA130" i="40"/>
  <c r="AG128" i="40"/>
  <c r="AA177" i="40"/>
  <c r="AQ44" i="40"/>
  <c r="AX39" i="40"/>
  <c r="AX44" i="40" s="1"/>
  <c r="AG163" i="40"/>
  <c r="AR163" i="40" s="1"/>
  <c r="Z165" i="40"/>
  <c r="AA164" i="40"/>
  <c r="AG161" i="40"/>
  <c r="AG158" i="40"/>
  <c r="AR158" i="40" s="1"/>
  <c r="AY144" i="40"/>
  <c r="AY165" i="40" s="1"/>
  <c r="AX166" i="40" s="1"/>
  <c r="AA160" i="40"/>
  <c r="AG155" i="40"/>
  <c r="AQ151" i="40"/>
  <c r="AG136" i="40"/>
  <c r="AR136" i="40" s="1"/>
  <c r="AY137" i="40"/>
  <c r="AC154" i="40"/>
  <c r="AV152" i="40"/>
  <c r="AV154" i="40" s="1"/>
  <c r="AG150" i="40"/>
  <c r="AR150" i="40" s="1"/>
  <c r="AG149" i="40"/>
  <c r="AR149" i="40" s="1"/>
  <c r="AB151" i="40"/>
  <c r="AU145" i="40"/>
  <c r="AU151" i="40" s="1"/>
  <c r="AB127" i="40"/>
  <c r="AU125" i="40"/>
  <c r="AU127" i="40" s="1"/>
  <c r="AG121" i="40"/>
  <c r="AR121" i="40" s="1"/>
  <c r="AQ102" i="40"/>
  <c r="AX99" i="40"/>
  <c r="AX102" i="40" s="1"/>
  <c r="AG142" i="40"/>
  <c r="AR142" i="40" s="1"/>
  <c r="AG126" i="40"/>
  <c r="AR126" i="40" s="1"/>
  <c r="AY114" i="40"/>
  <c r="AG107" i="40"/>
  <c r="AR107" i="40" s="1"/>
  <c r="AA108" i="40"/>
  <c r="AG103" i="40"/>
  <c r="AC108" i="40"/>
  <c r="AV103" i="40"/>
  <c r="AV108" i="40" s="1"/>
  <c r="AG97" i="40"/>
  <c r="AR97" i="40" s="1"/>
  <c r="AB92" i="40"/>
  <c r="AU89" i="40"/>
  <c r="AU92" i="40" s="1"/>
  <c r="AC144" i="40"/>
  <c r="AV138" i="40"/>
  <c r="AV144" i="40" s="1"/>
  <c r="AX137" i="40"/>
  <c r="AS124" i="40"/>
  <c r="AG109" i="40"/>
  <c r="AS98" i="40"/>
  <c r="AU80" i="40"/>
  <c r="AG80" i="40"/>
  <c r="AR80" i="40" s="1"/>
  <c r="AU76" i="40"/>
  <c r="AG76" i="40"/>
  <c r="AR76" i="40" s="1"/>
  <c r="AS177" i="40"/>
  <c r="AS53" i="40"/>
  <c r="AG115" i="40"/>
  <c r="AA118" i="40"/>
  <c r="AG101" i="40"/>
  <c r="AR101" i="40" s="1"/>
  <c r="AY88" i="40"/>
  <c r="AQ172" i="40"/>
  <c r="AX55" i="40"/>
  <c r="AX172" i="40" s="1"/>
  <c r="AC60" i="40"/>
  <c r="AV54" i="40"/>
  <c r="AG34" i="40"/>
  <c r="AR34" i="40" s="1"/>
  <c r="AC176" i="40"/>
  <c r="AV30" i="40"/>
  <c r="AV176" i="40" s="1"/>
  <c r="AG89" i="40"/>
  <c r="AG48" i="40"/>
  <c r="AR48" i="40" s="1"/>
  <c r="AA51" i="40"/>
  <c r="AG45" i="40"/>
  <c r="AG105" i="40"/>
  <c r="AR105" i="40" s="1"/>
  <c r="AB44" i="40"/>
  <c r="AU39" i="40"/>
  <c r="AU44" i="40" s="1"/>
  <c r="AQ171" i="40"/>
  <c r="AQ38" i="40"/>
  <c r="AX33" i="40"/>
  <c r="AQ170" i="40"/>
  <c r="AQ32" i="40"/>
  <c r="AX26" i="40"/>
  <c r="AX178" i="40"/>
  <c r="AX25" i="40"/>
  <c r="AG17" i="40"/>
  <c r="AR17" i="40" s="1"/>
  <c r="AY175" i="40"/>
  <c r="Z168" i="40"/>
  <c r="AS130" i="40"/>
  <c r="AG49" i="40"/>
  <c r="AR49" i="40" s="1"/>
  <c r="AC102" i="40"/>
  <c r="AV99" i="40"/>
  <c r="AV102" i="40" s="1"/>
  <c r="AX98" i="40"/>
  <c r="AG73" i="40"/>
  <c r="AR73" i="40" s="1"/>
  <c r="AG72" i="40"/>
  <c r="AR72" i="40" s="1"/>
  <c r="AG71" i="40"/>
  <c r="AR71" i="40" s="1"/>
  <c r="AG70" i="40"/>
  <c r="AR70" i="40" s="1"/>
  <c r="AG69" i="40"/>
  <c r="AR69" i="40" s="1"/>
  <c r="AA74" i="40"/>
  <c r="AG68" i="40"/>
  <c r="AC74" i="40"/>
  <c r="AV68" i="40"/>
  <c r="AV74" i="40" s="1"/>
  <c r="AG63" i="40"/>
  <c r="AR63" i="40" s="1"/>
  <c r="AB67" i="40"/>
  <c r="AU61" i="40"/>
  <c r="AU67" i="40" s="1"/>
  <c r="AB171" i="40"/>
  <c r="AB38" i="40"/>
  <c r="AU33" i="40"/>
  <c r="AT170" i="40"/>
  <c r="AT32" i="40"/>
  <c r="AS178" i="40"/>
  <c r="AS25" i="40"/>
  <c r="AP168" i="40"/>
  <c r="AQ167" i="40" s="1"/>
  <c r="AW170" i="40"/>
  <c r="AP28" i="47" s="1"/>
  <c r="AT60" i="40"/>
  <c r="AT165" i="40" s="1"/>
  <c r="AU176" i="40"/>
  <c r="AT169" i="40"/>
  <c r="AB51" i="40"/>
  <c r="AG39" i="40"/>
  <c r="AG27" i="40"/>
  <c r="AR27" i="40" s="1"/>
  <c r="AR19" i="39"/>
  <c r="AQ117" i="39"/>
  <c r="AX115" i="39"/>
  <c r="AX117" i="39" s="1"/>
  <c r="AS114" i="39"/>
  <c r="AV115" i="39"/>
  <c r="AV117" i="39" s="1"/>
  <c r="AC117" i="39"/>
  <c r="AS86" i="39"/>
  <c r="Z124" i="39"/>
  <c r="R124" i="39"/>
  <c r="AT135" i="39"/>
  <c r="AT44" i="39"/>
  <c r="AT123" i="39" s="1"/>
  <c r="AS129" i="39"/>
  <c r="AS42" i="39"/>
  <c r="AT127" i="39"/>
  <c r="AT18" i="39"/>
  <c r="AS136" i="39"/>
  <c r="AS13" i="39"/>
  <c r="AQ127" i="39"/>
  <c r="AB65" i="39"/>
  <c r="AU59" i="39"/>
  <c r="AU65" i="39" s="1"/>
  <c r="AB56" i="39"/>
  <c r="AU51" i="39"/>
  <c r="AQ50" i="39"/>
  <c r="AB46" i="39"/>
  <c r="AU45" i="39"/>
  <c r="AU46" i="39" s="1"/>
  <c r="AB36" i="39"/>
  <c r="AU31" i="39"/>
  <c r="AU36" i="39" s="1"/>
  <c r="AU108" i="39"/>
  <c r="AU114" i="39" s="1"/>
  <c r="AB114" i="39"/>
  <c r="AS93" i="39"/>
  <c r="AQ56" i="39"/>
  <c r="AX51" i="39"/>
  <c r="AX56" i="39" s="1"/>
  <c r="AG121" i="39"/>
  <c r="AR121" i="39" s="1"/>
  <c r="AP123" i="39"/>
  <c r="AB100" i="39"/>
  <c r="AG74" i="39"/>
  <c r="AR74" i="39" s="1"/>
  <c r="AC58" i="39"/>
  <c r="AV57" i="39"/>
  <c r="AV58" i="39" s="1"/>
  <c r="AB129" i="39"/>
  <c r="AU37" i="39"/>
  <c r="AB42" i="39"/>
  <c r="AQ36" i="39"/>
  <c r="AX31" i="39"/>
  <c r="AX36" i="39" s="1"/>
  <c r="AQ134" i="39"/>
  <c r="AX22" i="39"/>
  <c r="AX134" i="39" s="1"/>
  <c r="AG90" i="39"/>
  <c r="AR90" i="39" s="1"/>
  <c r="AA50" i="39"/>
  <c r="AG47" i="39"/>
  <c r="AS65" i="39"/>
  <c r="AS56" i="39"/>
  <c r="AT129" i="39"/>
  <c r="AT42" i="39"/>
  <c r="AB30" i="39"/>
  <c r="AU25" i="39"/>
  <c r="AC128" i="39"/>
  <c r="AV19" i="39"/>
  <c r="AZ136" i="39"/>
  <c r="AZ13" i="39"/>
  <c r="AZ128" i="39"/>
  <c r="AQ135" i="39"/>
  <c r="AQ44" i="39"/>
  <c r="AX43" i="39"/>
  <c r="AS36" i="39"/>
  <c r="AQ130" i="39"/>
  <c r="AQ30" i="39"/>
  <c r="AX25" i="39"/>
  <c r="AG119" i="39"/>
  <c r="AR119" i="39" s="1"/>
  <c r="AG110" i="39"/>
  <c r="AR110" i="39" s="1"/>
  <c r="AU87" i="39"/>
  <c r="AU93" i="39" s="1"/>
  <c r="AB93" i="39"/>
  <c r="AG84" i="39"/>
  <c r="AR84" i="39" s="1"/>
  <c r="AG80" i="39"/>
  <c r="AA86" i="39"/>
  <c r="AF124" i="39"/>
  <c r="AA118" i="39"/>
  <c r="V122" i="39"/>
  <c r="AC118" i="39"/>
  <c r="AS118" i="39"/>
  <c r="AS122" i="39" s="1"/>
  <c r="AB118" i="39"/>
  <c r="AQ107" i="39"/>
  <c r="AX101" i="39"/>
  <c r="AX107" i="39" s="1"/>
  <c r="AS107" i="39"/>
  <c r="AG89" i="39"/>
  <c r="AR89" i="39" s="1"/>
  <c r="AG106" i="39"/>
  <c r="AR106" i="39" s="1"/>
  <c r="AG92" i="39"/>
  <c r="AR92" i="39" s="1"/>
  <c r="AA93" i="39"/>
  <c r="AG87" i="39"/>
  <c r="AG57" i="39"/>
  <c r="AA58" i="39"/>
  <c r="AO123" i="39"/>
  <c r="AQ124" i="39" s="1"/>
  <c r="AB107" i="39"/>
  <c r="AG105" i="39"/>
  <c r="AR105" i="39" s="1"/>
  <c r="AG104" i="39"/>
  <c r="AR104" i="39" s="1"/>
  <c r="AG103" i="39"/>
  <c r="AR103" i="39" s="1"/>
  <c r="AG102" i="39"/>
  <c r="AR102" i="39" s="1"/>
  <c r="AQ79" i="39"/>
  <c r="AG61" i="39"/>
  <c r="AR61" i="39" s="1"/>
  <c r="AG41" i="39"/>
  <c r="AR41" i="39" s="1"/>
  <c r="AS30" i="39"/>
  <c r="AY134" i="39"/>
  <c r="AW128" i="39"/>
  <c r="V133" i="39"/>
  <c r="AC17" i="39"/>
  <c r="AS17" i="39"/>
  <c r="AS133" i="39" s="1"/>
  <c r="AB17" i="39"/>
  <c r="AA17" i="39"/>
  <c r="V127" i="39"/>
  <c r="AC14" i="39"/>
  <c r="V18" i="39"/>
  <c r="AS14" i="39"/>
  <c r="AB14" i="39"/>
  <c r="AA14" i="39"/>
  <c r="AB136" i="39"/>
  <c r="AB13" i="39"/>
  <c r="AU12" i="39"/>
  <c r="AY127" i="39"/>
  <c r="AG91" i="39"/>
  <c r="AR91" i="39" s="1"/>
  <c r="AA65" i="39"/>
  <c r="AG59" i="39"/>
  <c r="AW127" i="39"/>
  <c r="AW18" i="39"/>
  <c r="AA136" i="39"/>
  <c r="AG12" i="39"/>
  <c r="AA13" i="39"/>
  <c r="AG64" i="39"/>
  <c r="AR64" i="39" s="1"/>
  <c r="AA130" i="39"/>
  <c r="AG25" i="39"/>
  <c r="AA30" i="39"/>
  <c r="AS128" i="39"/>
  <c r="AY135" i="39"/>
  <c r="AY44" i="39"/>
  <c r="AG34" i="39"/>
  <c r="AR34" i="39" s="1"/>
  <c r="AY130" i="39"/>
  <c r="AY30" i="39"/>
  <c r="AG23" i="39"/>
  <c r="AR23" i="39" s="1"/>
  <c r="AY128" i="39"/>
  <c r="AY24" i="39"/>
  <c r="AZ133" i="39"/>
  <c r="AQ46" i="39"/>
  <c r="AX45" i="39"/>
  <c r="AX46" i="39" s="1"/>
  <c r="AG52" i="39"/>
  <c r="AR52" i="39" s="1"/>
  <c r="AV50" i="39"/>
  <c r="AA117" i="39"/>
  <c r="AA73" i="39"/>
  <c r="AS73" i="39"/>
  <c r="AS79" i="39" s="1"/>
  <c r="V79" i="39"/>
  <c r="AB73" i="39"/>
  <c r="AC73" i="39"/>
  <c r="AA72" i="39"/>
  <c r="AG66" i="39"/>
  <c r="AC129" i="39"/>
  <c r="AV37" i="39"/>
  <c r="AC42" i="39"/>
  <c r="V135" i="39"/>
  <c r="AC43" i="39"/>
  <c r="AB43" i="39"/>
  <c r="V44" i="39"/>
  <c r="AS43" i="39"/>
  <c r="AA43" i="39"/>
  <c r="AA129" i="39"/>
  <c r="AA42" i="39"/>
  <c r="AG37" i="39"/>
  <c r="V134" i="39"/>
  <c r="AC22" i="39"/>
  <c r="AA22" i="39"/>
  <c r="AS22" i="39"/>
  <c r="AB22" i="39"/>
  <c r="AG21" i="39"/>
  <c r="AR21" i="39" s="1"/>
  <c r="AB128" i="39"/>
  <c r="AU19" i="39"/>
  <c r="AG28" i="39"/>
  <c r="AR28" i="39" s="1"/>
  <c r="AA114" i="39"/>
  <c r="AG108" i="39"/>
  <c r="AB117" i="39"/>
  <c r="AU115" i="39"/>
  <c r="AU117" i="39" s="1"/>
  <c r="AA100" i="39"/>
  <c r="AG94" i="39"/>
  <c r="AX59" i="39"/>
  <c r="AX65" i="39" s="1"/>
  <c r="AQ65" i="39"/>
  <c r="AC107" i="39"/>
  <c r="AV101" i="39"/>
  <c r="AV107" i="39" s="1"/>
  <c r="AG75" i="39"/>
  <c r="AR75" i="39" s="1"/>
  <c r="AV66" i="39"/>
  <c r="AV72" i="39" s="1"/>
  <c r="AC72" i="39"/>
  <c r="AQ122" i="39"/>
  <c r="AX118" i="39"/>
  <c r="AX122" i="39" s="1"/>
  <c r="AU107" i="39"/>
  <c r="AG62" i="39"/>
  <c r="AR62" i="39" s="1"/>
  <c r="AG45" i="39"/>
  <c r="AG27" i="39"/>
  <c r="AR27" i="39" s="1"/>
  <c r="AQ128" i="39"/>
  <c r="AQ24" i="39"/>
  <c r="AX19" i="39"/>
  <c r="AQ136" i="39"/>
  <c r="AQ13" i="39"/>
  <c r="AX12" i="39"/>
  <c r="AX129" i="39"/>
  <c r="AX42" i="39"/>
  <c r="AG15" i="39"/>
  <c r="AR15" i="39" s="1"/>
  <c r="AZ123" i="39"/>
  <c r="AG113" i="39"/>
  <c r="AR113" i="39" s="1"/>
  <c r="AG109" i="39"/>
  <c r="AR109" i="39" s="1"/>
  <c r="AG85" i="39"/>
  <c r="AR85" i="39" s="1"/>
  <c r="AG81" i="39"/>
  <c r="AR81" i="39" s="1"/>
  <c r="AU80" i="39"/>
  <c r="AU86" i="39" s="1"/>
  <c r="AB86" i="39"/>
  <c r="R123" i="39"/>
  <c r="AY107" i="39"/>
  <c r="AQ100" i="39"/>
  <c r="AX94" i="39"/>
  <c r="AX100" i="39" s="1"/>
  <c r="AG115" i="39"/>
  <c r="AG101" i="39"/>
  <c r="AA107" i="39"/>
  <c r="AX80" i="39"/>
  <c r="AX86" i="39" s="1"/>
  <c r="AQ86" i="39"/>
  <c r="AU54" i="39"/>
  <c r="AG54" i="39"/>
  <c r="AR54" i="39" s="1"/>
  <c r="AG49" i="39"/>
  <c r="AR49" i="39" s="1"/>
  <c r="AC100" i="39"/>
  <c r="AV95" i="39"/>
  <c r="AV100" i="39" s="1"/>
  <c r="AY122" i="39"/>
  <c r="AG88" i="39"/>
  <c r="AR88" i="39" s="1"/>
  <c r="AX79" i="39"/>
  <c r="AG39" i="39"/>
  <c r="AR39" i="39" s="1"/>
  <c r="AC30" i="39"/>
  <c r="AV25" i="39"/>
  <c r="AX127" i="39"/>
  <c r="AX18" i="39"/>
  <c r="AG99" i="39"/>
  <c r="AR99" i="39" s="1"/>
  <c r="AG97" i="39"/>
  <c r="AR97" i="39" s="1"/>
  <c r="AG95" i="39"/>
  <c r="AR95" i="39" s="1"/>
  <c r="AB50" i="39"/>
  <c r="AU47" i="39"/>
  <c r="AU50" i="39" s="1"/>
  <c r="AG29" i="39"/>
  <c r="AR29" i="39" s="1"/>
  <c r="AA128" i="39"/>
  <c r="AX72" i="39"/>
  <c r="AG60" i="39"/>
  <c r="AR60" i="39" s="1"/>
  <c r="AC65" i="39"/>
  <c r="AV59" i="39"/>
  <c r="AV65" i="39" s="1"/>
  <c r="AG55" i="39"/>
  <c r="AR55" i="39" s="1"/>
  <c r="AG51" i="39"/>
  <c r="AA56" i="39"/>
  <c r="AC46" i="39"/>
  <c r="AV45" i="39"/>
  <c r="AV46" i="39" s="1"/>
  <c r="AZ130" i="39"/>
  <c r="AZ30" i="39"/>
  <c r="AG63" i="39"/>
  <c r="AR63" i="39" s="1"/>
  <c r="AG48" i="39"/>
  <c r="AR48" i="39" s="1"/>
  <c r="AW129" i="39"/>
  <c r="AW42" i="39"/>
  <c r="V130" i="39"/>
  <c r="AG35" i="39"/>
  <c r="AR35" i="39" s="1"/>
  <c r="AG31" i="39"/>
  <c r="AA36" i="39"/>
  <c r="AZ127" i="39"/>
  <c r="AZ126" i="39" s="1"/>
  <c r="AZ18" i="39"/>
  <c r="AC136" i="39"/>
  <c r="AC13" i="39"/>
  <c r="AV12" i="39"/>
  <c r="AG16" i="39"/>
  <c r="AR16" i="39" s="1"/>
  <c r="AC50" i="39"/>
  <c r="AG71" i="39"/>
  <c r="AR71" i="39" s="1"/>
  <c r="AW165" i="40" l="1"/>
  <c r="AP20" i="47" s="1"/>
  <c r="AG86" i="42"/>
  <c r="AR80" i="42"/>
  <c r="AR86" i="42" s="1"/>
  <c r="AG153" i="42"/>
  <c r="AR149" i="42"/>
  <c r="AR153" i="42" s="1"/>
  <c r="AV212" i="42"/>
  <c r="AV47" i="42"/>
  <c r="AR23" i="42"/>
  <c r="AR26" i="42" s="1"/>
  <c r="AG26" i="42"/>
  <c r="AR35" i="42"/>
  <c r="AR38" i="42" s="1"/>
  <c r="AG38" i="42"/>
  <c r="AT202" i="42"/>
  <c r="AC30" i="42"/>
  <c r="AV27" i="42"/>
  <c r="AV30" i="42" s="1"/>
  <c r="AC166" i="42"/>
  <c r="AV163" i="42"/>
  <c r="AV166" i="42" s="1"/>
  <c r="AG163" i="42"/>
  <c r="AA166" i="42"/>
  <c r="AX206" i="42"/>
  <c r="AX65" i="42"/>
  <c r="AX199" i="42" s="1"/>
  <c r="AZ199" i="42"/>
  <c r="AX200" i="42" s="1"/>
  <c r="AG45" i="42"/>
  <c r="AR42" i="42"/>
  <c r="AR45" i="42" s="1"/>
  <c r="AG206" i="42"/>
  <c r="AG65" i="42"/>
  <c r="AR60" i="42"/>
  <c r="AA203" i="42"/>
  <c r="AA18" i="42"/>
  <c r="AG12" i="42"/>
  <c r="AG209" i="42"/>
  <c r="AR17" i="42"/>
  <c r="AR209" i="42" s="1"/>
  <c r="AB204" i="42"/>
  <c r="AB53" i="42"/>
  <c r="AU48" i="42"/>
  <c r="AU206" i="42"/>
  <c r="AU65" i="42"/>
  <c r="AG132" i="42"/>
  <c r="AR127" i="42"/>
  <c r="AR132" i="42" s="1"/>
  <c r="AA77" i="42"/>
  <c r="AG71" i="42"/>
  <c r="AC205" i="42"/>
  <c r="AV14" i="42"/>
  <c r="AV205" i="42" s="1"/>
  <c r="AA106" i="42"/>
  <c r="AG101" i="42"/>
  <c r="AG191" i="42"/>
  <c r="AR186" i="42"/>
  <c r="AR191" i="42" s="1"/>
  <c r="AG34" i="42"/>
  <c r="AA204" i="42"/>
  <c r="AA53" i="42"/>
  <c r="AG48" i="42"/>
  <c r="AG126" i="42"/>
  <c r="AR123" i="42"/>
  <c r="AR126" i="42" s="1"/>
  <c r="AR107" i="42"/>
  <c r="AR113" i="42" s="1"/>
  <c r="AG113" i="42"/>
  <c r="AA210" i="42"/>
  <c r="AG51" i="42"/>
  <c r="AG59" i="42"/>
  <c r="AR54" i="42"/>
  <c r="AR59" i="42" s="1"/>
  <c r="AV209" i="42"/>
  <c r="AA211" i="42"/>
  <c r="AA79" i="42"/>
  <c r="AA199" i="42" s="1"/>
  <c r="AG200" i="42" s="1"/>
  <c r="AG78" i="42"/>
  <c r="AC211" i="42"/>
  <c r="AV78" i="42"/>
  <c r="AC79" i="42"/>
  <c r="AG41" i="42"/>
  <c r="AR39" i="42"/>
  <c r="AR41" i="42" s="1"/>
  <c r="AB203" i="42"/>
  <c r="AB18" i="42"/>
  <c r="AU12" i="42"/>
  <c r="V202" i="42"/>
  <c r="AA201" i="42" s="1"/>
  <c r="AS204" i="42"/>
  <c r="AS53" i="42"/>
  <c r="AS199" i="42" s="1"/>
  <c r="AC204" i="42"/>
  <c r="AC53" i="42"/>
  <c r="AV48" i="42"/>
  <c r="AG179" i="42"/>
  <c r="AU71" i="42"/>
  <c r="AU77" i="42" s="1"/>
  <c r="AB77" i="42"/>
  <c r="AV206" i="42"/>
  <c r="AV65" i="42"/>
  <c r="AA205" i="42"/>
  <c r="AG14" i="42"/>
  <c r="AR180" i="42"/>
  <c r="AR185" i="42" s="1"/>
  <c r="AG185" i="42"/>
  <c r="AG148" i="42"/>
  <c r="AR146" i="42"/>
  <c r="AR148" i="42" s="1"/>
  <c r="AR167" i="42"/>
  <c r="AR172" i="42" s="1"/>
  <c r="AG172" i="42"/>
  <c r="AY202" i="42"/>
  <c r="AC210" i="42"/>
  <c r="AV51" i="42"/>
  <c r="AV210" i="42" s="1"/>
  <c r="AG100" i="42"/>
  <c r="AR97" i="42"/>
  <c r="AR100" i="42" s="1"/>
  <c r="AG162" i="42"/>
  <c r="AR157" i="42"/>
  <c r="AR162" i="42" s="1"/>
  <c r="AG198" i="42"/>
  <c r="AR192" i="42"/>
  <c r="AR198" i="42" s="1"/>
  <c r="AR34" i="42"/>
  <c r="AS211" i="42"/>
  <c r="AS79" i="42"/>
  <c r="AC203" i="42"/>
  <c r="AC18" i="42"/>
  <c r="AV12" i="42"/>
  <c r="AZ202" i="42"/>
  <c r="AX204" i="42"/>
  <c r="AX202" i="42" s="1"/>
  <c r="AX53" i="42"/>
  <c r="AB211" i="42"/>
  <c r="AU78" i="42"/>
  <c r="AB79" i="42"/>
  <c r="AS203" i="42"/>
  <c r="AS202" i="42" s="1"/>
  <c r="AS18" i="42"/>
  <c r="AG145" i="42"/>
  <c r="AR139" i="42"/>
  <c r="AR145" i="42" s="1"/>
  <c r="AG96" i="42"/>
  <c r="AR91" i="42"/>
  <c r="AR96" i="42" s="1"/>
  <c r="AG156" i="42"/>
  <c r="AR154" i="42"/>
  <c r="AR156" i="42" s="1"/>
  <c r="AC77" i="42"/>
  <c r="AV71" i="42"/>
  <c r="AV77" i="42" s="1"/>
  <c r="AB205" i="42"/>
  <c r="AU14" i="42"/>
  <c r="AU205" i="42" s="1"/>
  <c r="AB106" i="42"/>
  <c r="AU101" i="42"/>
  <c r="AU106" i="42" s="1"/>
  <c r="AV101" i="42"/>
  <c r="AV106" i="42" s="1"/>
  <c r="AC106" i="42"/>
  <c r="AC199" i="42" s="1"/>
  <c r="AU212" i="42"/>
  <c r="AU47" i="42"/>
  <c r="AQ199" i="42"/>
  <c r="AB30" i="42"/>
  <c r="AU27" i="42"/>
  <c r="AU30" i="42" s="1"/>
  <c r="AG27" i="42"/>
  <c r="AA30" i="42"/>
  <c r="AB166" i="42"/>
  <c r="AB199" i="42" s="1"/>
  <c r="AU163" i="42"/>
  <c r="AU166" i="42" s="1"/>
  <c r="AB210" i="42"/>
  <c r="AU51" i="42"/>
  <c r="AU210" i="42" s="1"/>
  <c r="AG70" i="42"/>
  <c r="AR66" i="42"/>
  <c r="AR70" i="42" s="1"/>
  <c r="AG212" i="42"/>
  <c r="AG47" i="42"/>
  <c r="AR46" i="42"/>
  <c r="AG122" i="42"/>
  <c r="AR117" i="42"/>
  <c r="AR122" i="42" s="1"/>
  <c r="AR133" i="42"/>
  <c r="AR135" i="42" s="1"/>
  <c r="AG135" i="42"/>
  <c r="AR90" i="42"/>
  <c r="AX144" i="41"/>
  <c r="AR75" i="41"/>
  <c r="AR81" i="41" s="1"/>
  <c r="AG81" i="41"/>
  <c r="AG83" i="41"/>
  <c r="AA85" i="41"/>
  <c r="AC130" i="41"/>
  <c r="AV127" i="41"/>
  <c r="AV130" i="41" s="1"/>
  <c r="AG150" i="41"/>
  <c r="AG38" i="41"/>
  <c r="AR33" i="41"/>
  <c r="AG89" i="41"/>
  <c r="AR86" i="41"/>
  <c r="AR89" i="41" s="1"/>
  <c r="AU83" i="41"/>
  <c r="AU85" i="41" s="1"/>
  <c r="AB85" i="41"/>
  <c r="AV83" i="41"/>
  <c r="AV85" i="41" s="1"/>
  <c r="AC85" i="41"/>
  <c r="AV150" i="41"/>
  <c r="AV38" i="41"/>
  <c r="AA130" i="41"/>
  <c r="AG127" i="41"/>
  <c r="AU150" i="41"/>
  <c r="AU38" i="41"/>
  <c r="AG142" i="41"/>
  <c r="AR136" i="41"/>
  <c r="AR142" i="41" s="1"/>
  <c r="AG16" i="41"/>
  <c r="AR12" i="41"/>
  <c r="AG104" i="41"/>
  <c r="AR102" i="41"/>
  <c r="AR104" i="41" s="1"/>
  <c r="AQ145" i="41"/>
  <c r="AG126" i="41"/>
  <c r="AR119" i="41"/>
  <c r="AR126" i="41" s="1"/>
  <c r="AR52" i="41"/>
  <c r="AQ144" i="41"/>
  <c r="AR39" i="41"/>
  <c r="AR45" i="41" s="1"/>
  <c r="AG45" i="41"/>
  <c r="AR74" i="41"/>
  <c r="AU147" i="41"/>
  <c r="AU16" i="41"/>
  <c r="AX156" i="41"/>
  <c r="AX97" i="41"/>
  <c r="AX147" i="41"/>
  <c r="AX148" i="41"/>
  <c r="AG111" i="41"/>
  <c r="AR105" i="41"/>
  <c r="AR111" i="41" s="1"/>
  <c r="AS147" i="41"/>
  <c r="AQ146" i="41"/>
  <c r="AA148" i="41"/>
  <c r="AA146" i="41" s="1"/>
  <c r="AA21" i="41"/>
  <c r="AG17" i="41"/>
  <c r="AC148" i="41"/>
  <c r="AC21" i="41"/>
  <c r="AV17" i="41"/>
  <c r="AG52" i="41"/>
  <c r="AU45" i="41"/>
  <c r="AB154" i="41"/>
  <c r="AU19" i="41"/>
  <c r="AU154" i="41" s="1"/>
  <c r="AG74" i="41"/>
  <c r="AG60" i="41"/>
  <c r="AR53" i="41"/>
  <c r="AR60" i="41" s="1"/>
  <c r="AR90" i="41"/>
  <c r="AR95" i="41" s="1"/>
  <c r="AG95" i="41"/>
  <c r="AC67" i="41"/>
  <c r="AV64" i="41"/>
  <c r="AV67" i="41" s="1"/>
  <c r="AX143" i="41"/>
  <c r="AV155" i="41"/>
  <c r="AV29" i="41"/>
  <c r="AT146" i="41"/>
  <c r="AS148" i="41"/>
  <c r="AS21" i="41"/>
  <c r="AG135" i="41"/>
  <c r="AR131" i="41"/>
  <c r="AR135" i="41" s="1"/>
  <c r="AS156" i="41"/>
  <c r="AS97" i="41"/>
  <c r="AS143" i="41" s="1"/>
  <c r="AC154" i="41"/>
  <c r="AV19" i="41"/>
  <c r="AV154" i="41" s="1"/>
  <c r="AZ146" i="41"/>
  <c r="AC147" i="41"/>
  <c r="AA156" i="41"/>
  <c r="AA97" i="41"/>
  <c r="AA143" i="41" s="1"/>
  <c r="AG96" i="41"/>
  <c r="AA154" i="41"/>
  <c r="AG19" i="41"/>
  <c r="AR61" i="41"/>
  <c r="AR63" i="41" s="1"/>
  <c r="AG63" i="41"/>
  <c r="AY146" i="41"/>
  <c r="AG155" i="41"/>
  <c r="AG29" i="41"/>
  <c r="AR28" i="41"/>
  <c r="AU64" i="41"/>
  <c r="AU67" i="41" s="1"/>
  <c r="AB67" i="41"/>
  <c r="AG64" i="41"/>
  <c r="AA67" i="41"/>
  <c r="AG118" i="41"/>
  <c r="AR112" i="41"/>
  <c r="AR118" i="41" s="1"/>
  <c r="AU135" i="41"/>
  <c r="AX155" i="41"/>
  <c r="AX29" i="41"/>
  <c r="AG32" i="41"/>
  <c r="AR30" i="41"/>
  <c r="AR32" i="41" s="1"/>
  <c r="AC143" i="41"/>
  <c r="AU127" i="41"/>
  <c r="AU130" i="41" s="1"/>
  <c r="AB130" i="41"/>
  <c r="AG153" i="41"/>
  <c r="AR15" i="41"/>
  <c r="AR153" i="41" s="1"/>
  <c r="AQ143" i="41"/>
  <c r="AB148" i="41"/>
  <c r="AB146" i="41" s="1"/>
  <c r="AB21" i="41"/>
  <c r="AU17" i="41"/>
  <c r="AV16" i="41"/>
  <c r="AB156" i="41"/>
  <c r="AB97" i="41"/>
  <c r="AB143" i="41" s="1"/>
  <c r="AU96" i="41"/>
  <c r="AC156" i="41"/>
  <c r="AV96" i="41"/>
  <c r="AC97" i="41"/>
  <c r="AX170" i="40"/>
  <c r="AX32" i="40"/>
  <c r="AV60" i="40"/>
  <c r="AV82" i="40"/>
  <c r="AV88" i="40" s="1"/>
  <c r="AC88" i="40"/>
  <c r="AG102" i="40"/>
  <c r="AR99" i="40"/>
  <c r="AR102" i="40" s="1"/>
  <c r="AB170" i="40"/>
  <c r="AB32" i="40"/>
  <c r="AU26" i="40"/>
  <c r="AG51" i="40"/>
  <c r="AR45" i="40"/>
  <c r="AR51" i="40" s="1"/>
  <c r="AG108" i="40"/>
  <c r="AR103" i="40"/>
  <c r="AR108" i="40" s="1"/>
  <c r="AG160" i="40"/>
  <c r="AR155" i="40"/>
  <c r="AR160" i="40" s="1"/>
  <c r="AG130" i="40"/>
  <c r="AR128" i="40"/>
  <c r="AR130" i="40" s="1"/>
  <c r="AA88" i="40"/>
  <c r="AG82" i="40"/>
  <c r="AC173" i="40"/>
  <c r="AV28" i="40"/>
  <c r="AV173" i="40" s="1"/>
  <c r="AG67" i="40"/>
  <c r="AR61" i="40"/>
  <c r="AR67" i="40" s="1"/>
  <c r="AU130" i="40"/>
  <c r="AS172" i="40"/>
  <c r="AS60" i="40"/>
  <c r="AV177" i="40"/>
  <c r="AV53" i="40"/>
  <c r="AX169" i="40"/>
  <c r="AX168" i="40" s="1"/>
  <c r="AX15" i="40"/>
  <c r="AG19" i="40"/>
  <c r="AR16" i="40"/>
  <c r="AR19" i="40" s="1"/>
  <c r="AV178" i="40"/>
  <c r="AV25" i="40"/>
  <c r="AG171" i="40"/>
  <c r="Z29" i="47" s="1"/>
  <c r="AG38" i="40"/>
  <c r="AR33" i="40"/>
  <c r="AG144" i="40"/>
  <c r="AR138" i="40"/>
  <c r="AR144" i="40" s="1"/>
  <c r="AQ165" i="40"/>
  <c r="AG60" i="40"/>
  <c r="AR54" i="40"/>
  <c r="AA175" i="40"/>
  <c r="AG14" i="40"/>
  <c r="AC137" i="40"/>
  <c r="AV131" i="40"/>
  <c r="AV137" i="40" s="1"/>
  <c r="AG127" i="40"/>
  <c r="AR125" i="40"/>
  <c r="AR127" i="40" s="1"/>
  <c r="AS169" i="40"/>
  <c r="AS15" i="40"/>
  <c r="AU178" i="40"/>
  <c r="AU25" i="40"/>
  <c r="AT168" i="40"/>
  <c r="AG164" i="40"/>
  <c r="AR161" i="40"/>
  <c r="AR164" i="40" s="1"/>
  <c r="AU82" i="40"/>
  <c r="AU88" i="40" s="1"/>
  <c r="AB88" i="40"/>
  <c r="AG154" i="40"/>
  <c r="AR152" i="40"/>
  <c r="AR154" i="40" s="1"/>
  <c r="AC175" i="40"/>
  <c r="AV14" i="40"/>
  <c r="AV175" i="40" s="1"/>
  <c r="AB173" i="40"/>
  <c r="AU28" i="40"/>
  <c r="AU173" i="40" s="1"/>
  <c r="AG176" i="40"/>
  <c r="Z34" i="47" s="1"/>
  <c r="AR30" i="40"/>
  <c r="AR176" i="40" s="1"/>
  <c r="AK34" i="47" s="1"/>
  <c r="AW168" i="40"/>
  <c r="AC172" i="40"/>
  <c r="AV55" i="40"/>
  <c r="AV172" i="40" s="1"/>
  <c r="AR75" i="40"/>
  <c r="AR81" i="40" s="1"/>
  <c r="AG81" i="40"/>
  <c r="AG114" i="40"/>
  <c r="AR111" i="40"/>
  <c r="AR114" i="40" s="1"/>
  <c r="AU131" i="40"/>
  <c r="AU137" i="40" s="1"/>
  <c r="AB137" i="40"/>
  <c r="AR178" i="40"/>
  <c r="AK36" i="47" s="1"/>
  <c r="AR25" i="40"/>
  <c r="AG177" i="40"/>
  <c r="Z35" i="47" s="1"/>
  <c r="AG53" i="40"/>
  <c r="AR52" i="40"/>
  <c r="AC170" i="40"/>
  <c r="AV26" i="40"/>
  <c r="AC32" i="40"/>
  <c r="AA170" i="40"/>
  <c r="AG26" i="40"/>
  <c r="AA32" i="40"/>
  <c r="AG124" i="40"/>
  <c r="AR119" i="40"/>
  <c r="AR124" i="40" s="1"/>
  <c r="AG151" i="40"/>
  <c r="AR145" i="40"/>
  <c r="AR151" i="40" s="1"/>
  <c r="AB169" i="40"/>
  <c r="AB15" i="40"/>
  <c r="AU12" i="40"/>
  <c r="AA169" i="40"/>
  <c r="AG12" i="40"/>
  <c r="AA15" i="40"/>
  <c r="AG23" i="40"/>
  <c r="AR20" i="40"/>
  <c r="AR23" i="40" s="1"/>
  <c r="AX60" i="40"/>
  <c r="AX165" i="40" s="1"/>
  <c r="AC165" i="40"/>
  <c r="AG44" i="40"/>
  <c r="AR39" i="40"/>
  <c r="AR44" i="40" s="1"/>
  <c r="AR89" i="40"/>
  <c r="AR92" i="40" s="1"/>
  <c r="AG92" i="40"/>
  <c r="AB172" i="40"/>
  <c r="AU55" i="40"/>
  <c r="AU172" i="40" s="1"/>
  <c r="AG98" i="40"/>
  <c r="AR93" i="40"/>
  <c r="AR98" i="40" s="1"/>
  <c r="AA137" i="40"/>
  <c r="AA165" i="40" s="1"/>
  <c r="AG166" i="40" s="1"/>
  <c r="AG131" i="40"/>
  <c r="AY168" i="40"/>
  <c r="AX167" i="40" s="1"/>
  <c r="AU171" i="40"/>
  <c r="AU38" i="40"/>
  <c r="AG74" i="40"/>
  <c r="AR68" i="40"/>
  <c r="AR74" i="40" s="1"/>
  <c r="AX171" i="40"/>
  <c r="AX38" i="40"/>
  <c r="AG118" i="40"/>
  <c r="AR115" i="40"/>
  <c r="AR118" i="40" s="1"/>
  <c r="AG110" i="40"/>
  <c r="AR109" i="40"/>
  <c r="AR110" i="40" s="1"/>
  <c r="AB175" i="40"/>
  <c r="AU14" i="40"/>
  <c r="AU175" i="40" s="1"/>
  <c r="AA173" i="40"/>
  <c r="AG28" i="40"/>
  <c r="AB60" i="40"/>
  <c r="AA172" i="40"/>
  <c r="AG55" i="40"/>
  <c r="AU81" i="40"/>
  <c r="AG178" i="40"/>
  <c r="Z36" i="47" s="1"/>
  <c r="AU177" i="40"/>
  <c r="AU53" i="40"/>
  <c r="AS170" i="40"/>
  <c r="AS32" i="40"/>
  <c r="AS165" i="40" s="1"/>
  <c r="AQ168" i="40"/>
  <c r="AX177" i="40"/>
  <c r="AX53" i="40"/>
  <c r="AB165" i="40"/>
  <c r="AC169" i="40"/>
  <c r="AC15" i="40"/>
  <c r="AV12" i="40"/>
  <c r="V168" i="40"/>
  <c r="AA167" i="40" s="1"/>
  <c r="AG107" i="39"/>
  <c r="AR101" i="39"/>
  <c r="AR107" i="39" s="1"/>
  <c r="AX136" i="39"/>
  <c r="AX13" i="39"/>
  <c r="AA134" i="39"/>
  <c r="AG22" i="39"/>
  <c r="AB133" i="39"/>
  <c r="AU17" i="39"/>
  <c r="AU133" i="39" s="1"/>
  <c r="AX130" i="39"/>
  <c r="AX30" i="39"/>
  <c r="AX123" i="39" s="1"/>
  <c r="AX135" i="39"/>
  <c r="AX44" i="39"/>
  <c r="AU129" i="39"/>
  <c r="AU42" i="39"/>
  <c r="AW123" i="39"/>
  <c r="AV130" i="39"/>
  <c r="AV30" i="39"/>
  <c r="AR115" i="39"/>
  <c r="AR117" i="39" s="1"/>
  <c r="AG117" i="39"/>
  <c r="V124" i="39"/>
  <c r="W124" i="39"/>
  <c r="AB135" i="39"/>
  <c r="AB44" i="39"/>
  <c r="AU43" i="39"/>
  <c r="AV129" i="39"/>
  <c r="AV42" i="39"/>
  <c r="AC79" i="39"/>
  <c r="AV73" i="39"/>
  <c r="AV79" i="39" s="1"/>
  <c r="AG73" i="39"/>
  <c r="AA79" i="39"/>
  <c r="AY126" i="39"/>
  <c r="AX125" i="39" s="1"/>
  <c r="AA127" i="39"/>
  <c r="AA18" i="39"/>
  <c r="AG14" i="39"/>
  <c r="AC127" i="39"/>
  <c r="AC18" i="39"/>
  <c r="AV14" i="39"/>
  <c r="AC122" i="39"/>
  <c r="AV118" i="39"/>
  <c r="AV122" i="39" s="1"/>
  <c r="AG36" i="39"/>
  <c r="AR31" i="39"/>
  <c r="AR36" i="39" s="1"/>
  <c r="AR51" i="39"/>
  <c r="AR56" i="39" s="1"/>
  <c r="AG56" i="39"/>
  <c r="AA135" i="39"/>
  <c r="AA44" i="39"/>
  <c r="AG43" i="39"/>
  <c r="AC135" i="39"/>
  <c r="AC44" i="39"/>
  <c r="AV43" i="39"/>
  <c r="AB79" i="39"/>
  <c r="AU73" i="39"/>
  <c r="AU79" i="39" s="1"/>
  <c r="AG30" i="39"/>
  <c r="AR25" i="39"/>
  <c r="AG136" i="39"/>
  <c r="AG13" i="39"/>
  <c r="AR12" i="39"/>
  <c r="AG65" i="39"/>
  <c r="AR59" i="39"/>
  <c r="AR65" i="39" s="1"/>
  <c r="AU136" i="39"/>
  <c r="AU13" i="39"/>
  <c r="AB127" i="39"/>
  <c r="AB18" i="39"/>
  <c r="AU14" i="39"/>
  <c r="AV136" i="39"/>
  <c r="AV13" i="39"/>
  <c r="AG50" i="39"/>
  <c r="AR47" i="39"/>
  <c r="AR50" i="39" s="1"/>
  <c r="AC134" i="39"/>
  <c r="AV22" i="39"/>
  <c r="AV134" i="39" s="1"/>
  <c r="AW126" i="39"/>
  <c r="AU130" i="39"/>
  <c r="AU30" i="39"/>
  <c r="AG128" i="39"/>
  <c r="AU128" i="39"/>
  <c r="AB134" i="39"/>
  <c r="AU22" i="39"/>
  <c r="AU134" i="39" s="1"/>
  <c r="V126" i="39"/>
  <c r="AA125" i="39" s="1"/>
  <c r="AC133" i="39"/>
  <c r="AV17" i="39"/>
  <c r="AV133" i="39" s="1"/>
  <c r="AG58" i="39"/>
  <c r="AR57" i="39"/>
  <c r="AR58" i="39" s="1"/>
  <c r="V123" i="39"/>
  <c r="AA124" i="39" s="1"/>
  <c r="AG86" i="39"/>
  <c r="AR80" i="39"/>
  <c r="AR86" i="39" s="1"/>
  <c r="AV128" i="39"/>
  <c r="AV24" i="39"/>
  <c r="AU56" i="39"/>
  <c r="AQ126" i="39"/>
  <c r="AT126" i="39"/>
  <c r="AA24" i="39"/>
  <c r="AC130" i="39"/>
  <c r="AY123" i="39"/>
  <c r="AX124" i="39" s="1"/>
  <c r="AX128" i="39"/>
  <c r="AX126" i="39" s="1"/>
  <c r="AX24" i="39"/>
  <c r="AG46" i="39"/>
  <c r="AR45" i="39"/>
  <c r="AR46" i="39" s="1"/>
  <c r="AQ123" i="39"/>
  <c r="AR94" i="39"/>
  <c r="AR100" i="39" s="1"/>
  <c r="AG100" i="39"/>
  <c r="AG114" i="39"/>
  <c r="AR108" i="39"/>
  <c r="AR114" i="39" s="1"/>
  <c r="AB24" i="39"/>
  <c r="AS134" i="39"/>
  <c r="AS24" i="39"/>
  <c r="AG129" i="39"/>
  <c r="AG42" i="39"/>
  <c r="AR37" i="39"/>
  <c r="AS135" i="39"/>
  <c r="AS44" i="39"/>
  <c r="AS123" i="39" s="1"/>
  <c r="AG72" i="39"/>
  <c r="AR66" i="39"/>
  <c r="AR72" i="39" s="1"/>
  <c r="AS127" i="39"/>
  <c r="AS18" i="39"/>
  <c r="AA133" i="39"/>
  <c r="AG17" i="39"/>
  <c r="AS130" i="39"/>
  <c r="AR87" i="39"/>
  <c r="AR93" i="39" s="1"/>
  <c r="AG93" i="39"/>
  <c r="AB122" i="39"/>
  <c r="AB123" i="39" s="1"/>
  <c r="AU118" i="39"/>
  <c r="AU122" i="39" s="1"/>
  <c r="AG118" i="39"/>
  <c r="AA122" i="39"/>
  <c r="AA123" i="39" s="1"/>
  <c r="AC24" i="39"/>
  <c r="AB130" i="39"/>
  <c r="AG24" i="39"/>
  <c r="AR212" i="42" l="1"/>
  <c r="AR47" i="42"/>
  <c r="AU204" i="42"/>
  <c r="AU53" i="42"/>
  <c r="AR206" i="42"/>
  <c r="AR65" i="42"/>
  <c r="AV204" i="42"/>
  <c r="AV53" i="42"/>
  <c r="AB202" i="42"/>
  <c r="AV211" i="42"/>
  <c r="AV79" i="42"/>
  <c r="AV199" i="42" s="1"/>
  <c r="AG210" i="42"/>
  <c r="AR51" i="42"/>
  <c r="AR210" i="42" s="1"/>
  <c r="AG203" i="42"/>
  <c r="AG202" i="42" s="1"/>
  <c r="AG18" i="42"/>
  <c r="AR12" i="42"/>
  <c r="AG30" i="42"/>
  <c r="AR27" i="42"/>
  <c r="AR30" i="42" s="1"/>
  <c r="AU211" i="42"/>
  <c r="AU79" i="42"/>
  <c r="AC202" i="42"/>
  <c r="AX201" i="42"/>
  <c r="AG205" i="42"/>
  <c r="AR14" i="42"/>
  <c r="AR205" i="42" s="1"/>
  <c r="AG106" i="42"/>
  <c r="AR101" i="42"/>
  <c r="AR106" i="42" s="1"/>
  <c r="AG77" i="42"/>
  <c r="AR71" i="42"/>
  <c r="AR77" i="42" s="1"/>
  <c r="AV203" i="42"/>
  <c r="AV18" i="42"/>
  <c r="AU203" i="42"/>
  <c r="AU202" i="42" s="1"/>
  <c r="AU18" i="42"/>
  <c r="AG211" i="42"/>
  <c r="AG79" i="42"/>
  <c r="AR78" i="42"/>
  <c r="AG204" i="42"/>
  <c r="AR48" i="42"/>
  <c r="AG53" i="42"/>
  <c r="AA202" i="42"/>
  <c r="AG201" i="42" s="1"/>
  <c r="AG166" i="42"/>
  <c r="AG199" i="42" s="1"/>
  <c r="AR163" i="42"/>
  <c r="AR166" i="42" s="1"/>
  <c r="AG144" i="41"/>
  <c r="AG145" i="41"/>
  <c r="AV156" i="41"/>
  <c r="AV97" i="41"/>
  <c r="AR155" i="41"/>
  <c r="AR29" i="41"/>
  <c r="AG156" i="41"/>
  <c r="AR96" i="41"/>
  <c r="AG97" i="41"/>
  <c r="AX146" i="41"/>
  <c r="AG67" i="41"/>
  <c r="AR64" i="41"/>
  <c r="AR67" i="41" s="1"/>
  <c r="AU156" i="41"/>
  <c r="AU97" i="41"/>
  <c r="AU143" i="41" s="1"/>
  <c r="AV147" i="41"/>
  <c r="AG154" i="41"/>
  <c r="AR19" i="41"/>
  <c r="AR154" i="41" s="1"/>
  <c r="AG148" i="41"/>
  <c r="AG21" i="41"/>
  <c r="AR17" i="41"/>
  <c r="AG130" i="41"/>
  <c r="AG143" i="41" s="1"/>
  <c r="AR127" i="41"/>
  <c r="AR130" i="41" s="1"/>
  <c r="AG147" i="41"/>
  <c r="AR150" i="41"/>
  <c r="AR38" i="41"/>
  <c r="AU148" i="41"/>
  <c r="AU146" i="41" s="1"/>
  <c r="AU21" i="41"/>
  <c r="AX145" i="41"/>
  <c r="AC146" i="41"/>
  <c r="AV148" i="41"/>
  <c r="AV21" i="41"/>
  <c r="AS146" i="41"/>
  <c r="AR16" i="41"/>
  <c r="AR83" i="41"/>
  <c r="AR85" i="41" s="1"/>
  <c r="AG85" i="41"/>
  <c r="AG175" i="40"/>
  <c r="Z33" i="47" s="1"/>
  <c r="AR14" i="40"/>
  <c r="AR175" i="40" s="1"/>
  <c r="AK33" i="47" s="1"/>
  <c r="AR171" i="40"/>
  <c r="AK29" i="47" s="1"/>
  <c r="AR38" i="40"/>
  <c r="AV169" i="40"/>
  <c r="AV15" i="40"/>
  <c r="AG173" i="40"/>
  <c r="Z31" i="47" s="1"/>
  <c r="AR28" i="40"/>
  <c r="AR173" i="40" s="1"/>
  <c r="AK31" i="47" s="1"/>
  <c r="AG169" i="40"/>
  <c r="AG15" i="40"/>
  <c r="AR12" i="40"/>
  <c r="AB168" i="40"/>
  <c r="AU170" i="40"/>
  <c r="AU32" i="40"/>
  <c r="AG172" i="40"/>
  <c r="Z30" i="47" s="1"/>
  <c r="AR55" i="40"/>
  <c r="AR172" i="40" s="1"/>
  <c r="AK30" i="47" s="1"/>
  <c r="AG137" i="40"/>
  <c r="AR131" i="40"/>
  <c r="AR137" i="40" s="1"/>
  <c r="AA168" i="40"/>
  <c r="AV170" i="40"/>
  <c r="AV32" i="40"/>
  <c r="AV165" i="40" s="1"/>
  <c r="AU60" i="40"/>
  <c r="AU165" i="40" s="1"/>
  <c r="AR166" i="40" s="1"/>
  <c r="AR82" i="40"/>
  <c r="AR88" i="40" s="1"/>
  <c r="AG88" i="40"/>
  <c r="AR177" i="40"/>
  <c r="AK35" i="47" s="1"/>
  <c r="AR53" i="40"/>
  <c r="AC168" i="40"/>
  <c r="AU169" i="40"/>
  <c r="AU168" i="40" s="1"/>
  <c r="AU15" i="40"/>
  <c r="AG170" i="40"/>
  <c r="Z28" i="47" s="1"/>
  <c r="AR26" i="40"/>
  <c r="AG32" i="40"/>
  <c r="AG165" i="40" s="1"/>
  <c r="Z20" i="47" s="1"/>
  <c r="AS168" i="40"/>
  <c r="AR118" i="39"/>
  <c r="AR122" i="39" s="1"/>
  <c r="AG122" i="39"/>
  <c r="AU127" i="39"/>
  <c r="AU18" i="39"/>
  <c r="AA126" i="39"/>
  <c r="AS126" i="39"/>
  <c r="AC126" i="39"/>
  <c r="AG134" i="39"/>
  <c r="AR22" i="39"/>
  <c r="AG130" i="39"/>
  <c r="AG133" i="39"/>
  <c r="AR17" i="39"/>
  <c r="AR133" i="39" s="1"/>
  <c r="AR129" i="39"/>
  <c r="AR42" i="39"/>
  <c r="AB126" i="39"/>
  <c r="AR130" i="39"/>
  <c r="AR30" i="39"/>
  <c r="AG135" i="39"/>
  <c r="AR43" i="39"/>
  <c r="AG44" i="39"/>
  <c r="AC123" i="39"/>
  <c r="AG124" i="39" s="1"/>
  <c r="AG127" i="39"/>
  <c r="AG126" i="39" s="1"/>
  <c r="AG18" i="39"/>
  <c r="AR14" i="39"/>
  <c r="AU135" i="39"/>
  <c r="AU44" i="39"/>
  <c r="AU123" i="39" s="1"/>
  <c r="AR124" i="39" s="1"/>
  <c r="AU24" i="39"/>
  <c r="AR136" i="39"/>
  <c r="AR13" i="39"/>
  <c r="AV135" i="39"/>
  <c r="AV44" i="39"/>
  <c r="AV123" i="39" s="1"/>
  <c r="AV127" i="39"/>
  <c r="AV126" i="39" s="1"/>
  <c r="AV18" i="39"/>
  <c r="AG79" i="39"/>
  <c r="AR73" i="39"/>
  <c r="AR79" i="39" s="1"/>
  <c r="AR128" i="39"/>
  <c r="AG168" i="40" l="1"/>
  <c r="Z27" i="47"/>
  <c r="AR211" i="42"/>
  <c r="AR79" i="42"/>
  <c r="AR204" i="42"/>
  <c r="AR53" i="42"/>
  <c r="AU199" i="42"/>
  <c r="AR200" i="42" s="1"/>
  <c r="AR203" i="42"/>
  <c r="AR18" i="42"/>
  <c r="AV202" i="42"/>
  <c r="AR201" i="42" s="1"/>
  <c r="AR148" i="41"/>
  <c r="AR21" i="41"/>
  <c r="AR156" i="41"/>
  <c r="AR97" i="41"/>
  <c r="AV143" i="41"/>
  <c r="AR144" i="41" s="1"/>
  <c r="AG146" i="41"/>
  <c r="AR147" i="41"/>
  <c r="AR146" i="41" s="1"/>
  <c r="AV146" i="41"/>
  <c r="AR145" i="41" s="1"/>
  <c r="AR60" i="40"/>
  <c r="AR165" i="40" s="1"/>
  <c r="AK20" i="47" s="1"/>
  <c r="AG167" i="40"/>
  <c r="AR170" i="40"/>
  <c r="AK28" i="47" s="1"/>
  <c r="AR32" i="40"/>
  <c r="AR169" i="40"/>
  <c r="AK27" i="47" s="1"/>
  <c r="AR15" i="40"/>
  <c r="AV168" i="40"/>
  <c r="AR167" i="40" s="1"/>
  <c r="AR127" i="39"/>
  <c r="AR18" i="39"/>
  <c r="AG123" i="39"/>
  <c r="AU126" i="39"/>
  <c r="AR125" i="39" s="1"/>
  <c r="AR135" i="39"/>
  <c r="AR44" i="39"/>
  <c r="AG125" i="39"/>
  <c r="AR123" i="39"/>
  <c r="AR134" i="39"/>
  <c r="AR24" i="39"/>
  <c r="AR202" i="42" l="1"/>
  <c r="AR199" i="42"/>
  <c r="AR143" i="41"/>
  <c r="AR168" i="40"/>
  <c r="AR126" i="39"/>
  <c r="AN312" i="32" l="1"/>
  <c r="AM312" i="32"/>
  <c r="AL312" i="32"/>
  <c r="AK312" i="32"/>
  <c r="AJ312" i="32"/>
  <c r="AI312" i="32"/>
  <c r="AH312" i="32"/>
  <c r="AE312" i="32"/>
  <c r="AD312" i="32"/>
  <c r="Y312" i="32"/>
  <c r="X312" i="32"/>
  <c r="W312" i="32"/>
  <c r="U312" i="32"/>
  <c r="T312" i="32"/>
  <c r="S312" i="32"/>
  <c r="Q312" i="32"/>
  <c r="P312" i="32"/>
  <c r="O312" i="32"/>
  <c r="N312" i="32"/>
  <c r="M312" i="32"/>
  <c r="L312" i="32"/>
  <c r="K312" i="32"/>
  <c r="J312" i="32"/>
  <c r="I312" i="32"/>
  <c r="AN311" i="32"/>
  <c r="AM311" i="32"/>
  <c r="AL311" i="32"/>
  <c r="AK311" i="32"/>
  <c r="AJ311" i="32"/>
  <c r="AI311" i="32"/>
  <c r="AH311" i="32"/>
  <c r="AE311" i="32"/>
  <c r="AD311" i="32"/>
  <c r="Y311" i="32"/>
  <c r="X311" i="32"/>
  <c r="W311" i="32"/>
  <c r="U311" i="32"/>
  <c r="T311" i="32"/>
  <c r="S311" i="32"/>
  <c r="Q311" i="32"/>
  <c r="P311" i="32"/>
  <c r="O311" i="32"/>
  <c r="N311" i="32"/>
  <c r="M311" i="32"/>
  <c r="L311" i="32"/>
  <c r="K311" i="32"/>
  <c r="J311" i="32"/>
  <c r="I311" i="32"/>
  <c r="AN310" i="32"/>
  <c r="AM310" i="32"/>
  <c r="AL310" i="32"/>
  <c r="AK310" i="32"/>
  <c r="AJ310" i="32"/>
  <c r="AI310" i="32"/>
  <c r="AH310" i="32"/>
  <c r="AE310" i="32"/>
  <c r="AD310" i="32"/>
  <c r="Y310" i="32"/>
  <c r="X310" i="32"/>
  <c r="W310" i="32"/>
  <c r="U310" i="32"/>
  <c r="T310" i="32"/>
  <c r="S310" i="32"/>
  <c r="Q310" i="32"/>
  <c r="P310" i="32"/>
  <c r="O310" i="32"/>
  <c r="N310" i="32"/>
  <c r="M310" i="32"/>
  <c r="L310" i="32"/>
  <c r="K310" i="32"/>
  <c r="J310" i="32"/>
  <c r="I310" i="32"/>
  <c r="AN309" i="32"/>
  <c r="AM309" i="32"/>
  <c r="AL309" i="32"/>
  <c r="AK309" i="32"/>
  <c r="AJ309" i="32"/>
  <c r="AI309" i="32"/>
  <c r="AH309" i="32"/>
  <c r="AE309" i="32"/>
  <c r="AD309" i="32"/>
  <c r="Y309" i="32"/>
  <c r="X309" i="32"/>
  <c r="W309" i="32"/>
  <c r="U309" i="32"/>
  <c r="T309" i="32"/>
  <c r="S309" i="32"/>
  <c r="Q309" i="32"/>
  <c r="P309" i="32"/>
  <c r="O309" i="32"/>
  <c r="N309" i="32"/>
  <c r="M309" i="32"/>
  <c r="L309" i="32"/>
  <c r="K309" i="32"/>
  <c r="J309" i="32"/>
  <c r="I309" i="32"/>
  <c r="AN308" i="32"/>
  <c r="AM308" i="32"/>
  <c r="AL308" i="32"/>
  <c r="AK308" i="32"/>
  <c r="AJ308" i="32"/>
  <c r="AI308" i="32"/>
  <c r="AH308" i="32"/>
  <c r="AE308" i="32"/>
  <c r="AD308" i="32"/>
  <c r="Y308" i="32"/>
  <c r="X308" i="32"/>
  <c r="W308" i="32"/>
  <c r="U308" i="32"/>
  <c r="T308" i="32"/>
  <c r="S308" i="32"/>
  <c r="Q308" i="32"/>
  <c r="P308" i="32"/>
  <c r="O308" i="32"/>
  <c r="N308" i="32"/>
  <c r="M308" i="32"/>
  <c r="L308" i="32"/>
  <c r="K308" i="32"/>
  <c r="J308" i="32"/>
  <c r="I308" i="32"/>
  <c r="AZ307" i="32"/>
  <c r="AY307" i="32"/>
  <c r="AX307" i="32"/>
  <c r="AW307" i="32"/>
  <c r="AV307" i="32"/>
  <c r="AU307" i="32"/>
  <c r="AT307" i="32"/>
  <c r="AS307" i="32"/>
  <c r="AR307" i="32"/>
  <c r="AQ307" i="32"/>
  <c r="AP307" i="32"/>
  <c r="AO307" i="32"/>
  <c r="AN307" i="32"/>
  <c r="AM307" i="32"/>
  <c r="AL307" i="32"/>
  <c r="AK307" i="32"/>
  <c r="AJ307" i="32"/>
  <c r="AI307" i="32"/>
  <c r="AH307" i="32"/>
  <c r="AG307" i="32"/>
  <c r="AF307" i="32"/>
  <c r="AE307" i="32"/>
  <c r="AD307" i="32"/>
  <c r="AC307" i="32"/>
  <c r="AB307" i="32"/>
  <c r="AA307" i="32"/>
  <c r="Z307" i="32"/>
  <c r="Y307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AN306" i="32"/>
  <c r="AM306" i="32"/>
  <c r="AL306" i="32"/>
  <c r="AK306" i="32"/>
  <c r="AJ306" i="32"/>
  <c r="AI306" i="32"/>
  <c r="AH306" i="32"/>
  <c r="AE306" i="32"/>
  <c r="AD306" i="32"/>
  <c r="Y306" i="32"/>
  <c r="X306" i="32"/>
  <c r="W306" i="32"/>
  <c r="U306" i="32"/>
  <c r="T306" i="32"/>
  <c r="S306" i="32"/>
  <c r="Q306" i="32"/>
  <c r="P306" i="32"/>
  <c r="O306" i="32"/>
  <c r="N306" i="32"/>
  <c r="M306" i="32"/>
  <c r="L306" i="32"/>
  <c r="K306" i="32"/>
  <c r="J306" i="32"/>
  <c r="I306" i="32"/>
  <c r="AN305" i="32"/>
  <c r="AM305" i="32"/>
  <c r="AL305" i="32"/>
  <c r="AK305" i="32"/>
  <c r="AK302" i="32" s="1"/>
  <c r="AJ305" i="32"/>
  <c r="AI305" i="32"/>
  <c r="AH305" i="32"/>
  <c r="AE305" i="32"/>
  <c r="AD305" i="32"/>
  <c r="Y305" i="32"/>
  <c r="Y302" i="32" s="1"/>
  <c r="X305" i="32"/>
  <c r="W305" i="32"/>
  <c r="U305" i="32"/>
  <c r="T305" i="32"/>
  <c r="S305" i="32"/>
  <c r="Q305" i="32"/>
  <c r="P305" i="32"/>
  <c r="O305" i="32"/>
  <c r="N305" i="32"/>
  <c r="M305" i="32"/>
  <c r="L305" i="32"/>
  <c r="K305" i="32"/>
  <c r="J305" i="32"/>
  <c r="I305" i="32"/>
  <c r="AN304" i="32"/>
  <c r="AM304" i="32"/>
  <c r="AL304" i="32"/>
  <c r="AK304" i="32"/>
  <c r="AJ304" i="32"/>
  <c r="AI304" i="32"/>
  <c r="AH304" i="32"/>
  <c r="AE304" i="32"/>
  <c r="AD304" i="32"/>
  <c r="Y304" i="32"/>
  <c r="X304" i="32"/>
  <c r="W304" i="32"/>
  <c r="U304" i="32"/>
  <c r="U302" i="32" s="1"/>
  <c r="T304" i="32"/>
  <c r="S304" i="32"/>
  <c r="Q304" i="32"/>
  <c r="P304" i="32"/>
  <c r="O304" i="32"/>
  <c r="N304" i="32"/>
  <c r="M304" i="32"/>
  <c r="L304" i="32"/>
  <c r="K304" i="32"/>
  <c r="J304" i="32"/>
  <c r="I304" i="32"/>
  <c r="AN303" i="32"/>
  <c r="AM303" i="32"/>
  <c r="AL303" i="32"/>
  <c r="AK303" i="32"/>
  <c r="AJ303" i="32"/>
  <c r="AI303" i="32"/>
  <c r="AH303" i="32"/>
  <c r="AE303" i="32"/>
  <c r="AD303" i="32"/>
  <c r="Y303" i="32"/>
  <c r="X303" i="32"/>
  <c r="W303" i="32"/>
  <c r="U303" i="32"/>
  <c r="T303" i="32"/>
  <c r="S303" i="32"/>
  <c r="S302" i="32" s="1"/>
  <c r="Q303" i="32"/>
  <c r="P303" i="32"/>
  <c r="O303" i="32"/>
  <c r="O302" i="32" s="1"/>
  <c r="N303" i="32"/>
  <c r="M303" i="32"/>
  <c r="L303" i="32"/>
  <c r="K303" i="32"/>
  <c r="K302" i="32" s="1"/>
  <c r="J303" i="32"/>
  <c r="I303" i="32"/>
  <c r="AN302" i="32"/>
  <c r="AM302" i="32"/>
  <c r="AO301" i="32" s="1"/>
  <c r="AL302" i="32"/>
  <c r="AJ302" i="32"/>
  <c r="AI302" i="32"/>
  <c r="AP301" i="32" s="1"/>
  <c r="AH302" i="32"/>
  <c r="AE302" i="32"/>
  <c r="AF301" i="32" s="1"/>
  <c r="AD302" i="32"/>
  <c r="X302" i="32"/>
  <c r="W302" i="32"/>
  <c r="T302" i="32"/>
  <c r="Q302" i="32"/>
  <c r="P302" i="32"/>
  <c r="N302" i="32"/>
  <c r="M302" i="32"/>
  <c r="L302" i="32"/>
  <c r="I301" i="32" s="1"/>
  <c r="J302" i="32"/>
  <c r="I302" i="32"/>
  <c r="I300" i="32"/>
  <c r="Q299" i="32"/>
  <c r="O300" i="32" s="1"/>
  <c r="P299" i="32"/>
  <c r="O299" i="32"/>
  <c r="N299" i="32"/>
  <c r="M299" i="32"/>
  <c r="L299" i="32"/>
  <c r="K299" i="32"/>
  <c r="J299" i="32"/>
  <c r="I299" i="32"/>
  <c r="AT298" i="32"/>
  <c r="AO298" i="32"/>
  <c r="AN298" i="32"/>
  <c r="AM298" i="32"/>
  <c r="AL298" i="32"/>
  <c r="AK298" i="32"/>
  <c r="AJ298" i="32"/>
  <c r="AI298" i="32"/>
  <c r="AH298" i="32"/>
  <c r="AE298" i="32"/>
  <c r="AD298" i="32"/>
  <c r="Z298" i="32"/>
  <c r="Y298" i="32"/>
  <c r="X298" i="32"/>
  <c r="W298" i="32"/>
  <c r="V298" i="32"/>
  <c r="U298" i="32"/>
  <c r="T298" i="32"/>
  <c r="S298" i="32"/>
  <c r="R298" i="32"/>
  <c r="AW297" i="32"/>
  <c r="AW298" i="32" s="1"/>
  <c r="AT297" i="32"/>
  <c r="AP297" i="32"/>
  <c r="AO297" i="32"/>
  <c r="AF297" i="32"/>
  <c r="AF298" i="32" s="1"/>
  <c r="AC297" i="32"/>
  <c r="AC298" i="32" s="1"/>
  <c r="Z297" i="32"/>
  <c r="V297" i="32"/>
  <c r="R297" i="32"/>
  <c r="AW296" i="32"/>
  <c r="AO296" i="32"/>
  <c r="AN296" i="32"/>
  <c r="AM296" i="32"/>
  <c r="AL296" i="32"/>
  <c r="AK296" i="32"/>
  <c r="AJ296" i="32"/>
  <c r="AI296" i="32"/>
  <c r="AH296" i="32"/>
  <c r="AE296" i="32"/>
  <c r="AD296" i="32"/>
  <c r="Y296" i="32"/>
  <c r="X296" i="32"/>
  <c r="W296" i="32"/>
  <c r="U296" i="32"/>
  <c r="T296" i="32"/>
  <c r="S296" i="32"/>
  <c r="AZ295" i="32"/>
  <c r="AY295" i="32"/>
  <c r="AQ295" i="32"/>
  <c r="AX295" i="32" s="1"/>
  <c r="AP295" i="32"/>
  <c r="AO295" i="32"/>
  <c r="AF295" i="32"/>
  <c r="AW295" i="32" s="1"/>
  <c r="Z295" i="32"/>
  <c r="AT295" i="32" s="1"/>
  <c r="R295" i="32"/>
  <c r="V295" i="32" s="1"/>
  <c r="AZ294" i="32"/>
  <c r="AY294" i="32"/>
  <c r="AQ294" i="32"/>
  <c r="AX294" i="32" s="1"/>
  <c r="AP294" i="32"/>
  <c r="AO294" i="32"/>
  <c r="AF294" i="32"/>
  <c r="AW294" i="32" s="1"/>
  <c r="Z294" i="32"/>
  <c r="AT294" i="32" s="1"/>
  <c r="R294" i="32"/>
  <c r="V294" i="32" s="1"/>
  <c r="AZ293" i="32"/>
  <c r="AY293" i="32"/>
  <c r="AQ293" i="32"/>
  <c r="AX293" i="32" s="1"/>
  <c r="AP293" i="32"/>
  <c r="AO293" i="32"/>
  <c r="AF293" i="32"/>
  <c r="AW293" i="32" s="1"/>
  <c r="AA293" i="32"/>
  <c r="Z293" i="32"/>
  <c r="AT293" i="32" s="1"/>
  <c r="R293" i="32"/>
  <c r="V293" i="32" s="1"/>
  <c r="AZ292" i="32"/>
  <c r="AY292" i="32"/>
  <c r="AQ292" i="32"/>
  <c r="AX292" i="32" s="1"/>
  <c r="AP292" i="32"/>
  <c r="AO292" i="32"/>
  <c r="AF292" i="32"/>
  <c r="AW292" i="32" s="1"/>
  <c r="AA292" i="32"/>
  <c r="Z292" i="32"/>
  <c r="AT292" i="32" s="1"/>
  <c r="R292" i="32"/>
  <c r="V292" i="32" s="1"/>
  <c r="AZ291" i="32"/>
  <c r="AY291" i="32"/>
  <c r="AQ291" i="32"/>
  <c r="AX291" i="32" s="1"/>
  <c r="AP291" i="32"/>
  <c r="AO291" i="32"/>
  <c r="AF291" i="32"/>
  <c r="AW291" i="32" s="1"/>
  <c r="Z291" i="32"/>
  <c r="AT291" i="32" s="1"/>
  <c r="R291" i="32"/>
  <c r="V291" i="32" s="1"/>
  <c r="AZ290" i="32"/>
  <c r="AZ296" i="32" s="1"/>
  <c r="AY290" i="32"/>
  <c r="AQ290" i="32"/>
  <c r="AP290" i="32"/>
  <c r="AP296" i="32" s="1"/>
  <c r="AO290" i="32"/>
  <c r="AF290" i="32"/>
  <c r="AW290" i="32" s="1"/>
  <c r="Z290" i="32"/>
  <c r="R290" i="32"/>
  <c r="R296" i="32" s="1"/>
  <c r="AN289" i="32"/>
  <c r="AM289" i="32"/>
  <c r="AL289" i="32"/>
  <c r="AK289" i="32"/>
  <c r="AJ289" i="32"/>
  <c r="AI289" i="32"/>
  <c r="AH289" i="32"/>
  <c r="AE289" i="32"/>
  <c r="AD289" i="32"/>
  <c r="Y289" i="32"/>
  <c r="X289" i="32"/>
  <c r="W289" i="32"/>
  <c r="U289" i="32"/>
  <c r="T289" i="32"/>
  <c r="S289" i="32"/>
  <c r="AY288" i="32"/>
  <c r="AT288" i="32"/>
  <c r="AP288" i="32"/>
  <c r="AZ288" i="32" s="1"/>
  <c r="AO288" i="32"/>
  <c r="AF288" i="32"/>
  <c r="AW288" i="32" s="1"/>
  <c r="Z288" i="32"/>
  <c r="V288" i="32"/>
  <c r="R288" i="32"/>
  <c r="AY287" i="32"/>
  <c r="AT287" i="32"/>
  <c r="AP287" i="32"/>
  <c r="AZ287" i="32" s="1"/>
  <c r="AO287" i="32"/>
  <c r="AF287" i="32"/>
  <c r="AW287" i="32" s="1"/>
  <c r="Z287" i="32"/>
  <c r="V287" i="32"/>
  <c r="R287" i="32"/>
  <c r="AY286" i="32"/>
  <c r="AT286" i="32"/>
  <c r="AP286" i="32"/>
  <c r="AZ286" i="32" s="1"/>
  <c r="AO286" i="32"/>
  <c r="AF286" i="32"/>
  <c r="AW286" i="32" s="1"/>
  <c r="Z286" i="32"/>
  <c r="V286" i="32"/>
  <c r="R286" i="32"/>
  <c r="AY285" i="32"/>
  <c r="AT285" i="32"/>
  <c r="AP285" i="32"/>
  <c r="AZ285" i="32" s="1"/>
  <c r="AO285" i="32"/>
  <c r="AF285" i="32"/>
  <c r="AW285" i="32" s="1"/>
  <c r="Z285" i="32"/>
  <c r="V285" i="32"/>
  <c r="R285" i="32"/>
  <c r="AY284" i="32"/>
  <c r="AT284" i="32"/>
  <c r="AP284" i="32"/>
  <c r="AO284" i="32"/>
  <c r="AF284" i="32"/>
  <c r="AW284" i="32" s="1"/>
  <c r="Z284" i="32"/>
  <c r="R284" i="32"/>
  <c r="V284" i="32" s="1"/>
  <c r="AC284" i="32" s="1"/>
  <c r="AV284" i="32" s="1"/>
  <c r="AZ283" i="32"/>
  <c r="AW283" i="32"/>
  <c r="AT283" i="32"/>
  <c r="AP283" i="32"/>
  <c r="AO283" i="32"/>
  <c r="AF283" i="32"/>
  <c r="Z283" i="32"/>
  <c r="R283" i="32"/>
  <c r="AP282" i="32"/>
  <c r="AN282" i="32"/>
  <c r="AM282" i="32"/>
  <c r="AL282" i="32"/>
  <c r="AK282" i="32"/>
  <c r="AJ282" i="32"/>
  <c r="AI282" i="32"/>
  <c r="AH282" i="32"/>
  <c r="AE282" i="32"/>
  <c r="AD282" i="32"/>
  <c r="Y282" i="32"/>
  <c r="X282" i="32"/>
  <c r="W282" i="32"/>
  <c r="U282" i="32"/>
  <c r="T282" i="32"/>
  <c r="S282" i="32"/>
  <c r="AZ281" i="32"/>
  <c r="AY281" i="32"/>
  <c r="AQ281" i="32"/>
  <c r="AX281" i="32" s="1"/>
  <c r="AP281" i="32"/>
  <c r="AO281" i="32"/>
  <c r="AF281" i="32"/>
  <c r="AW281" i="32" s="1"/>
  <c r="AA281" i="32"/>
  <c r="Z281" i="32"/>
  <c r="AT281" i="32" s="1"/>
  <c r="R281" i="32"/>
  <c r="V281" i="32" s="1"/>
  <c r="AZ280" i="32"/>
  <c r="AY280" i="32"/>
  <c r="AQ280" i="32"/>
  <c r="AX280" i="32" s="1"/>
  <c r="AP280" i="32"/>
  <c r="AO280" i="32"/>
  <c r="AF280" i="32"/>
  <c r="AW280" i="32" s="1"/>
  <c r="AA280" i="32"/>
  <c r="Z280" i="32"/>
  <c r="AT280" i="32" s="1"/>
  <c r="R280" i="32"/>
  <c r="V280" i="32" s="1"/>
  <c r="AZ279" i="32"/>
  <c r="AZ282" i="32" s="1"/>
  <c r="AY279" i="32"/>
  <c r="AQ279" i="32"/>
  <c r="AX279" i="32" s="1"/>
  <c r="AP279" i="32"/>
  <c r="AO279" i="32"/>
  <c r="AF279" i="32"/>
  <c r="AW279" i="32" s="1"/>
  <c r="Z279" i="32"/>
  <c r="AT279" i="32" s="1"/>
  <c r="R279" i="32"/>
  <c r="V279" i="32" s="1"/>
  <c r="AB279" i="32" s="1"/>
  <c r="AU279" i="32" s="1"/>
  <c r="AZ278" i="32"/>
  <c r="AW278" i="32"/>
  <c r="AQ278" i="32"/>
  <c r="AX278" i="32" s="1"/>
  <c r="AP278" i="32"/>
  <c r="AO278" i="32"/>
  <c r="AY278" i="32" s="1"/>
  <c r="AF278" i="32"/>
  <c r="Z278" i="32"/>
  <c r="AT278" i="32" s="1"/>
  <c r="R278" i="32"/>
  <c r="V278" i="32" s="1"/>
  <c r="AC278" i="32" s="1"/>
  <c r="AV278" i="32" s="1"/>
  <c r="AZ277" i="32"/>
  <c r="AW277" i="32"/>
  <c r="AQ277" i="32"/>
  <c r="AX277" i="32" s="1"/>
  <c r="AP277" i="32"/>
  <c r="AO277" i="32"/>
  <c r="AY277" i="32" s="1"/>
  <c r="AF277" i="32"/>
  <c r="Z277" i="32"/>
  <c r="AT277" i="32" s="1"/>
  <c r="R277" i="32"/>
  <c r="V277" i="32" s="1"/>
  <c r="AC277" i="32" s="1"/>
  <c r="AV277" i="32" s="1"/>
  <c r="AZ276" i="32"/>
  <c r="AW276" i="32"/>
  <c r="AQ276" i="32"/>
  <c r="AP276" i="32"/>
  <c r="AO276" i="32"/>
  <c r="AO282" i="32" s="1"/>
  <c r="AF276" i="32"/>
  <c r="Z276" i="32"/>
  <c r="R276" i="32"/>
  <c r="AW275" i="32"/>
  <c r="AN275" i="32"/>
  <c r="AM275" i="32"/>
  <c r="AL275" i="32"/>
  <c r="AK275" i="32"/>
  <c r="AJ275" i="32"/>
  <c r="AI275" i="32"/>
  <c r="AH275" i="32"/>
  <c r="AE275" i="32"/>
  <c r="AD275" i="32"/>
  <c r="Y275" i="32"/>
  <c r="X275" i="32"/>
  <c r="W275" i="32"/>
  <c r="U275" i="32"/>
  <c r="T275" i="32"/>
  <c r="S275" i="32"/>
  <c r="AY274" i="32"/>
  <c r="AT274" i="32"/>
  <c r="AP274" i="32"/>
  <c r="AQ274" i="32" s="1"/>
  <c r="AX274" i="32" s="1"/>
  <c r="AO274" i="32"/>
  <c r="AF274" i="32"/>
  <c r="AW274" i="32" s="1"/>
  <c r="AC274" i="32"/>
  <c r="AV274" i="32" s="1"/>
  <c r="AA274" i="32"/>
  <c r="Z274" i="32"/>
  <c r="V274" i="32"/>
  <c r="R274" i="32"/>
  <c r="AY273" i="32"/>
  <c r="AT273" i="32"/>
  <c r="AP273" i="32"/>
  <c r="AQ273" i="32" s="1"/>
  <c r="AX273" i="32" s="1"/>
  <c r="AO273" i="32"/>
  <c r="AF273" i="32"/>
  <c r="AW273" i="32" s="1"/>
  <c r="AC273" i="32"/>
  <c r="AV273" i="32" s="1"/>
  <c r="AA273" i="32"/>
  <c r="Z273" i="32"/>
  <c r="V273" i="32"/>
  <c r="R273" i="32"/>
  <c r="AY272" i="32"/>
  <c r="AQ272" i="32"/>
  <c r="AX272" i="32" s="1"/>
  <c r="AP272" i="32"/>
  <c r="AZ272" i="32" s="1"/>
  <c r="AO272" i="32"/>
  <c r="AF272" i="32"/>
  <c r="AW272" i="32" s="1"/>
  <c r="Z272" i="32"/>
  <c r="AT272" i="32" s="1"/>
  <c r="V272" i="32"/>
  <c r="R272" i="32"/>
  <c r="AY271" i="32"/>
  <c r="AX271" i="32"/>
  <c r="AQ271" i="32"/>
  <c r="AP271" i="32"/>
  <c r="AZ271" i="32" s="1"/>
  <c r="AO271" i="32"/>
  <c r="AF271" i="32"/>
  <c r="AW271" i="32" s="1"/>
  <c r="Z271" i="32"/>
  <c r="AT271" i="32" s="1"/>
  <c r="V271" i="32"/>
  <c r="AC271" i="32" s="1"/>
  <c r="AV271" i="32" s="1"/>
  <c r="R271" i="32"/>
  <c r="AY270" i="32"/>
  <c r="AT270" i="32"/>
  <c r="AP270" i="32"/>
  <c r="AZ270" i="32" s="1"/>
  <c r="AO270" i="32"/>
  <c r="AQ270" i="32" s="1"/>
  <c r="AX270" i="32" s="1"/>
  <c r="AF270" i="32"/>
  <c r="AW270" i="32" s="1"/>
  <c r="Z270" i="32"/>
  <c r="R270" i="32"/>
  <c r="V270" i="32" s="1"/>
  <c r="AB270" i="32" s="1"/>
  <c r="AU270" i="32" s="1"/>
  <c r="AZ269" i="32"/>
  <c r="AW269" i="32"/>
  <c r="AT269" i="32"/>
  <c r="AP269" i="32"/>
  <c r="AO269" i="32"/>
  <c r="AF269" i="32"/>
  <c r="Z269" i="32"/>
  <c r="R269" i="32"/>
  <c r="AO268" i="32"/>
  <c r="AN268" i="32"/>
  <c r="AM268" i="32"/>
  <c r="AL268" i="32"/>
  <c r="AK268" i="32"/>
  <c r="AJ268" i="32"/>
  <c r="AI268" i="32"/>
  <c r="AH268" i="32"/>
  <c r="AE268" i="32"/>
  <c r="AD268" i="32"/>
  <c r="Y268" i="32"/>
  <c r="X268" i="32"/>
  <c r="W268" i="32"/>
  <c r="U268" i="32"/>
  <c r="T268" i="32"/>
  <c r="S268" i="32"/>
  <c r="AZ267" i="32"/>
  <c r="AY267" i="32"/>
  <c r="AQ267" i="32"/>
  <c r="AX267" i="32" s="1"/>
  <c r="AP267" i="32"/>
  <c r="AO267" i="32"/>
  <c r="AF267" i="32"/>
  <c r="AW267" i="32" s="1"/>
  <c r="AA267" i="32"/>
  <c r="Z267" i="32"/>
  <c r="AT267" i="32" s="1"/>
  <c r="R267" i="32"/>
  <c r="V267" i="32" s="1"/>
  <c r="AZ266" i="32"/>
  <c r="AY266" i="32"/>
  <c r="AQ266" i="32"/>
  <c r="AX266" i="32" s="1"/>
  <c r="AP266" i="32"/>
  <c r="AO266" i="32"/>
  <c r="AF266" i="32"/>
  <c r="AW266" i="32" s="1"/>
  <c r="AA266" i="32"/>
  <c r="Z266" i="32"/>
  <c r="AT266" i="32" s="1"/>
  <c r="R266" i="32"/>
  <c r="V266" i="32" s="1"/>
  <c r="AZ265" i="32"/>
  <c r="AY265" i="32"/>
  <c r="AQ265" i="32"/>
  <c r="AX265" i="32" s="1"/>
  <c r="AP265" i="32"/>
  <c r="AO265" i="32"/>
  <c r="AF265" i="32"/>
  <c r="AW265" i="32" s="1"/>
  <c r="AA265" i="32"/>
  <c r="Z265" i="32"/>
  <c r="AT265" i="32" s="1"/>
  <c r="R265" i="32"/>
  <c r="V265" i="32" s="1"/>
  <c r="AZ264" i="32"/>
  <c r="AY264" i="32"/>
  <c r="AQ264" i="32"/>
  <c r="AX264" i="32" s="1"/>
  <c r="AP264" i="32"/>
  <c r="AO264" i="32"/>
  <c r="AF264" i="32"/>
  <c r="AW264" i="32" s="1"/>
  <c r="Z264" i="32"/>
  <c r="AT264" i="32" s="1"/>
  <c r="R264" i="32"/>
  <c r="V264" i="32" s="1"/>
  <c r="AZ263" i="32"/>
  <c r="AY263" i="32"/>
  <c r="AQ263" i="32"/>
  <c r="AX263" i="32" s="1"/>
  <c r="AP263" i="32"/>
  <c r="AO263" i="32"/>
  <c r="AF263" i="32"/>
  <c r="AW263" i="32" s="1"/>
  <c r="AA263" i="32"/>
  <c r="Z263" i="32"/>
  <c r="AT263" i="32" s="1"/>
  <c r="R263" i="32"/>
  <c r="V263" i="32" s="1"/>
  <c r="AZ262" i="32"/>
  <c r="AZ268" i="32" s="1"/>
  <c r="AY262" i="32"/>
  <c r="AY268" i="32" s="1"/>
  <c r="AQ262" i="32"/>
  <c r="AP262" i="32"/>
  <c r="AP268" i="32" s="1"/>
  <c r="AO262" i="32"/>
  <c r="AF262" i="32"/>
  <c r="Z262" i="32"/>
  <c r="R262" i="32"/>
  <c r="V262" i="32" s="1"/>
  <c r="AA262" i="32" s="1"/>
  <c r="AN261" i="32"/>
  <c r="AM261" i="32"/>
  <c r="AL261" i="32"/>
  <c r="AK261" i="32"/>
  <c r="AJ261" i="32"/>
  <c r="AI261" i="32"/>
  <c r="AH261" i="32"/>
  <c r="AE261" i="32"/>
  <c r="AD261" i="32"/>
  <c r="Y261" i="32"/>
  <c r="X261" i="32"/>
  <c r="W261" i="32"/>
  <c r="U261" i="32"/>
  <c r="T261" i="32"/>
  <c r="S261" i="32"/>
  <c r="AY260" i="32"/>
  <c r="AT260" i="32"/>
  <c r="AQ260" i="32"/>
  <c r="AX260" i="32" s="1"/>
  <c r="AP260" i="32"/>
  <c r="AZ260" i="32" s="1"/>
  <c r="AO260" i="32"/>
  <c r="AF260" i="32"/>
  <c r="AW260" i="32" s="1"/>
  <c r="AC260" i="32"/>
  <c r="AV260" i="32" s="1"/>
  <c r="Z260" i="32"/>
  <c r="V260" i="32"/>
  <c r="R260" i="32"/>
  <c r="AY259" i="32"/>
  <c r="AT259" i="32"/>
  <c r="AP259" i="32"/>
  <c r="AQ259" i="32" s="1"/>
  <c r="AX259" i="32" s="1"/>
  <c r="AO259" i="32"/>
  <c r="AF259" i="32"/>
  <c r="AW259" i="32" s="1"/>
  <c r="Z259" i="32"/>
  <c r="V259" i="32"/>
  <c r="AC259" i="32" s="1"/>
  <c r="AV259" i="32" s="1"/>
  <c r="R259" i="32"/>
  <c r="AY258" i="32"/>
  <c r="AQ258" i="32"/>
  <c r="AX258" i="32" s="1"/>
  <c r="AP258" i="32"/>
  <c r="AZ258" i="32" s="1"/>
  <c r="AO258" i="32"/>
  <c r="AF258" i="32"/>
  <c r="AW258" i="32" s="1"/>
  <c r="Z258" i="32"/>
  <c r="AT258" i="32" s="1"/>
  <c r="V258" i="32"/>
  <c r="AC258" i="32" s="1"/>
  <c r="AV258" i="32" s="1"/>
  <c r="R258" i="32"/>
  <c r="AY257" i="32"/>
  <c r="AX257" i="32"/>
  <c r="AQ257" i="32"/>
  <c r="AP257" i="32"/>
  <c r="AZ257" i="32" s="1"/>
  <c r="AO257" i="32"/>
  <c r="AF257" i="32"/>
  <c r="AW257" i="32" s="1"/>
  <c r="Z257" i="32"/>
  <c r="AT257" i="32" s="1"/>
  <c r="V257" i="32"/>
  <c r="AC257" i="32" s="1"/>
  <c r="AV257" i="32" s="1"/>
  <c r="R257" i="32"/>
  <c r="AY256" i="32"/>
  <c r="AT256" i="32"/>
  <c r="AP256" i="32"/>
  <c r="AZ256" i="32" s="1"/>
  <c r="AO256" i="32"/>
  <c r="AF256" i="32"/>
  <c r="AW256" i="32" s="1"/>
  <c r="AC256" i="32"/>
  <c r="AV256" i="32" s="1"/>
  <c r="AA256" i="32"/>
  <c r="Z256" i="32"/>
  <c r="V256" i="32"/>
  <c r="R256" i="32"/>
  <c r="AY255" i="32"/>
  <c r="AY261" i="32" s="1"/>
  <c r="AT255" i="32"/>
  <c r="AP255" i="32"/>
  <c r="AP261" i="32" s="1"/>
  <c r="AO255" i="32"/>
  <c r="AO261" i="32" s="1"/>
  <c r="AF255" i="32"/>
  <c r="AW255" i="32" s="1"/>
  <c r="AW261" i="32" s="1"/>
  <c r="Z255" i="32"/>
  <c r="V255" i="32"/>
  <c r="AC255" i="32" s="1"/>
  <c r="R255" i="32"/>
  <c r="R261" i="32" s="1"/>
  <c r="AN254" i="32"/>
  <c r="AM254" i="32"/>
  <c r="AL254" i="32"/>
  <c r="AK254" i="32"/>
  <c r="AJ254" i="32"/>
  <c r="AI254" i="32"/>
  <c r="AH254" i="32"/>
  <c r="AE254" i="32"/>
  <c r="AD254" i="32"/>
  <c r="Z254" i="32"/>
  <c r="Y254" i="32"/>
  <c r="X254" i="32"/>
  <c r="W254" i="32"/>
  <c r="U254" i="32"/>
  <c r="T254" i="32"/>
  <c r="S254" i="32"/>
  <c r="AW253" i="32"/>
  <c r="AT253" i="32"/>
  <c r="AP253" i="32"/>
  <c r="AZ253" i="32" s="1"/>
  <c r="AO253" i="32"/>
  <c r="AY253" i="32" s="1"/>
  <c r="AF253" i="32"/>
  <c r="Z253" i="32"/>
  <c r="R253" i="32"/>
  <c r="V253" i="32" s="1"/>
  <c r="AW252" i="32"/>
  <c r="AW254" i="32" s="1"/>
  <c r="AT252" i="32"/>
  <c r="AT254" i="32" s="1"/>
  <c r="AP252" i="32"/>
  <c r="AP254" i="32" s="1"/>
  <c r="AO252" i="32"/>
  <c r="AO254" i="32" s="1"/>
  <c r="AF252" i="32"/>
  <c r="AF254" i="32" s="1"/>
  <c r="Z252" i="32"/>
  <c r="R252" i="32"/>
  <c r="V252" i="32" s="1"/>
  <c r="AP251" i="32"/>
  <c r="AN251" i="32"/>
  <c r="AM251" i="32"/>
  <c r="AL251" i="32"/>
  <c r="AK251" i="32"/>
  <c r="AJ251" i="32"/>
  <c r="AI251" i="32"/>
  <c r="AH251" i="32"/>
  <c r="AE251" i="32"/>
  <c r="AD251" i="32"/>
  <c r="Z251" i="32"/>
  <c r="Y251" i="32"/>
  <c r="X251" i="32"/>
  <c r="W251" i="32"/>
  <c r="U251" i="32"/>
  <c r="T251" i="32"/>
  <c r="S251" i="32"/>
  <c r="AZ250" i="32"/>
  <c r="AW250" i="32"/>
  <c r="AP250" i="32"/>
  <c r="AO250" i="32"/>
  <c r="AY250" i="32" s="1"/>
  <c r="AF250" i="32"/>
  <c r="Z250" i="32"/>
  <c r="AT250" i="32" s="1"/>
  <c r="R250" i="32"/>
  <c r="V250" i="32" s="1"/>
  <c r="AZ249" i="32"/>
  <c r="AW249" i="32"/>
  <c r="AP249" i="32"/>
  <c r="AO249" i="32"/>
  <c r="AY249" i="32" s="1"/>
  <c r="AF249" i="32"/>
  <c r="Z249" i="32"/>
  <c r="AT249" i="32" s="1"/>
  <c r="R249" i="32"/>
  <c r="V249" i="32" s="1"/>
  <c r="AZ248" i="32"/>
  <c r="AW248" i="32"/>
  <c r="AP248" i="32"/>
  <c r="AO248" i="32"/>
  <c r="AY248" i="32" s="1"/>
  <c r="AF248" i="32"/>
  <c r="Z248" i="32"/>
  <c r="AT248" i="32" s="1"/>
  <c r="R248" i="32"/>
  <c r="V248" i="32" s="1"/>
  <c r="AZ247" i="32"/>
  <c r="AW247" i="32"/>
  <c r="AP247" i="32"/>
  <c r="AO247" i="32"/>
  <c r="AY247" i="32" s="1"/>
  <c r="AF247" i="32"/>
  <c r="Z247" i="32"/>
  <c r="AT247" i="32" s="1"/>
  <c r="R247" i="32"/>
  <c r="V247" i="32" s="1"/>
  <c r="AZ246" i="32"/>
  <c r="AW246" i="32"/>
  <c r="AP246" i="32"/>
  <c r="AO246" i="32"/>
  <c r="AY246" i="32" s="1"/>
  <c r="AF246" i="32"/>
  <c r="Z246" i="32"/>
  <c r="AT246" i="32" s="1"/>
  <c r="R246" i="32"/>
  <c r="V246" i="32" s="1"/>
  <c r="AZ245" i="32"/>
  <c r="AZ251" i="32" s="1"/>
  <c r="AW245" i="32"/>
  <c r="AW251" i="32" s="1"/>
  <c r="AP245" i="32"/>
  <c r="AO245" i="32"/>
  <c r="AO251" i="32" s="1"/>
  <c r="AF245" i="32"/>
  <c r="AF251" i="32" s="1"/>
  <c r="Z245" i="32"/>
  <c r="AT245" i="32" s="1"/>
  <c r="R245" i="32"/>
  <c r="R251" i="32" s="1"/>
  <c r="AO244" i="32"/>
  <c r="AN244" i="32"/>
  <c r="AM244" i="32"/>
  <c r="AL244" i="32"/>
  <c r="AK244" i="32"/>
  <c r="AJ244" i="32"/>
  <c r="AI244" i="32"/>
  <c r="AH244" i="32"/>
  <c r="AE244" i="32"/>
  <c r="AD244" i="32"/>
  <c r="Y244" i="32"/>
  <c r="X244" i="32"/>
  <c r="W244" i="32"/>
  <c r="U244" i="32"/>
  <c r="T244" i="32"/>
  <c r="S244" i="32"/>
  <c r="AZ243" i="32"/>
  <c r="AY243" i="32"/>
  <c r="AQ243" i="32"/>
  <c r="AX243" i="32" s="1"/>
  <c r="AP243" i="32"/>
  <c r="AO243" i="32"/>
  <c r="AF243" i="32"/>
  <c r="AW243" i="32" s="1"/>
  <c r="Z243" i="32"/>
  <c r="AT243" i="32" s="1"/>
  <c r="R243" i="32"/>
  <c r="V243" i="32" s="1"/>
  <c r="AZ242" i="32"/>
  <c r="AY242" i="32"/>
  <c r="AQ242" i="32"/>
  <c r="AX242" i="32" s="1"/>
  <c r="AP242" i="32"/>
  <c r="AO242" i="32"/>
  <c r="AF242" i="32"/>
  <c r="AW242" i="32" s="1"/>
  <c r="Z242" i="32"/>
  <c r="AT242" i="32" s="1"/>
  <c r="R242" i="32"/>
  <c r="V242" i="32" s="1"/>
  <c r="AZ241" i="32"/>
  <c r="AZ244" i="32" s="1"/>
  <c r="AY241" i="32"/>
  <c r="AY244" i="32" s="1"/>
  <c r="AQ241" i="32"/>
  <c r="AQ244" i="32" s="1"/>
  <c r="AP241" i="32"/>
  <c r="AP244" i="32" s="1"/>
  <c r="AO241" i="32"/>
  <c r="AF241" i="32"/>
  <c r="AF244" i="32" s="1"/>
  <c r="Z241" i="32"/>
  <c r="AT241" i="32" s="1"/>
  <c r="AT244" i="32" s="1"/>
  <c r="R241" i="32"/>
  <c r="V241" i="32" s="1"/>
  <c r="AN240" i="32"/>
  <c r="AM240" i="32"/>
  <c r="AL240" i="32"/>
  <c r="AK240" i="32"/>
  <c r="AJ240" i="32"/>
  <c r="AI240" i="32"/>
  <c r="AH240" i="32"/>
  <c r="AE240" i="32"/>
  <c r="AD240" i="32"/>
  <c r="Y240" i="32"/>
  <c r="X240" i="32"/>
  <c r="W240" i="32"/>
  <c r="U240" i="32"/>
  <c r="T240" i="32"/>
  <c r="S240" i="32"/>
  <c r="AY239" i="32"/>
  <c r="AP239" i="32"/>
  <c r="AQ239" i="32" s="1"/>
  <c r="AX239" i="32" s="1"/>
  <c r="AO239" i="32"/>
  <c r="AF239" i="32"/>
  <c r="AW239" i="32" s="1"/>
  <c r="Z239" i="32"/>
  <c r="AT239" i="32" s="1"/>
  <c r="V239" i="32"/>
  <c r="AC239" i="32" s="1"/>
  <c r="AV239" i="32" s="1"/>
  <c r="R239" i="32"/>
  <c r="AY238" i="32"/>
  <c r="AP238" i="32"/>
  <c r="AQ238" i="32" s="1"/>
  <c r="AX238" i="32" s="1"/>
  <c r="AO238" i="32"/>
  <c r="AF238" i="32"/>
  <c r="AW238" i="32" s="1"/>
  <c r="Z238" i="32"/>
  <c r="AT238" i="32" s="1"/>
  <c r="V238" i="32"/>
  <c r="AC238" i="32" s="1"/>
  <c r="AV238" i="32" s="1"/>
  <c r="R238" i="32"/>
  <c r="AY237" i="32"/>
  <c r="AP237" i="32"/>
  <c r="AQ237" i="32" s="1"/>
  <c r="AX237" i="32" s="1"/>
  <c r="AO237" i="32"/>
  <c r="AF237" i="32"/>
  <c r="AW237" i="32" s="1"/>
  <c r="Z237" i="32"/>
  <c r="AT237" i="32" s="1"/>
  <c r="V237" i="32"/>
  <c r="AC237" i="32" s="1"/>
  <c r="AV237" i="32" s="1"/>
  <c r="R237" i="32"/>
  <c r="AY236" i="32"/>
  <c r="AQ236" i="32"/>
  <c r="AX236" i="32" s="1"/>
  <c r="AP236" i="32"/>
  <c r="AZ236" i="32" s="1"/>
  <c r="AO236" i="32"/>
  <c r="AF236" i="32"/>
  <c r="AW236" i="32" s="1"/>
  <c r="Z236" i="32"/>
  <c r="AT236" i="32" s="1"/>
  <c r="V236" i="32"/>
  <c r="AC236" i="32" s="1"/>
  <c r="AV236" i="32" s="1"/>
  <c r="R236" i="32"/>
  <c r="AY235" i="32"/>
  <c r="AQ235" i="32"/>
  <c r="AX235" i="32" s="1"/>
  <c r="AP235" i="32"/>
  <c r="AZ235" i="32" s="1"/>
  <c r="AO235" i="32"/>
  <c r="AF235" i="32"/>
  <c r="AW235" i="32" s="1"/>
  <c r="Z235" i="32"/>
  <c r="AT235" i="32" s="1"/>
  <c r="V235" i="32"/>
  <c r="AC235" i="32" s="1"/>
  <c r="AV235" i="32" s="1"/>
  <c r="R235" i="32"/>
  <c r="AY234" i="32"/>
  <c r="AY240" i="32" s="1"/>
  <c r="AQ234" i="32"/>
  <c r="AQ240" i="32" s="1"/>
  <c r="AP234" i="32"/>
  <c r="AP240" i="32" s="1"/>
  <c r="AO234" i="32"/>
  <c r="AO240" i="32" s="1"/>
  <c r="AF234" i="32"/>
  <c r="AF240" i="32" s="1"/>
  <c r="Z234" i="32"/>
  <c r="AT234" i="32" s="1"/>
  <c r="AT240" i="32" s="1"/>
  <c r="V234" i="32"/>
  <c r="AC234" i="32" s="1"/>
  <c r="R234" i="32"/>
  <c r="R240" i="32" s="1"/>
  <c r="AN233" i="32"/>
  <c r="AM233" i="32"/>
  <c r="AL233" i="32"/>
  <c r="AK233" i="32"/>
  <c r="AJ233" i="32"/>
  <c r="AI233" i="32"/>
  <c r="AH233" i="32"/>
  <c r="AE233" i="32"/>
  <c r="AD233" i="32"/>
  <c r="Z233" i="32"/>
  <c r="Y233" i="32"/>
  <c r="X233" i="32"/>
  <c r="W233" i="32"/>
  <c r="U233" i="32"/>
  <c r="T233" i="32"/>
  <c r="S233" i="32"/>
  <c r="AW232" i="32"/>
  <c r="AT232" i="32"/>
  <c r="AP232" i="32"/>
  <c r="AZ232" i="32" s="1"/>
  <c r="AO232" i="32"/>
  <c r="AY232" i="32" s="1"/>
  <c r="AF232" i="32"/>
  <c r="Z232" i="32"/>
  <c r="V232" i="32"/>
  <c r="AC232" i="32" s="1"/>
  <c r="AV232" i="32" s="1"/>
  <c r="R232" i="32"/>
  <c r="AW231" i="32"/>
  <c r="AT231" i="32"/>
  <c r="AP231" i="32"/>
  <c r="AZ231" i="32" s="1"/>
  <c r="AO231" i="32"/>
  <c r="AY231" i="32" s="1"/>
  <c r="AF231" i="32"/>
  <c r="Z231" i="32"/>
  <c r="V231" i="32"/>
  <c r="AC231" i="32" s="1"/>
  <c r="AV231" i="32" s="1"/>
  <c r="R231" i="32"/>
  <c r="AW230" i="32"/>
  <c r="AT230" i="32"/>
  <c r="AP230" i="32"/>
  <c r="AZ230" i="32" s="1"/>
  <c r="AO230" i="32"/>
  <c r="AY230" i="32" s="1"/>
  <c r="AF230" i="32"/>
  <c r="Z230" i="32"/>
  <c r="V230" i="32"/>
  <c r="AC230" i="32" s="1"/>
  <c r="AV230" i="32" s="1"/>
  <c r="R230" i="32"/>
  <c r="AW229" i="32"/>
  <c r="AT229" i="32"/>
  <c r="AP229" i="32"/>
  <c r="AZ229" i="32" s="1"/>
  <c r="AO229" i="32"/>
  <c r="AY229" i="32" s="1"/>
  <c r="AF229" i="32"/>
  <c r="Z229" i="32"/>
  <c r="V229" i="32"/>
  <c r="AC229" i="32" s="1"/>
  <c r="AV229" i="32" s="1"/>
  <c r="R229" i="32"/>
  <c r="AW228" i="32"/>
  <c r="AT228" i="32"/>
  <c r="AP228" i="32"/>
  <c r="AZ228" i="32" s="1"/>
  <c r="AO228" i="32"/>
  <c r="AY228" i="32" s="1"/>
  <c r="AF228" i="32"/>
  <c r="Z228" i="32"/>
  <c r="R228" i="32"/>
  <c r="V228" i="32" s="1"/>
  <c r="AW227" i="32"/>
  <c r="AW233" i="32" s="1"/>
  <c r="AT227" i="32"/>
  <c r="AT233" i="32" s="1"/>
  <c r="AP227" i="32"/>
  <c r="AO227" i="32"/>
  <c r="AF227" i="32"/>
  <c r="AF233" i="32" s="1"/>
  <c r="Z227" i="32"/>
  <c r="R227" i="32"/>
  <c r="R233" i="32" s="1"/>
  <c r="AP226" i="32"/>
  <c r="AN226" i="32"/>
  <c r="AM226" i="32"/>
  <c r="AL226" i="32"/>
  <c r="AK226" i="32"/>
  <c r="AJ226" i="32"/>
  <c r="AI226" i="32"/>
  <c r="AH226" i="32"/>
  <c r="AE226" i="32"/>
  <c r="AD226" i="32"/>
  <c r="Z226" i="32"/>
  <c r="Y226" i="32"/>
  <c r="X226" i="32"/>
  <c r="W226" i="32"/>
  <c r="U226" i="32"/>
  <c r="T226" i="32"/>
  <c r="S226" i="32"/>
  <c r="AZ225" i="32"/>
  <c r="AW225" i="32"/>
  <c r="AV225" i="32"/>
  <c r="AS225" i="32"/>
  <c r="AP225" i="32"/>
  <c r="AO225" i="32"/>
  <c r="AG225" i="32"/>
  <c r="AR225" i="32" s="1"/>
  <c r="AF225" i="32"/>
  <c r="AB225" i="32"/>
  <c r="AU225" i="32" s="1"/>
  <c r="AA225" i="32"/>
  <c r="Z225" i="32"/>
  <c r="AT225" i="32" s="1"/>
  <c r="R225" i="32"/>
  <c r="V225" i="32" s="1"/>
  <c r="AC225" i="32" s="1"/>
  <c r="AZ224" i="32"/>
  <c r="AW224" i="32"/>
  <c r="AV224" i="32"/>
  <c r="AP224" i="32"/>
  <c r="AO224" i="32"/>
  <c r="AF224" i="32"/>
  <c r="AA224" i="32"/>
  <c r="Z224" i="32"/>
  <c r="AT224" i="32" s="1"/>
  <c r="R224" i="32"/>
  <c r="V224" i="32" s="1"/>
  <c r="AC224" i="32" s="1"/>
  <c r="AZ223" i="32"/>
  <c r="AW223" i="32"/>
  <c r="AW226" i="32" s="1"/>
  <c r="AS223" i="32"/>
  <c r="AP223" i="32"/>
  <c r="AO223" i="32"/>
  <c r="AF223" i="32"/>
  <c r="AF226" i="32" s="1"/>
  <c r="AB223" i="32"/>
  <c r="Z223" i="32"/>
  <c r="AT223" i="32" s="1"/>
  <c r="AT226" i="32" s="1"/>
  <c r="R223" i="32"/>
  <c r="V223" i="32" s="1"/>
  <c r="AC223" i="32" s="1"/>
  <c r="AV223" i="32" s="1"/>
  <c r="AV226" i="32" s="1"/>
  <c r="AZ222" i="32"/>
  <c r="AO222" i="32"/>
  <c r="AN222" i="32"/>
  <c r="AM222" i="32"/>
  <c r="AL222" i="32"/>
  <c r="AK222" i="32"/>
  <c r="AJ222" i="32"/>
  <c r="AI222" i="32"/>
  <c r="AH222" i="32"/>
  <c r="AE222" i="32"/>
  <c r="AD222" i="32"/>
  <c r="Y222" i="32"/>
  <c r="X222" i="32"/>
  <c r="W222" i="32"/>
  <c r="U222" i="32"/>
  <c r="T222" i="32"/>
  <c r="S222" i="32"/>
  <c r="AZ221" i="32"/>
  <c r="AY221" i="32"/>
  <c r="AY222" i="32" s="1"/>
  <c r="AQ221" i="32"/>
  <c r="AP221" i="32"/>
  <c r="AP222" i="32" s="1"/>
  <c r="AO221" i="32"/>
  <c r="AF221" i="32"/>
  <c r="AW221" i="32" s="1"/>
  <c r="AW222" i="32" s="1"/>
  <c r="Z221" i="32"/>
  <c r="AA221" i="32" s="1"/>
  <c r="R221" i="32"/>
  <c r="V221" i="32" s="1"/>
  <c r="AN220" i="32"/>
  <c r="AM220" i="32"/>
  <c r="AL220" i="32"/>
  <c r="AK220" i="32"/>
  <c r="AJ220" i="32"/>
  <c r="AI220" i="32"/>
  <c r="AH220" i="32"/>
  <c r="AE220" i="32"/>
  <c r="AD220" i="32"/>
  <c r="Y220" i="32"/>
  <c r="X220" i="32"/>
  <c r="W220" i="32"/>
  <c r="U220" i="32"/>
  <c r="T220" i="32"/>
  <c r="S220" i="32"/>
  <c r="AW219" i="32"/>
  <c r="AT219" i="32"/>
  <c r="AP219" i="32"/>
  <c r="AZ219" i="32" s="1"/>
  <c r="AO219" i="32"/>
  <c r="AY219" i="32" s="1"/>
  <c r="AF219" i="32"/>
  <c r="Z219" i="32"/>
  <c r="V219" i="32"/>
  <c r="AA219" i="32" s="1"/>
  <c r="R219" i="32"/>
  <c r="AW218" i="32"/>
  <c r="AT218" i="32"/>
  <c r="AP218" i="32"/>
  <c r="AZ218" i="32" s="1"/>
  <c r="AO218" i="32"/>
  <c r="AY218" i="32" s="1"/>
  <c r="AF218" i="32"/>
  <c r="Z218" i="32"/>
  <c r="V218" i="32"/>
  <c r="AA218" i="32" s="1"/>
  <c r="R218" i="32"/>
  <c r="AW217" i="32"/>
  <c r="AT217" i="32"/>
  <c r="AP217" i="32"/>
  <c r="AZ217" i="32" s="1"/>
  <c r="AO217" i="32"/>
  <c r="AY217" i="32" s="1"/>
  <c r="AF217" i="32"/>
  <c r="Z217" i="32"/>
  <c r="V217" i="32"/>
  <c r="AA217" i="32" s="1"/>
  <c r="R217" i="32"/>
  <c r="AW216" i="32"/>
  <c r="AT216" i="32"/>
  <c r="AP216" i="32"/>
  <c r="AZ216" i="32" s="1"/>
  <c r="AO216" i="32"/>
  <c r="AY216" i="32" s="1"/>
  <c r="AF216" i="32"/>
  <c r="Z216" i="32"/>
  <c r="V216" i="32"/>
  <c r="AA216" i="32" s="1"/>
  <c r="R216" i="32"/>
  <c r="AW215" i="32"/>
  <c r="AT215" i="32"/>
  <c r="AP215" i="32"/>
  <c r="AZ215" i="32" s="1"/>
  <c r="AO215" i="32"/>
  <c r="AY215" i="32" s="1"/>
  <c r="AF215" i="32"/>
  <c r="Z215" i="32"/>
  <c r="V215" i="32"/>
  <c r="AA215" i="32" s="1"/>
  <c r="R215" i="32"/>
  <c r="AW214" i="32"/>
  <c r="AW220" i="32" s="1"/>
  <c r="AT214" i="32"/>
  <c r="AT220" i="32" s="1"/>
  <c r="AP214" i="32"/>
  <c r="AP220" i="32" s="1"/>
  <c r="AO214" i="32"/>
  <c r="AO220" i="32" s="1"/>
  <c r="AF214" i="32"/>
  <c r="AF220" i="32" s="1"/>
  <c r="Z214" i="32"/>
  <c r="Z220" i="32" s="1"/>
  <c r="V214" i="32"/>
  <c r="AA214" i="32" s="1"/>
  <c r="R214" i="32"/>
  <c r="R220" i="32" s="1"/>
  <c r="AP213" i="32"/>
  <c r="AN213" i="32"/>
  <c r="AM213" i="32"/>
  <c r="AL213" i="32"/>
  <c r="AK213" i="32"/>
  <c r="AJ213" i="32"/>
  <c r="AI213" i="32"/>
  <c r="AH213" i="32"/>
  <c r="AE213" i="32"/>
  <c r="AD213" i="32"/>
  <c r="Y213" i="32"/>
  <c r="X213" i="32"/>
  <c r="W213" i="32"/>
  <c r="U213" i="32"/>
  <c r="T213" i="32"/>
  <c r="S213" i="32"/>
  <c r="AZ212" i="32"/>
  <c r="AW212" i="32"/>
  <c r="AP212" i="32"/>
  <c r="AO212" i="32"/>
  <c r="AY212" i="32" s="1"/>
  <c r="AF212" i="32"/>
  <c r="Z212" i="32"/>
  <c r="AT212" i="32" s="1"/>
  <c r="R212" i="32"/>
  <c r="V212" i="32" s="1"/>
  <c r="AZ211" i="32"/>
  <c r="AW211" i="32"/>
  <c r="AP211" i="32"/>
  <c r="AO211" i="32"/>
  <c r="AY211" i="32" s="1"/>
  <c r="AF211" i="32"/>
  <c r="Z211" i="32"/>
  <c r="AT211" i="32" s="1"/>
  <c r="R211" i="32"/>
  <c r="V211" i="32" s="1"/>
  <c r="AZ210" i="32"/>
  <c r="AW210" i="32"/>
  <c r="AP210" i="32"/>
  <c r="AO210" i="32"/>
  <c r="AY210" i="32" s="1"/>
  <c r="AF210" i="32"/>
  <c r="Z210" i="32"/>
  <c r="AT210" i="32" s="1"/>
  <c r="R210" i="32"/>
  <c r="V210" i="32" s="1"/>
  <c r="AZ209" i="32"/>
  <c r="AW209" i="32"/>
  <c r="AP209" i="32"/>
  <c r="AO209" i="32"/>
  <c r="AY209" i="32" s="1"/>
  <c r="AF209" i="32"/>
  <c r="Z209" i="32"/>
  <c r="AT209" i="32" s="1"/>
  <c r="R209" i="32"/>
  <c r="V209" i="32" s="1"/>
  <c r="AZ208" i="32"/>
  <c r="AW208" i="32"/>
  <c r="AP208" i="32"/>
  <c r="AO208" i="32"/>
  <c r="AY208" i="32" s="1"/>
  <c r="AF208" i="32"/>
  <c r="Z208" i="32"/>
  <c r="AT208" i="32" s="1"/>
  <c r="R208" i="32"/>
  <c r="V208" i="32" s="1"/>
  <c r="AZ207" i="32"/>
  <c r="AW207" i="32"/>
  <c r="AP207" i="32"/>
  <c r="AO207" i="32"/>
  <c r="AY207" i="32" s="1"/>
  <c r="AF207" i="32"/>
  <c r="Z207" i="32"/>
  <c r="AT207" i="32" s="1"/>
  <c r="R207" i="32"/>
  <c r="V207" i="32" s="1"/>
  <c r="AZ206" i="32"/>
  <c r="AW206" i="32"/>
  <c r="AP206" i="32"/>
  <c r="AO206" i="32"/>
  <c r="AY206" i="32" s="1"/>
  <c r="AF206" i="32"/>
  <c r="Z206" i="32"/>
  <c r="AT206" i="32" s="1"/>
  <c r="R206" i="32"/>
  <c r="V206" i="32" s="1"/>
  <c r="AZ205" i="32"/>
  <c r="AZ213" i="32" s="1"/>
  <c r="AW205" i="32"/>
  <c r="AW213" i="32" s="1"/>
  <c r="AP205" i="32"/>
  <c r="AO205" i="32"/>
  <c r="AY205" i="32" s="1"/>
  <c r="AF205" i="32"/>
  <c r="AF213" i="32" s="1"/>
  <c r="Z205" i="32"/>
  <c r="AT205" i="32" s="1"/>
  <c r="AT213" i="32" s="1"/>
  <c r="R205" i="32"/>
  <c r="V205" i="32" s="1"/>
  <c r="AY204" i="32"/>
  <c r="AO204" i="32"/>
  <c r="AN204" i="32"/>
  <c r="AM204" i="32"/>
  <c r="AL204" i="32"/>
  <c r="AK204" i="32"/>
  <c r="AJ204" i="32"/>
  <c r="AI204" i="32"/>
  <c r="AH204" i="32"/>
  <c r="AE204" i="32"/>
  <c r="AD204" i="32"/>
  <c r="Y204" i="32"/>
  <c r="X204" i="32"/>
  <c r="W204" i="32"/>
  <c r="U204" i="32"/>
  <c r="T204" i="32"/>
  <c r="S204" i="32"/>
  <c r="AZ203" i="32"/>
  <c r="AY203" i="32"/>
  <c r="AT203" i="32"/>
  <c r="AP203" i="32"/>
  <c r="AQ203" i="32" s="1"/>
  <c r="AX203" i="32" s="1"/>
  <c r="AO203" i="32"/>
  <c r="AF203" i="32"/>
  <c r="AW203" i="32" s="1"/>
  <c r="AA203" i="32"/>
  <c r="Z203" i="32"/>
  <c r="V203" i="32"/>
  <c r="AC203" i="32" s="1"/>
  <c r="AV203" i="32" s="1"/>
  <c r="R203" i="32"/>
  <c r="AZ202" i="32"/>
  <c r="AY202" i="32"/>
  <c r="AT202" i="32"/>
  <c r="AP202" i="32"/>
  <c r="AQ202" i="32" s="1"/>
  <c r="AX202" i="32" s="1"/>
  <c r="AO202" i="32"/>
  <c r="AF202" i="32"/>
  <c r="AW202" i="32" s="1"/>
  <c r="AA202" i="32"/>
  <c r="Z202" i="32"/>
  <c r="V202" i="32"/>
  <c r="AC202" i="32" s="1"/>
  <c r="AV202" i="32" s="1"/>
  <c r="R202" i="32"/>
  <c r="AZ201" i="32"/>
  <c r="AY201" i="32"/>
  <c r="AT201" i="32"/>
  <c r="AP201" i="32"/>
  <c r="AQ201" i="32" s="1"/>
  <c r="AX201" i="32" s="1"/>
  <c r="AO201" i="32"/>
  <c r="AF201" i="32"/>
  <c r="AW201" i="32" s="1"/>
  <c r="AA201" i="32"/>
  <c r="Z201" i="32"/>
  <c r="V201" i="32"/>
  <c r="AC201" i="32" s="1"/>
  <c r="AV201" i="32" s="1"/>
  <c r="R201" i="32"/>
  <c r="AY200" i="32"/>
  <c r="AT200" i="32"/>
  <c r="AP200" i="32"/>
  <c r="AZ200" i="32" s="1"/>
  <c r="AO200" i="32"/>
  <c r="AF200" i="32"/>
  <c r="AW200" i="32" s="1"/>
  <c r="AA200" i="32"/>
  <c r="Z200" i="32"/>
  <c r="V200" i="32"/>
  <c r="AC200" i="32" s="1"/>
  <c r="AV200" i="32" s="1"/>
  <c r="R200" i="32"/>
  <c r="AY199" i="32"/>
  <c r="AT199" i="32"/>
  <c r="AT204" i="32" s="1"/>
  <c r="AP199" i="32"/>
  <c r="AP204" i="32" s="1"/>
  <c r="AO199" i="32"/>
  <c r="AF199" i="32"/>
  <c r="AW199" i="32" s="1"/>
  <c r="Z199" i="32"/>
  <c r="Z204" i="32" s="1"/>
  <c r="V199" i="32"/>
  <c r="AC199" i="32" s="1"/>
  <c r="R199" i="32"/>
  <c r="R204" i="32" s="1"/>
  <c r="AP198" i="32"/>
  <c r="AN198" i="32"/>
  <c r="AM198" i="32"/>
  <c r="AL198" i="32"/>
  <c r="AK198" i="32"/>
  <c r="AJ198" i="32"/>
  <c r="AI198" i="32"/>
  <c r="AH198" i="32"/>
  <c r="AE198" i="32"/>
  <c r="AD198" i="32"/>
  <c r="Y198" i="32"/>
  <c r="X198" i="32"/>
  <c r="W198" i="32"/>
  <c r="U198" i="32"/>
  <c r="T198" i="32"/>
  <c r="S198" i="32"/>
  <c r="AP197" i="32"/>
  <c r="AZ197" i="32" s="1"/>
  <c r="AO197" i="32"/>
  <c r="AY197" i="32" s="1"/>
  <c r="AF197" i="32"/>
  <c r="AW197" i="32" s="1"/>
  <c r="Z197" i="32"/>
  <c r="AT197" i="32" s="1"/>
  <c r="R197" i="32"/>
  <c r="V197" i="32" s="1"/>
  <c r="AP196" i="32"/>
  <c r="AZ196" i="32" s="1"/>
  <c r="AO196" i="32"/>
  <c r="AY196" i="32" s="1"/>
  <c r="AF196" i="32"/>
  <c r="AW196" i="32" s="1"/>
  <c r="Z196" i="32"/>
  <c r="AT196" i="32" s="1"/>
  <c r="R196" i="32"/>
  <c r="V196" i="32" s="1"/>
  <c r="AP195" i="32"/>
  <c r="AZ195" i="32" s="1"/>
  <c r="AZ198" i="32" s="1"/>
  <c r="AO195" i="32"/>
  <c r="AO198" i="32" s="1"/>
  <c r="AF195" i="32"/>
  <c r="AW195" i="32" s="1"/>
  <c r="Z195" i="32"/>
  <c r="Z198" i="32" s="1"/>
  <c r="R195" i="32"/>
  <c r="R198" i="32" s="1"/>
  <c r="AW194" i="32"/>
  <c r="AO194" i="32"/>
  <c r="AN194" i="32"/>
  <c r="AM194" i="32"/>
  <c r="AL194" i="32"/>
  <c r="AK194" i="32"/>
  <c r="AJ194" i="32"/>
  <c r="AI194" i="32"/>
  <c r="AH194" i="32"/>
  <c r="AE194" i="32"/>
  <c r="AD194" i="32"/>
  <c r="Y194" i="32"/>
  <c r="X194" i="32"/>
  <c r="W194" i="32"/>
  <c r="U194" i="32"/>
  <c r="T194" i="32"/>
  <c r="S194" i="32"/>
  <c r="AW193" i="32"/>
  <c r="AT193" i="32"/>
  <c r="AP193" i="32"/>
  <c r="AZ193" i="32" s="1"/>
  <c r="AO193" i="32"/>
  <c r="AY193" i="32" s="1"/>
  <c r="AF193" i="32"/>
  <c r="Z193" i="32"/>
  <c r="V193" i="32"/>
  <c r="AA193" i="32" s="1"/>
  <c r="R193" i="32"/>
  <c r="AW192" i="32"/>
  <c r="AT192" i="32"/>
  <c r="AP192" i="32"/>
  <c r="AZ192" i="32" s="1"/>
  <c r="AO192" i="32"/>
  <c r="AY192" i="32" s="1"/>
  <c r="AF192" i="32"/>
  <c r="Z192" i="32"/>
  <c r="V192" i="32"/>
  <c r="AA192" i="32" s="1"/>
  <c r="R192" i="32"/>
  <c r="AW191" i="32"/>
  <c r="AT191" i="32"/>
  <c r="AP191" i="32"/>
  <c r="AZ191" i="32" s="1"/>
  <c r="AO191" i="32"/>
  <c r="AY191" i="32" s="1"/>
  <c r="AF191" i="32"/>
  <c r="Z191" i="32"/>
  <c r="V191" i="32"/>
  <c r="AA191" i="32" s="1"/>
  <c r="R191" i="32"/>
  <c r="AW190" i="32"/>
  <c r="AT190" i="32"/>
  <c r="AP190" i="32"/>
  <c r="AZ190" i="32" s="1"/>
  <c r="AO190" i="32"/>
  <c r="AY190" i="32" s="1"/>
  <c r="AF190" i="32"/>
  <c r="Z190" i="32"/>
  <c r="V190" i="32"/>
  <c r="AA190" i="32" s="1"/>
  <c r="R190" i="32"/>
  <c r="AW189" i="32"/>
  <c r="AT189" i="32"/>
  <c r="AP189" i="32"/>
  <c r="AZ189" i="32" s="1"/>
  <c r="AO189" i="32"/>
  <c r="AY189" i="32" s="1"/>
  <c r="AF189" i="32"/>
  <c r="Z189" i="32"/>
  <c r="V189" i="32"/>
  <c r="AA189" i="32" s="1"/>
  <c r="R189" i="32"/>
  <c r="AW188" i="32"/>
  <c r="AT188" i="32"/>
  <c r="AT194" i="32" s="1"/>
  <c r="AP188" i="32"/>
  <c r="AZ188" i="32" s="1"/>
  <c r="AZ194" i="32" s="1"/>
  <c r="AO188" i="32"/>
  <c r="AY188" i="32" s="1"/>
  <c r="AY194" i="32" s="1"/>
  <c r="AF188" i="32"/>
  <c r="AF194" i="32" s="1"/>
  <c r="Z188" i="32"/>
  <c r="Z194" i="32" s="1"/>
  <c r="V188" i="32"/>
  <c r="AA188" i="32" s="1"/>
  <c r="R188" i="32"/>
  <c r="R194" i="32" s="1"/>
  <c r="AZ187" i="32"/>
  <c r="AP187" i="32"/>
  <c r="AN187" i="32"/>
  <c r="AM187" i="32"/>
  <c r="AL187" i="32"/>
  <c r="AK187" i="32"/>
  <c r="AJ187" i="32"/>
  <c r="AI187" i="32"/>
  <c r="AH187" i="32"/>
  <c r="AE187" i="32"/>
  <c r="AD187" i="32"/>
  <c r="Y187" i="32"/>
  <c r="X187" i="32"/>
  <c r="W187" i="32"/>
  <c r="U187" i="32"/>
  <c r="T187" i="32"/>
  <c r="S187" i="32"/>
  <c r="AZ186" i="32"/>
  <c r="AP186" i="32"/>
  <c r="AO186" i="32"/>
  <c r="AY186" i="32" s="1"/>
  <c r="AF186" i="32"/>
  <c r="AW186" i="32" s="1"/>
  <c r="Z186" i="32"/>
  <c r="AT186" i="32" s="1"/>
  <c r="R186" i="32"/>
  <c r="V186" i="32" s="1"/>
  <c r="AS186" i="32" s="1"/>
  <c r="AZ185" i="32"/>
  <c r="AP185" i="32"/>
  <c r="AO185" i="32"/>
  <c r="AY185" i="32" s="1"/>
  <c r="AF185" i="32"/>
  <c r="AW185" i="32" s="1"/>
  <c r="Z185" i="32"/>
  <c r="AT185" i="32" s="1"/>
  <c r="R185" i="32"/>
  <c r="V185" i="32" s="1"/>
  <c r="AS185" i="32" s="1"/>
  <c r="AZ184" i="32"/>
  <c r="AP184" i="32"/>
  <c r="AO184" i="32"/>
  <c r="AO187" i="32" s="1"/>
  <c r="AF184" i="32"/>
  <c r="AF187" i="32" s="1"/>
  <c r="Z184" i="32"/>
  <c r="AT184" i="32" s="1"/>
  <c r="AT187" i="32" s="1"/>
  <c r="R184" i="32"/>
  <c r="V184" i="32" s="1"/>
  <c r="V187" i="32" s="1"/>
  <c r="AN183" i="32"/>
  <c r="AM183" i="32"/>
  <c r="AL183" i="32"/>
  <c r="AK183" i="32"/>
  <c r="AJ183" i="32"/>
  <c r="AI183" i="32"/>
  <c r="AH183" i="32"/>
  <c r="AE183" i="32"/>
  <c r="AD183" i="32"/>
  <c r="Y183" i="32"/>
  <c r="X183" i="32"/>
  <c r="W183" i="32"/>
  <c r="U183" i="32"/>
  <c r="T183" i="32"/>
  <c r="S183" i="32"/>
  <c r="AZ182" i="32"/>
  <c r="AY182" i="32"/>
  <c r="AT182" i="32"/>
  <c r="AP182" i="32"/>
  <c r="AQ182" i="32" s="1"/>
  <c r="AX182" i="32" s="1"/>
  <c r="AO182" i="32"/>
  <c r="AF182" i="32"/>
  <c r="AW182" i="32" s="1"/>
  <c r="AA182" i="32"/>
  <c r="Z182" i="32"/>
  <c r="V182" i="32"/>
  <c r="AC182" i="32" s="1"/>
  <c r="AV182" i="32" s="1"/>
  <c r="R182" i="32"/>
  <c r="AZ181" i="32"/>
  <c r="AY181" i="32"/>
  <c r="AP181" i="32"/>
  <c r="AQ181" i="32" s="1"/>
  <c r="AX181" i="32" s="1"/>
  <c r="AO181" i="32"/>
  <c r="AF181" i="32"/>
  <c r="AW181" i="32" s="1"/>
  <c r="AC181" i="32"/>
  <c r="AV181" i="32" s="1"/>
  <c r="Z181" i="32"/>
  <c r="AT181" i="32" s="1"/>
  <c r="V181" i="32"/>
  <c r="AA181" i="32" s="1"/>
  <c r="R181" i="32"/>
  <c r="AY180" i="32"/>
  <c r="AT180" i="32"/>
  <c r="AQ180" i="32"/>
  <c r="AX180" i="32" s="1"/>
  <c r="AP180" i="32"/>
  <c r="AZ180" i="32" s="1"/>
  <c r="AO180" i="32"/>
  <c r="AF180" i="32"/>
  <c r="AW180" i="32" s="1"/>
  <c r="AA180" i="32"/>
  <c r="Z180" i="32"/>
  <c r="V180" i="32"/>
  <c r="AC180" i="32" s="1"/>
  <c r="AV180" i="32" s="1"/>
  <c r="R180" i="32"/>
  <c r="AY179" i="32"/>
  <c r="AP179" i="32"/>
  <c r="AZ179" i="32" s="1"/>
  <c r="AO179" i="32"/>
  <c r="AF179" i="32"/>
  <c r="AW179" i="32" s="1"/>
  <c r="Z179" i="32"/>
  <c r="AT179" i="32" s="1"/>
  <c r="R179" i="32"/>
  <c r="V179" i="32" s="1"/>
  <c r="AW178" i="32"/>
  <c r="AW183" i="32" s="1"/>
  <c r="AP178" i="32"/>
  <c r="AO178" i="32"/>
  <c r="AO183" i="32" s="1"/>
  <c r="AF178" i="32"/>
  <c r="AF183" i="32" s="1"/>
  <c r="Z178" i="32"/>
  <c r="AT178" i="32" s="1"/>
  <c r="R178" i="32"/>
  <c r="R183" i="32" s="1"/>
  <c r="AO177" i="32"/>
  <c r="AN177" i="32"/>
  <c r="AM177" i="32"/>
  <c r="AL177" i="32"/>
  <c r="AK177" i="32"/>
  <c r="AJ177" i="32"/>
  <c r="AI177" i="32"/>
  <c r="AH177" i="32"/>
  <c r="AE177" i="32"/>
  <c r="AD177" i="32"/>
  <c r="Y177" i="32"/>
  <c r="X177" i="32"/>
  <c r="W177" i="32"/>
  <c r="U177" i="32"/>
  <c r="T177" i="32"/>
  <c r="S177" i="32"/>
  <c r="AZ176" i="32"/>
  <c r="AT176" i="32"/>
  <c r="AP176" i="32"/>
  <c r="AO176" i="32"/>
  <c r="AY176" i="32" s="1"/>
  <c r="AF176" i="32"/>
  <c r="AW176" i="32" s="1"/>
  <c r="AA176" i="32"/>
  <c r="Z176" i="32"/>
  <c r="V176" i="32"/>
  <c r="AC176" i="32" s="1"/>
  <c r="AV176" i="32" s="1"/>
  <c r="R176" i="32"/>
  <c r="AZ175" i="32"/>
  <c r="AT175" i="32"/>
  <c r="AP175" i="32"/>
  <c r="AO175" i="32"/>
  <c r="AY175" i="32" s="1"/>
  <c r="AF175" i="32"/>
  <c r="AW175" i="32" s="1"/>
  <c r="AA175" i="32"/>
  <c r="Z175" i="32"/>
  <c r="V175" i="32"/>
  <c r="AC175" i="32" s="1"/>
  <c r="AV175" i="32" s="1"/>
  <c r="R175" i="32"/>
  <c r="AZ174" i="32"/>
  <c r="AT174" i="32"/>
  <c r="AP174" i="32"/>
  <c r="AO174" i="32"/>
  <c r="AY174" i="32" s="1"/>
  <c r="AF174" i="32"/>
  <c r="AW174" i="32" s="1"/>
  <c r="AA174" i="32"/>
  <c r="Z174" i="32"/>
  <c r="V174" i="32"/>
  <c r="AC174" i="32" s="1"/>
  <c r="AV174" i="32" s="1"/>
  <c r="R174" i="32"/>
  <c r="AZ173" i="32"/>
  <c r="AT173" i="32"/>
  <c r="AP173" i="32"/>
  <c r="AQ173" i="32" s="1"/>
  <c r="AX173" i="32" s="1"/>
  <c r="AO173" i="32"/>
  <c r="AY173" i="32" s="1"/>
  <c r="AF173" i="32"/>
  <c r="AW173" i="32" s="1"/>
  <c r="AA173" i="32"/>
  <c r="Z173" i="32"/>
  <c r="V173" i="32"/>
  <c r="AC173" i="32" s="1"/>
  <c r="AV173" i="32" s="1"/>
  <c r="R173" i="32"/>
  <c r="AZ172" i="32"/>
  <c r="AT172" i="32"/>
  <c r="AP172" i="32"/>
  <c r="AQ172" i="32" s="1"/>
  <c r="AX172" i="32" s="1"/>
  <c r="AO172" i="32"/>
  <c r="AY172" i="32" s="1"/>
  <c r="AF172" i="32"/>
  <c r="AW172" i="32" s="1"/>
  <c r="AA172" i="32"/>
  <c r="Z172" i="32"/>
  <c r="V172" i="32"/>
  <c r="AC172" i="32" s="1"/>
  <c r="AV172" i="32" s="1"/>
  <c r="R172" i="32"/>
  <c r="AZ171" i="32"/>
  <c r="AZ177" i="32" s="1"/>
  <c r="AT171" i="32"/>
  <c r="AT177" i="32" s="1"/>
  <c r="AP171" i="32"/>
  <c r="AQ171" i="32" s="1"/>
  <c r="AO171" i="32"/>
  <c r="AY171" i="32" s="1"/>
  <c r="AF171" i="32"/>
  <c r="AF177" i="32" s="1"/>
  <c r="AA171" i="32"/>
  <c r="Z171" i="32"/>
  <c r="Z177" i="32" s="1"/>
  <c r="V171" i="32"/>
  <c r="AC171" i="32" s="1"/>
  <c r="R171" i="32"/>
  <c r="R177" i="32" s="1"/>
  <c r="AP170" i="32"/>
  <c r="AN170" i="32"/>
  <c r="AM170" i="32"/>
  <c r="AL170" i="32"/>
  <c r="AK170" i="32"/>
  <c r="AJ170" i="32"/>
  <c r="AI170" i="32"/>
  <c r="AH170" i="32"/>
  <c r="AE170" i="32"/>
  <c r="AD170" i="32"/>
  <c r="Y170" i="32"/>
  <c r="X170" i="32"/>
  <c r="W170" i="32"/>
  <c r="U170" i="32"/>
  <c r="T170" i="32"/>
  <c r="S170" i="32"/>
  <c r="AY169" i="32"/>
  <c r="AQ169" i="32"/>
  <c r="AX169" i="32" s="1"/>
  <c r="AP169" i="32"/>
  <c r="AZ169" i="32" s="1"/>
  <c r="AO169" i="32"/>
  <c r="AF169" i="32"/>
  <c r="AW169" i="32" s="1"/>
  <c r="Z169" i="32"/>
  <c r="AT169" i="32" s="1"/>
  <c r="R169" i="32"/>
  <c r="V169" i="32" s="1"/>
  <c r="AY168" i="32"/>
  <c r="AQ168" i="32"/>
  <c r="AX168" i="32" s="1"/>
  <c r="AP168" i="32"/>
  <c r="AZ168" i="32" s="1"/>
  <c r="AO168" i="32"/>
  <c r="AF168" i="32"/>
  <c r="AW168" i="32" s="1"/>
  <c r="Z168" i="32"/>
  <c r="AT168" i="32" s="1"/>
  <c r="R168" i="32"/>
  <c r="V168" i="32" s="1"/>
  <c r="AY167" i="32"/>
  <c r="AQ167" i="32"/>
  <c r="AX167" i="32" s="1"/>
  <c r="AP167" i="32"/>
  <c r="AZ167" i="32" s="1"/>
  <c r="AO167" i="32"/>
  <c r="AF167" i="32"/>
  <c r="AW167" i="32" s="1"/>
  <c r="Z167" i="32"/>
  <c r="AT167" i="32" s="1"/>
  <c r="R167" i="32"/>
  <c r="V167" i="32" s="1"/>
  <c r="AY166" i="32"/>
  <c r="AQ166" i="32"/>
  <c r="AX166" i="32" s="1"/>
  <c r="AP166" i="32"/>
  <c r="AZ166" i="32" s="1"/>
  <c r="AO166" i="32"/>
  <c r="AF166" i="32"/>
  <c r="AW166" i="32" s="1"/>
  <c r="Z166" i="32"/>
  <c r="AT166" i="32" s="1"/>
  <c r="R166" i="32"/>
  <c r="V166" i="32" s="1"/>
  <c r="AY165" i="32"/>
  <c r="AQ165" i="32"/>
  <c r="AX165" i="32" s="1"/>
  <c r="AP165" i="32"/>
  <c r="AZ165" i="32" s="1"/>
  <c r="AO165" i="32"/>
  <c r="AF165" i="32"/>
  <c r="AW165" i="32" s="1"/>
  <c r="Z165" i="32"/>
  <c r="AT165" i="32" s="1"/>
  <c r="R165" i="32"/>
  <c r="V165" i="32" s="1"/>
  <c r="AY164" i="32"/>
  <c r="AY170" i="32" s="1"/>
  <c r="AQ164" i="32"/>
  <c r="AQ170" i="32" s="1"/>
  <c r="AP164" i="32"/>
  <c r="AZ164" i="32" s="1"/>
  <c r="AZ170" i="32" s="1"/>
  <c r="AO164" i="32"/>
  <c r="AO170" i="32" s="1"/>
  <c r="AF164" i="32"/>
  <c r="AF170" i="32" s="1"/>
  <c r="Z164" i="32"/>
  <c r="AT164" i="32" s="1"/>
  <c r="R164" i="32"/>
  <c r="V164" i="32" s="1"/>
  <c r="AO163" i="32"/>
  <c r="AN163" i="32"/>
  <c r="AM163" i="32"/>
  <c r="AL163" i="32"/>
  <c r="AK163" i="32"/>
  <c r="AJ163" i="32"/>
  <c r="AI163" i="32"/>
  <c r="AH163" i="32"/>
  <c r="AE163" i="32"/>
  <c r="AD163" i="32"/>
  <c r="Y163" i="32"/>
  <c r="X163" i="32"/>
  <c r="W163" i="32"/>
  <c r="U163" i="32"/>
  <c r="T163" i="32"/>
  <c r="S163" i="32"/>
  <c r="AT162" i="32"/>
  <c r="AP162" i="32"/>
  <c r="AZ162" i="32" s="1"/>
  <c r="AO162" i="32"/>
  <c r="AY162" i="32" s="1"/>
  <c r="AF162" i="32"/>
  <c r="AW162" i="32" s="1"/>
  <c r="Z162" i="32"/>
  <c r="V162" i="32"/>
  <c r="AC162" i="32" s="1"/>
  <c r="AV162" i="32" s="1"/>
  <c r="R162" i="32"/>
  <c r="AT161" i="32"/>
  <c r="AP161" i="32"/>
  <c r="AZ161" i="32" s="1"/>
  <c r="AO161" i="32"/>
  <c r="AY161" i="32" s="1"/>
  <c r="AF161" i="32"/>
  <c r="AW161" i="32" s="1"/>
  <c r="Z161" i="32"/>
  <c r="V161" i="32"/>
  <c r="AC161" i="32" s="1"/>
  <c r="AV161" i="32" s="1"/>
  <c r="R161" i="32"/>
  <c r="AT160" i="32"/>
  <c r="AP160" i="32"/>
  <c r="AZ160" i="32" s="1"/>
  <c r="AO160" i="32"/>
  <c r="AY160" i="32" s="1"/>
  <c r="AF160" i="32"/>
  <c r="AW160" i="32" s="1"/>
  <c r="Z160" i="32"/>
  <c r="V160" i="32"/>
  <c r="AC160" i="32" s="1"/>
  <c r="AV160" i="32" s="1"/>
  <c r="R160" i="32"/>
  <c r="AT159" i="32"/>
  <c r="AP159" i="32"/>
  <c r="AZ159" i="32" s="1"/>
  <c r="AO159" i="32"/>
  <c r="AY159" i="32" s="1"/>
  <c r="AF159" i="32"/>
  <c r="AW159" i="32" s="1"/>
  <c r="Z159" i="32"/>
  <c r="V159" i="32"/>
  <c r="AC159" i="32" s="1"/>
  <c r="AV159" i="32" s="1"/>
  <c r="R159" i="32"/>
  <c r="AT158" i="32"/>
  <c r="AP158" i="32"/>
  <c r="AZ158" i="32" s="1"/>
  <c r="AO158" i="32"/>
  <c r="AY158" i="32" s="1"/>
  <c r="AF158" i="32"/>
  <c r="AW158" i="32" s="1"/>
  <c r="Z158" i="32"/>
  <c r="V158" i="32"/>
  <c r="AC158" i="32" s="1"/>
  <c r="AV158" i="32" s="1"/>
  <c r="R158" i="32"/>
  <c r="AT157" i="32"/>
  <c r="AT163" i="32" s="1"/>
  <c r="AP157" i="32"/>
  <c r="AP163" i="32" s="1"/>
  <c r="AO157" i="32"/>
  <c r="AY157" i="32" s="1"/>
  <c r="AY163" i="32" s="1"/>
  <c r="AF157" i="32"/>
  <c r="AW157" i="32" s="1"/>
  <c r="Z157" i="32"/>
  <c r="Z163" i="32" s="1"/>
  <c r="V157" i="32"/>
  <c r="AC157" i="32" s="1"/>
  <c r="R157" i="32"/>
  <c r="R163" i="32" s="1"/>
  <c r="AP156" i="32"/>
  <c r="AN156" i="32"/>
  <c r="AM156" i="32"/>
  <c r="AL156" i="32"/>
  <c r="AK156" i="32"/>
  <c r="AJ156" i="32"/>
  <c r="AI156" i="32"/>
  <c r="AH156" i="32"/>
  <c r="AE156" i="32"/>
  <c r="AD156" i="32"/>
  <c r="Y156" i="32"/>
  <c r="X156" i="32"/>
  <c r="W156" i="32"/>
  <c r="U156" i="32"/>
  <c r="T156" i="32"/>
  <c r="S156" i="32"/>
  <c r="AW155" i="32"/>
  <c r="AP155" i="32"/>
  <c r="AZ155" i="32" s="1"/>
  <c r="AO155" i="32"/>
  <c r="AF155" i="32"/>
  <c r="Z155" i="32"/>
  <c r="AT155" i="32" s="1"/>
  <c r="R155" i="32"/>
  <c r="V155" i="32" s="1"/>
  <c r="AW154" i="32"/>
  <c r="AP154" i="32"/>
  <c r="AZ154" i="32" s="1"/>
  <c r="AO154" i="32"/>
  <c r="AF154" i="32"/>
  <c r="Z154" i="32"/>
  <c r="AT154" i="32" s="1"/>
  <c r="R154" i="32"/>
  <c r="V154" i="32" s="1"/>
  <c r="AW153" i="32"/>
  <c r="AP153" i="32"/>
  <c r="AZ153" i="32" s="1"/>
  <c r="AO153" i="32"/>
  <c r="AF153" i="32"/>
  <c r="Z153" i="32"/>
  <c r="AT153" i="32" s="1"/>
  <c r="R153" i="32"/>
  <c r="V153" i="32" s="1"/>
  <c r="AW152" i="32"/>
  <c r="AP152" i="32"/>
  <c r="AZ152" i="32" s="1"/>
  <c r="AO152" i="32"/>
  <c r="AF152" i="32"/>
  <c r="Z152" i="32"/>
  <c r="AT152" i="32" s="1"/>
  <c r="R152" i="32"/>
  <c r="V152" i="32" s="1"/>
  <c r="AW151" i="32"/>
  <c r="AP151" i="32"/>
  <c r="AZ151" i="32" s="1"/>
  <c r="AO151" i="32"/>
  <c r="AF151" i="32"/>
  <c r="Z151" i="32"/>
  <c r="AT151" i="32" s="1"/>
  <c r="R151" i="32"/>
  <c r="V151" i="32" s="1"/>
  <c r="AP150" i="32"/>
  <c r="AZ150" i="32" s="1"/>
  <c r="AO150" i="32"/>
  <c r="AO156" i="32" s="1"/>
  <c r="AF150" i="32"/>
  <c r="AF156" i="32" s="1"/>
  <c r="Z150" i="32"/>
  <c r="R150" i="32"/>
  <c r="V150" i="32" s="1"/>
  <c r="AS150" i="32" s="1"/>
  <c r="AO149" i="32"/>
  <c r="AN149" i="32"/>
  <c r="AM149" i="32"/>
  <c r="AL149" i="32"/>
  <c r="AK149" i="32"/>
  <c r="AJ149" i="32"/>
  <c r="AI149" i="32"/>
  <c r="AH149" i="32"/>
  <c r="AE149" i="32"/>
  <c r="AD149" i="32"/>
  <c r="Y149" i="32"/>
  <c r="X149" i="32"/>
  <c r="W149" i="32"/>
  <c r="U149" i="32"/>
  <c r="T149" i="32"/>
  <c r="S149" i="32"/>
  <c r="AT148" i="32"/>
  <c r="AP148" i="32"/>
  <c r="AZ148" i="32" s="1"/>
  <c r="AO148" i="32"/>
  <c r="AY148" i="32" s="1"/>
  <c r="AF148" i="32"/>
  <c r="AW148" i="32" s="1"/>
  <c r="AC148" i="32"/>
  <c r="AV148" i="32" s="1"/>
  <c r="Z148" i="32"/>
  <c r="V148" i="32"/>
  <c r="R148" i="32"/>
  <c r="AT147" i="32"/>
  <c r="AP147" i="32"/>
  <c r="AZ147" i="32" s="1"/>
  <c r="AO147" i="32"/>
  <c r="AY147" i="32" s="1"/>
  <c r="AY149" i="32" s="1"/>
  <c r="AF147" i="32"/>
  <c r="AW147" i="32" s="1"/>
  <c r="AC147" i="32"/>
  <c r="AV147" i="32" s="1"/>
  <c r="AA147" i="32"/>
  <c r="Z147" i="32"/>
  <c r="V147" i="32"/>
  <c r="R147" i="32"/>
  <c r="AT146" i="32"/>
  <c r="AT149" i="32" s="1"/>
  <c r="AP146" i="32"/>
  <c r="AP149" i="32" s="1"/>
  <c r="AO146" i="32"/>
  <c r="AY146" i="32" s="1"/>
  <c r="AF146" i="32"/>
  <c r="AF149" i="32" s="1"/>
  <c r="AC146" i="32"/>
  <c r="AV146" i="32" s="1"/>
  <c r="Z146" i="32"/>
  <c r="Z149" i="32" s="1"/>
  <c r="V146" i="32"/>
  <c r="R146" i="32"/>
  <c r="R149" i="32" s="1"/>
  <c r="AP145" i="32"/>
  <c r="AN145" i="32"/>
  <c r="AM145" i="32"/>
  <c r="AL145" i="32"/>
  <c r="AK145" i="32"/>
  <c r="AJ145" i="32"/>
  <c r="AI145" i="32"/>
  <c r="AH145" i="32"/>
  <c r="AE145" i="32"/>
  <c r="AD145" i="32"/>
  <c r="Y145" i="32"/>
  <c r="X145" i="32"/>
  <c r="W145" i="32"/>
  <c r="V145" i="32"/>
  <c r="U145" i="32"/>
  <c r="T145" i="32"/>
  <c r="S145" i="32"/>
  <c r="R145" i="32"/>
  <c r="AY144" i="32"/>
  <c r="AY145" i="32" s="1"/>
  <c r="AS144" i="32"/>
  <c r="AS145" i="32" s="1"/>
  <c r="AQ144" i="32"/>
  <c r="AP144" i="32"/>
  <c r="AZ144" i="32" s="1"/>
  <c r="AZ145" i="32" s="1"/>
  <c r="AO144" i="32"/>
  <c r="AO145" i="32" s="1"/>
  <c r="AF144" i="32"/>
  <c r="AW144" i="32" s="1"/>
  <c r="AW145" i="32" s="1"/>
  <c r="AB144" i="32"/>
  <c r="AB145" i="32" s="1"/>
  <c r="Z144" i="32"/>
  <c r="AT144" i="32" s="1"/>
  <c r="AT145" i="32" s="1"/>
  <c r="R144" i="32"/>
  <c r="V144" i="32" s="1"/>
  <c r="AN143" i="32"/>
  <c r="AM143" i="32"/>
  <c r="AL143" i="32"/>
  <c r="AK143" i="32"/>
  <c r="AJ143" i="32"/>
  <c r="AI143" i="32"/>
  <c r="AH143" i="32"/>
  <c r="AE143" i="32"/>
  <c r="AD143" i="32"/>
  <c r="Y143" i="32"/>
  <c r="X143" i="32"/>
  <c r="W143" i="32"/>
  <c r="U143" i="32"/>
  <c r="T143" i="32"/>
  <c r="S143" i="32"/>
  <c r="AZ142" i="32"/>
  <c r="AT142" i="32"/>
  <c r="AP142" i="32"/>
  <c r="AO142" i="32"/>
  <c r="AY142" i="32" s="1"/>
  <c r="AF142" i="32"/>
  <c r="AW142" i="32" s="1"/>
  <c r="Z142" i="32"/>
  <c r="V142" i="32"/>
  <c r="AC142" i="32" s="1"/>
  <c r="AV142" i="32" s="1"/>
  <c r="R142" i="32"/>
  <c r="AZ141" i="32"/>
  <c r="AT141" i="32"/>
  <c r="AP141" i="32"/>
  <c r="AO141" i="32"/>
  <c r="AY141" i="32" s="1"/>
  <c r="AY143" i="32" s="1"/>
  <c r="AF141" i="32"/>
  <c r="AW141" i="32" s="1"/>
  <c r="AA141" i="32"/>
  <c r="Z141" i="32"/>
  <c r="V141" i="32"/>
  <c r="AC141" i="32" s="1"/>
  <c r="AV141" i="32" s="1"/>
  <c r="R141" i="32"/>
  <c r="AZ140" i="32"/>
  <c r="AP140" i="32"/>
  <c r="AQ140" i="32" s="1"/>
  <c r="AX140" i="32" s="1"/>
  <c r="AO140" i="32"/>
  <c r="AY140" i="32" s="1"/>
  <c r="AF140" i="32"/>
  <c r="AW140" i="32" s="1"/>
  <c r="AA140" i="32"/>
  <c r="Z140" i="32"/>
  <c r="AT140" i="32" s="1"/>
  <c r="V140" i="32"/>
  <c r="AS140" i="32" s="1"/>
  <c r="R140" i="32"/>
  <c r="AY139" i="32"/>
  <c r="AT139" i="32"/>
  <c r="AP139" i="32"/>
  <c r="AZ139" i="32" s="1"/>
  <c r="AO139" i="32"/>
  <c r="AF139" i="32"/>
  <c r="AW139" i="32" s="1"/>
  <c r="Z139" i="32"/>
  <c r="V139" i="32"/>
  <c r="AC139" i="32" s="1"/>
  <c r="AV139" i="32" s="1"/>
  <c r="R139" i="32"/>
  <c r="AY138" i="32"/>
  <c r="AT138" i="32"/>
  <c r="AP138" i="32"/>
  <c r="AZ138" i="32" s="1"/>
  <c r="AO138" i="32"/>
  <c r="AF138" i="32"/>
  <c r="AW138" i="32" s="1"/>
  <c r="Z138" i="32"/>
  <c r="V138" i="32"/>
  <c r="AC138" i="32" s="1"/>
  <c r="AV138" i="32" s="1"/>
  <c r="R138" i="32"/>
  <c r="AY137" i="32"/>
  <c r="AT137" i="32"/>
  <c r="AP137" i="32"/>
  <c r="AP143" i="32" s="1"/>
  <c r="AO137" i="32"/>
  <c r="AO143" i="32" s="1"/>
  <c r="AF137" i="32"/>
  <c r="AF143" i="32" s="1"/>
  <c r="Z137" i="32"/>
  <c r="Z143" i="32" s="1"/>
  <c r="V137" i="32"/>
  <c r="V143" i="32" s="1"/>
  <c r="R137" i="32"/>
  <c r="R143" i="32" s="1"/>
  <c r="AP136" i="32"/>
  <c r="AN136" i="32"/>
  <c r="AM136" i="32"/>
  <c r="AL136" i="32"/>
  <c r="AK136" i="32"/>
  <c r="AJ136" i="32"/>
  <c r="AI136" i="32"/>
  <c r="AH136" i="32"/>
  <c r="AE136" i="32"/>
  <c r="AD136" i="32"/>
  <c r="Y136" i="32"/>
  <c r="X136" i="32"/>
  <c r="W136" i="32"/>
  <c r="U136" i="32"/>
  <c r="T136" i="32"/>
  <c r="S136" i="32"/>
  <c r="AW135" i="32"/>
  <c r="AP135" i="32"/>
  <c r="AZ135" i="32" s="1"/>
  <c r="AO135" i="32"/>
  <c r="AY135" i="32" s="1"/>
  <c r="AF135" i="32"/>
  <c r="Z135" i="32"/>
  <c r="AT135" i="32" s="1"/>
  <c r="R135" i="32"/>
  <c r="V135" i="32" s="1"/>
  <c r="AW134" i="32"/>
  <c r="AP134" i="32"/>
  <c r="AZ134" i="32" s="1"/>
  <c r="AO134" i="32"/>
  <c r="AY134" i="32" s="1"/>
  <c r="AF134" i="32"/>
  <c r="Z134" i="32"/>
  <c r="AT134" i="32" s="1"/>
  <c r="R134" i="32"/>
  <c r="V134" i="32" s="1"/>
  <c r="AW133" i="32"/>
  <c r="AP133" i="32"/>
  <c r="AZ133" i="32" s="1"/>
  <c r="AO133" i="32"/>
  <c r="AY133" i="32" s="1"/>
  <c r="AF133" i="32"/>
  <c r="Z133" i="32"/>
  <c r="AT133" i="32" s="1"/>
  <c r="R133" i="32"/>
  <c r="V133" i="32" s="1"/>
  <c r="AW132" i="32"/>
  <c r="AP132" i="32"/>
  <c r="AZ132" i="32" s="1"/>
  <c r="AO132" i="32"/>
  <c r="AY132" i="32" s="1"/>
  <c r="AF132" i="32"/>
  <c r="Z132" i="32"/>
  <c r="AT132" i="32" s="1"/>
  <c r="R132" i="32"/>
  <c r="V132" i="32" s="1"/>
  <c r="AW131" i="32"/>
  <c r="AP131" i="32"/>
  <c r="AZ131" i="32" s="1"/>
  <c r="AO131" i="32"/>
  <c r="AY131" i="32" s="1"/>
  <c r="AF131" i="32"/>
  <c r="Z131" i="32"/>
  <c r="AT131" i="32" s="1"/>
  <c r="R131" i="32"/>
  <c r="V131" i="32" s="1"/>
  <c r="AP130" i="32"/>
  <c r="AZ130" i="32" s="1"/>
  <c r="AZ136" i="32" s="1"/>
  <c r="AO130" i="32"/>
  <c r="AO136" i="32" s="1"/>
  <c r="AF130" i="32"/>
  <c r="AW130" i="32" s="1"/>
  <c r="AW136" i="32" s="1"/>
  <c r="Z130" i="32"/>
  <c r="Z136" i="32" s="1"/>
  <c r="R130" i="32"/>
  <c r="R136" i="32" s="1"/>
  <c r="AW129" i="32"/>
  <c r="AO129" i="32"/>
  <c r="AN129" i="32"/>
  <c r="AM129" i="32"/>
  <c r="AL129" i="32"/>
  <c r="AK129" i="32"/>
  <c r="AJ129" i="32"/>
  <c r="AI129" i="32"/>
  <c r="AH129" i="32"/>
  <c r="AE129" i="32"/>
  <c r="AD129" i="32"/>
  <c r="Y129" i="32"/>
  <c r="X129" i="32"/>
  <c r="W129" i="32"/>
  <c r="U129" i="32"/>
  <c r="T129" i="32"/>
  <c r="S129" i="32"/>
  <c r="AW128" i="32"/>
  <c r="AT128" i="32"/>
  <c r="AP128" i="32"/>
  <c r="AZ128" i="32" s="1"/>
  <c r="AO128" i="32"/>
  <c r="AY128" i="32" s="1"/>
  <c r="AF128" i="32"/>
  <c r="Z128" i="32"/>
  <c r="V128" i="32"/>
  <c r="AA128" i="32" s="1"/>
  <c r="R128" i="32"/>
  <c r="AW127" i="32"/>
  <c r="AT127" i="32"/>
  <c r="AP127" i="32"/>
  <c r="AZ127" i="32" s="1"/>
  <c r="AO127" i="32"/>
  <c r="AY127" i="32" s="1"/>
  <c r="AF127" i="32"/>
  <c r="Z127" i="32"/>
  <c r="V127" i="32"/>
  <c r="AA127" i="32" s="1"/>
  <c r="R127" i="32"/>
  <c r="AW126" i="32"/>
  <c r="AT126" i="32"/>
  <c r="AP126" i="32"/>
  <c r="AZ126" i="32" s="1"/>
  <c r="AO126" i="32"/>
  <c r="AY126" i="32" s="1"/>
  <c r="AF126" i="32"/>
  <c r="Z126" i="32"/>
  <c r="V126" i="32"/>
  <c r="AA126" i="32" s="1"/>
  <c r="R126" i="32"/>
  <c r="AW125" i="32"/>
  <c r="AT125" i="32"/>
  <c r="AP125" i="32"/>
  <c r="AZ125" i="32" s="1"/>
  <c r="AO125" i="32"/>
  <c r="AY125" i="32" s="1"/>
  <c r="AF125" i="32"/>
  <c r="Z125" i="32"/>
  <c r="V125" i="32"/>
  <c r="AA125" i="32" s="1"/>
  <c r="R125" i="32"/>
  <c r="AW124" i="32"/>
  <c r="AT124" i="32"/>
  <c r="AT129" i="32" s="1"/>
  <c r="AP124" i="32"/>
  <c r="AZ124" i="32" s="1"/>
  <c r="AZ129" i="32" s="1"/>
  <c r="AO124" i="32"/>
  <c r="AY124" i="32" s="1"/>
  <c r="AY129" i="32" s="1"/>
  <c r="AF124" i="32"/>
  <c r="AF129" i="32" s="1"/>
  <c r="Z124" i="32"/>
  <c r="Z129" i="32" s="1"/>
  <c r="V124" i="32"/>
  <c r="AA124" i="32" s="1"/>
  <c r="R124" i="32"/>
  <c r="R129" i="32" s="1"/>
  <c r="AZ123" i="32"/>
  <c r="AP123" i="32"/>
  <c r="AN123" i="32"/>
  <c r="AM123" i="32"/>
  <c r="AL123" i="32"/>
  <c r="AK123" i="32"/>
  <c r="AJ123" i="32"/>
  <c r="AI123" i="32"/>
  <c r="AH123" i="32"/>
  <c r="AE123" i="32"/>
  <c r="AD123" i="32"/>
  <c r="Y123" i="32"/>
  <c r="X123" i="32"/>
  <c r="W123" i="32"/>
  <c r="U123" i="32"/>
  <c r="T123" i="32"/>
  <c r="S123" i="32"/>
  <c r="AZ122" i="32"/>
  <c r="AW122" i="32"/>
  <c r="AP122" i="32"/>
  <c r="AO122" i="32"/>
  <c r="AY122" i="32" s="1"/>
  <c r="AF122" i="32"/>
  <c r="Z122" i="32"/>
  <c r="AT122" i="32" s="1"/>
  <c r="R122" i="32"/>
  <c r="V122" i="32" s="1"/>
  <c r="AZ121" i="32"/>
  <c r="AW121" i="32"/>
  <c r="AP121" i="32"/>
  <c r="AO121" i="32"/>
  <c r="AY121" i="32" s="1"/>
  <c r="AF121" i="32"/>
  <c r="Z121" i="32"/>
  <c r="AT121" i="32" s="1"/>
  <c r="R121" i="32"/>
  <c r="V121" i="32" s="1"/>
  <c r="AZ120" i="32"/>
  <c r="AW120" i="32"/>
  <c r="AW123" i="32" s="1"/>
  <c r="AP120" i="32"/>
  <c r="AO120" i="32"/>
  <c r="AY120" i="32" s="1"/>
  <c r="AY123" i="32" s="1"/>
  <c r="AF120" i="32"/>
  <c r="AF123" i="32" s="1"/>
  <c r="Z120" i="32"/>
  <c r="AT120" i="32" s="1"/>
  <c r="R120" i="32"/>
  <c r="V120" i="32" s="1"/>
  <c r="AN119" i="32"/>
  <c r="AM119" i="32"/>
  <c r="AL119" i="32"/>
  <c r="AK119" i="32"/>
  <c r="AJ119" i="32"/>
  <c r="AI119" i="32"/>
  <c r="AH119" i="32"/>
  <c r="AE119" i="32"/>
  <c r="AD119" i="32"/>
  <c r="Y119" i="32"/>
  <c r="X119" i="32"/>
  <c r="W119" i="32"/>
  <c r="U119" i="32"/>
  <c r="T119" i="32"/>
  <c r="S119" i="32"/>
  <c r="AY118" i="32"/>
  <c r="AT118" i="32"/>
  <c r="AP118" i="32"/>
  <c r="AZ118" i="32" s="1"/>
  <c r="AO118" i="32"/>
  <c r="AF118" i="32"/>
  <c r="AW118" i="32" s="1"/>
  <c r="Z118" i="32"/>
  <c r="V118" i="32"/>
  <c r="AC118" i="32" s="1"/>
  <c r="AV118" i="32" s="1"/>
  <c r="R118" i="32"/>
  <c r="AY117" i="32"/>
  <c r="AT117" i="32"/>
  <c r="AP117" i="32"/>
  <c r="AZ117" i="32" s="1"/>
  <c r="AO117" i="32"/>
  <c r="AF117" i="32"/>
  <c r="AW117" i="32" s="1"/>
  <c r="Z117" i="32"/>
  <c r="V117" i="32"/>
  <c r="AC117" i="32" s="1"/>
  <c r="AV117" i="32" s="1"/>
  <c r="R117" i="32"/>
  <c r="AY116" i="32"/>
  <c r="AT116" i="32"/>
  <c r="AP116" i="32"/>
  <c r="AZ116" i="32" s="1"/>
  <c r="AO116" i="32"/>
  <c r="AF116" i="32"/>
  <c r="AW116" i="32" s="1"/>
  <c r="Z116" i="32"/>
  <c r="V116" i="32"/>
  <c r="AC116" i="32" s="1"/>
  <c r="AV116" i="32" s="1"/>
  <c r="R116" i="32"/>
  <c r="AY115" i="32"/>
  <c r="AT115" i="32"/>
  <c r="AP115" i="32"/>
  <c r="AZ115" i="32" s="1"/>
  <c r="AO115" i="32"/>
  <c r="AF115" i="32"/>
  <c r="AW115" i="32" s="1"/>
  <c r="Z115" i="32"/>
  <c r="V115" i="32"/>
  <c r="AC115" i="32" s="1"/>
  <c r="AV115" i="32" s="1"/>
  <c r="R115" i="32"/>
  <c r="AY114" i="32"/>
  <c r="AP114" i="32"/>
  <c r="AP306" i="32" s="1"/>
  <c r="AO114" i="32"/>
  <c r="AO306" i="32" s="1"/>
  <c r="AF114" i="32"/>
  <c r="AF306" i="32" s="1"/>
  <c r="Z114" i="32"/>
  <c r="Z306" i="32" s="1"/>
  <c r="V114" i="32"/>
  <c r="AS114" i="32" s="1"/>
  <c r="R114" i="32"/>
  <c r="R306" i="32" s="1"/>
  <c r="AY113" i="32"/>
  <c r="AY119" i="32" s="1"/>
  <c r="AQ113" i="32"/>
  <c r="AP113" i="32"/>
  <c r="AP119" i="32" s="1"/>
  <c r="AO113" i="32"/>
  <c r="AO119" i="32" s="1"/>
  <c r="AF113" i="32"/>
  <c r="AW113" i="32" s="1"/>
  <c r="Z113" i="32"/>
  <c r="AT113" i="32" s="1"/>
  <c r="V113" i="32"/>
  <c r="AC113" i="32" s="1"/>
  <c r="R113" i="32"/>
  <c r="R119" i="32" s="1"/>
  <c r="AN112" i="32"/>
  <c r="AM112" i="32"/>
  <c r="AL112" i="32"/>
  <c r="AK112" i="32"/>
  <c r="AJ112" i="32"/>
  <c r="AI112" i="32"/>
  <c r="AH112" i="32"/>
  <c r="AE112" i="32"/>
  <c r="AD112" i="32"/>
  <c r="Z112" i="32"/>
  <c r="Y112" i="32"/>
  <c r="X112" i="32"/>
  <c r="W112" i="32"/>
  <c r="U112" i="32"/>
  <c r="T112" i="32"/>
  <c r="S112" i="32"/>
  <c r="AW111" i="32"/>
  <c r="AT111" i="32"/>
  <c r="AP111" i="32"/>
  <c r="AZ111" i="32" s="1"/>
  <c r="AO111" i="32"/>
  <c r="AY111" i="32" s="1"/>
  <c r="AF111" i="32"/>
  <c r="Z111" i="32"/>
  <c r="V111" i="32"/>
  <c r="AS111" i="32" s="1"/>
  <c r="R111" i="32"/>
  <c r="AW110" i="32"/>
  <c r="AT110" i="32"/>
  <c r="AP110" i="32"/>
  <c r="AZ110" i="32" s="1"/>
  <c r="AO110" i="32"/>
  <c r="AY110" i="32" s="1"/>
  <c r="AF110" i="32"/>
  <c r="Z110" i="32"/>
  <c r="V110" i="32"/>
  <c r="AS110" i="32" s="1"/>
  <c r="R110" i="32"/>
  <c r="AW109" i="32"/>
  <c r="AW112" i="32" s="1"/>
  <c r="AT109" i="32"/>
  <c r="AT112" i="32" s="1"/>
  <c r="AP109" i="32"/>
  <c r="AP112" i="32" s="1"/>
  <c r="AO109" i="32"/>
  <c r="AO112" i="32" s="1"/>
  <c r="AF109" i="32"/>
  <c r="AF112" i="32" s="1"/>
  <c r="Z109" i="32"/>
  <c r="V109" i="32"/>
  <c r="V112" i="32" s="1"/>
  <c r="R109" i="32"/>
  <c r="R112" i="32" s="1"/>
  <c r="AP108" i="32"/>
  <c r="AN108" i="32"/>
  <c r="AM108" i="32"/>
  <c r="AL108" i="32"/>
  <c r="AK108" i="32"/>
  <c r="AJ108" i="32"/>
  <c r="AI108" i="32"/>
  <c r="AH108" i="32"/>
  <c r="AE108" i="32"/>
  <c r="AD108" i="32"/>
  <c r="Y108" i="32"/>
  <c r="X108" i="32"/>
  <c r="W108" i="32"/>
  <c r="U108" i="32"/>
  <c r="T108" i="32"/>
  <c r="S108" i="32"/>
  <c r="AZ107" i="32"/>
  <c r="AZ108" i="32" s="1"/>
  <c r="AW107" i="32"/>
  <c r="AP107" i="32"/>
  <c r="AP311" i="32" s="1"/>
  <c r="AO107" i="32"/>
  <c r="AO311" i="32" s="1"/>
  <c r="AF107" i="32"/>
  <c r="AF311" i="32" s="1"/>
  <c r="Z107" i="32"/>
  <c r="Z311" i="32" s="1"/>
  <c r="R107" i="32"/>
  <c r="R311" i="32" s="1"/>
  <c r="AN106" i="32"/>
  <c r="AM106" i="32"/>
  <c r="AL106" i="32"/>
  <c r="AK106" i="32"/>
  <c r="AJ106" i="32"/>
  <c r="AI106" i="32"/>
  <c r="AH106" i="32"/>
  <c r="AE106" i="32"/>
  <c r="AD106" i="32"/>
  <c r="Y106" i="32"/>
  <c r="X106" i="32"/>
  <c r="W106" i="32"/>
  <c r="U106" i="32"/>
  <c r="T106" i="32"/>
  <c r="S106" i="32"/>
  <c r="AZ105" i="32"/>
  <c r="AY105" i="32"/>
  <c r="AT105" i="32"/>
  <c r="AP105" i="32"/>
  <c r="AQ105" i="32" s="1"/>
  <c r="AX105" i="32" s="1"/>
  <c r="AO105" i="32"/>
  <c r="AF105" i="32"/>
  <c r="AW105" i="32" s="1"/>
  <c r="AA105" i="32"/>
  <c r="Z105" i="32"/>
  <c r="V105" i="32"/>
  <c r="AC105" i="32" s="1"/>
  <c r="AV105" i="32" s="1"/>
  <c r="R105" i="32"/>
  <c r="AZ104" i="32"/>
  <c r="AY104" i="32"/>
  <c r="AT104" i="32"/>
  <c r="AP104" i="32"/>
  <c r="AQ104" i="32" s="1"/>
  <c r="AX104" i="32" s="1"/>
  <c r="AO104" i="32"/>
  <c r="AF104" i="32"/>
  <c r="AW104" i="32" s="1"/>
  <c r="AA104" i="32"/>
  <c r="Z104" i="32"/>
  <c r="V104" i="32"/>
  <c r="AC104" i="32" s="1"/>
  <c r="AV104" i="32" s="1"/>
  <c r="R104" i="32"/>
  <c r="AZ103" i="32"/>
  <c r="AY103" i="32"/>
  <c r="AT103" i="32"/>
  <c r="AP103" i="32"/>
  <c r="AQ103" i="32" s="1"/>
  <c r="AX103" i="32" s="1"/>
  <c r="AO103" i="32"/>
  <c r="AF103" i="32"/>
  <c r="AW103" i="32" s="1"/>
  <c r="AA103" i="32"/>
  <c r="Z103" i="32"/>
  <c r="V103" i="32"/>
  <c r="AC103" i="32" s="1"/>
  <c r="AV103" i="32" s="1"/>
  <c r="R103" i="32"/>
  <c r="AZ102" i="32"/>
  <c r="AY102" i="32"/>
  <c r="AT102" i="32"/>
  <c r="AP102" i="32"/>
  <c r="AQ102" i="32" s="1"/>
  <c r="AX102" i="32" s="1"/>
  <c r="AO102" i="32"/>
  <c r="AF102" i="32"/>
  <c r="AW102" i="32" s="1"/>
  <c r="AA102" i="32"/>
  <c r="Z102" i="32"/>
  <c r="V102" i="32"/>
  <c r="AC102" i="32" s="1"/>
  <c r="AV102" i="32" s="1"/>
  <c r="R102" i="32"/>
  <c r="AZ101" i="32"/>
  <c r="AY101" i="32"/>
  <c r="AT101" i="32"/>
  <c r="AP101" i="32"/>
  <c r="AQ101" i="32" s="1"/>
  <c r="AX101" i="32" s="1"/>
  <c r="AO101" i="32"/>
  <c r="AF101" i="32"/>
  <c r="AW101" i="32" s="1"/>
  <c r="AA101" i="32"/>
  <c r="Z101" i="32"/>
  <c r="V101" i="32"/>
  <c r="AC101" i="32" s="1"/>
  <c r="AV101" i="32" s="1"/>
  <c r="R101" i="32"/>
  <c r="AZ100" i="32"/>
  <c r="AZ308" i="32" s="1"/>
  <c r="AY100" i="32"/>
  <c r="AY308" i="32" s="1"/>
  <c r="AQ100" i="32"/>
  <c r="AX100" i="32" s="1"/>
  <c r="AX308" i="32" s="1"/>
  <c r="AP100" i="32"/>
  <c r="AP308" i="32" s="1"/>
  <c r="AO100" i="32"/>
  <c r="AO308" i="32" s="1"/>
  <c r="AF100" i="32"/>
  <c r="AF308" i="32" s="1"/>
  <c r="AA100" i="32"/>
  <c r="AA308" i="32" s="1"/>
  <c r="Z100" i="32"/>
  <c r="Z308" i="32" s="1"/>
  <c r="V100" i="32"/>
  <c r="V308" i="32" s="1"/>
  <c r="R100" i="32"/>
  <c r="R308" i="32" s="1"/>
  <c r="AZ99" i="32"/>
  <c r="AY99" i="32"/>
  <c r="AQ99" i="32"/>
  <c r="AX99" i="32" s="1"/>
  <c r="AP99" i="32"/>
  <c r="AO99" i="32"/>
  <c r="AF99" i="32"/>
  <c r="AW99" i="32" s="1"/>
  <c r="AA99" i="32"/>
  <c r="Z99" i="32"/>
  <c r="AT99" i="32" s="1"/>
  <c r="V99" i="32"/>
  <c r="AC99" i="32" s="1"/>
  <c r="AV99" i="32" s="1"/>
  <c r="R99" i="32"/>
  <c r="AZ98" i="32"/>
  <c r="AZ305" i="32" s="1"/>
  <c r="AY98" i="32"/>
  <c r="AY305" i="32" s="1"/>
  <c r="AQ98" i="32"/>
  <c r="AQ305" i="32" s="1"/>
  <c r="AP98" i="32"/>
  <c r="AP305" i="32" s="1"/>
  <c r="AO98" i="32"/>
  <c r="AO305" i="32" s="1"/>
  <c r="AF98" i="32"/>
  <c r="AF305" i="32" s="1"/>
  <c r="Z98" i="32"/>
  <c r="V98" i="32"/>
  <c r="V305" i="32" s="1"/>
  <c r="R98" i="32"/>
  <c r="R305" i="32" s="1"/>
  <c r="AY97" i="32"/>
  <c r="AY106" i="32" s="1"/>
  <c r="AQ97" i="32"/>
  <c r="AP97" i="32"/>
  <c r="AP106" i="32" s="1"/>
  <c r="AO97" i="32"/>
  <c r="AO106" i="32" s="1"/>
  <c r="AF97" i="32"/>
  <c r="Z97" i="32"/>
  <c r="V97" i="32"/>
  <c r="AC97" i="32" s="1"/>
  <c r="R97" i="32"/>
  <c r="R106" i="32" s="1"/>
  <c r="AN96" i="32"/>
  <c r="AM96" i="32"/>
  <c r="AL96" i="32"/>
  <c r="AK96" i="32"/>
  <c r="AJ96" i="32"/>
  <c r="AI96" i="32"/>
  <c r="AH96" i="32"/>
  <c r="AE96" i="32"/>
  <c r="AD96" i="32"/>
  <c r="Y96" i="32"/>
  <c r="X96" i="32"/>
  <c r="W96" i="32"/>
  <c r="U96" i="32"/>
  <c r="T96" i="32"/>
  <c r="S96" i="32"/>
  <c r="AW95" i="32"/>
  <c r="AT95" i="32"/>
  <c r="AP95" i="32"/>
  <c r="AZ95" i="32" s="1"/>
  <c r="AO95" i="32"/>
  <c r="AY95" i="32" s="1"/>
  <c r="AF95" i="32"/>
  <c r="AC95" i="32"/>
  <c r="AV95" i="32" s="1"/>
  <c r="Z95" i="32"/>
  <c r="V95" i="32"/>
  <c r="R95" i="32"/>
  <c r="AW94" i="32"/>
  <c r="AT94" i="32"/>
  <c r="AP94" i="32"/>
  <c r="AZ94" i="32" s="1"/>
  <c r="AO94" i="32"/>
  <c r="AY94" i="32" s="1"/>
  <c r="AF94" i="32"/>
  <c r="Z94" i="32"/>
  <c r="V94" i="32"/>
  <c r="AC94" i="32" s="1"/>
  <c r="AV94" i="32" s="1"/>
  <c r="R94" i="32"/>
  <c r="AW93" i="32"/>
  <c r="AT93" i="32"/>
  <c r="AP93" i="32"/>
  <c r="AZ93" i="32" s="1"/>
  <c r="AO93" i="32"/>
  <c r="AY93" i="32" s="1"/>
  <c r="AF93" i="32"/>
  <c r="AC93" i="32"/>
  <c r="AV93" i="32" s="1"/>
  <c r="Z93" i="32"/>
  <c r="V93" i="32"/>
  <c r="R93" i="32"/>
  <c r="AW92" i="32"/>
  <c r="AT92" i="32"/>
  <c r="AP92" i="32"/>
  <c r="AZ92" i="32" s="1"/>
  <c r="AO92" i="32"/>
  <c r="AY92" i="32" s="1"/>
  <c r="AF92" i="32"/>
  <c r="Z92" i="32"/>
  <c r="V92" i="32"/>
  <c r="AC92" i="32" s="1"/>
  <c r="AV92" i="32" s="1"/>
  <c r="R92" i="32"/>
  <c r="AW91" i="32"/>
  <c r="AW96" i="32" s="1"/>
  <c r="AT91" i="32"/>
  <c r="AT96" i="32" s="1"/>
  <c r="AP91" i="32"/>
  <c r="AO91" i="32"/>
  <c r="AO96" i="32" s="1"/>
  <c r="AF91" i="32"/>
  <c r="AF96" i="32" s="1"/>
  <c r="AC91" i="32"/>
  <c r="Z91" i="32"/>
  <c r="Z96" i="32" s="1"/>
  <c r="V91" i="32"/>
  <c r="R91" i="32"/>
  <c r="R96" i="32" s="1"/>
  <c r="AN90" i="32"/>
  <c r="AM90" i="32"/>
  <c r="AL90" i="32"/>
  <c r="AK90" i="32"/>
  <c r="AJ90" i="32"/>
  <c r="AI90" i="32"/>
  <c r="AH90" i="32"/>
  <c r="AE90" i="32"/>
  <c r="AD90" i="32"/>
  <c r="Z90" i="32"/>
  <c r="Y90" i="32"/>
  <c r="X90" i="32"/>
  <c r="W90" i="32"/>
  <c r="U90" i="32"/>
  <c r="T90" i="32"/>
  <c r="S90" i="32"/>
  <c r="AW89" i="32"/>
  <c r="AT89" i="32"/>
  <c r="AS89" i="32"/>
  <c r="AP89" i="32"/>
  <c r="AZ89" i="32" s="1"/>
  <c r="AO89" i="32"/>
  <c r="AF89" i="32"/>
  <c r="AB89" i="32"/>
  <c r="AU89" i="32" s="1"/>
  <c r="Z89" i="32"/>
  <c r="R89" i="32"/>
  <c r="V89" i="32" s="1"/>
  <c r="AW88" i="32"/>
  <c r="AT88" i="32"/>
  <c r="AP88" i="32"/>
  <c r="AZ88" i="32" s="1"/>
  <c r="AO88" i="32"/>
  <c r="AF88" i="32"/>
  <c r="Z88" i="32"/>
  <c r="R88" i="32"/>
  <c r="V88" i="32" s="1"/>
  <c r="AW87" i="32"/>
  <c r="AT87" i="32"/>
  <c r="AP87" i="32"/>
  <c r="AZ87" i="32" s="1"/>
  <c r="AO87" i="32"/>
  <c r="AF87" i="32"/>
  <c r="Z87" i="32"/>
  <c r="V87" i="32"/>
  <c r="AC87" i="32" s="1"/>
  <c r="AV87" i="32" s="1"/>
  <c r="R87" i="32"/>
  <c r="AZ86" i="32"/>
  <c r="AW86" i="32"/>
  <c r="AT86" i="32"/>
  <c r="AT90" i="32" s="1"/>
  <c r="AP86" i="32"/>
  <c r="AO86" i="32"/>
  <c r="AF86" i="32"/>
  <c r="Z86" i="32"/>
  <c r="R86" i="32"/>
  <c r="V86" i="32" s="1"/>
  <c r="AW85" i="32"/>
  <c r="AT85" i="32"/>
  <c r="AS85" i="32"/>
  <c r="AP85" i="32"/>
  <c r="AP90" i="32" s="1"/>
  <c r="AO85" i="32"/>
  <c r="AF85" i="32"/>
  <c r="AF90" i="32" s="1"/>
  <c r="AA85" i="32"/>
  <c r="Z85" i="32"/>
  <c r="V85" i="32"/>
  <c r="V90" i="32" s="1"/>
  <c r="R85" i="32"/>
  <c r="R90" i="32" s="1"/>
  <c r="AZ84" i="32"/>
  <c r="AT84" i="32"/>
  <c r="AP84" i="32"/>
  <c r="AN84" i="32"/>
  <c r="AM84" i="32"/>
  <c r="AL84" i="32"/>
  <c r="AK84" i="32"/>
  <c r="AJ84" i="32"/>
  <c r="AI84" i="32"/>
  <c r="AH84" i="32"/>
  <c r="AE84" i="32"/>
  <c r="AD84" i="32"/>
  <c r="AC84" i="32"/>
  <c r="Z84" i="32"/>
  <c r="Y84" i="32"/>
  <c r="X84" i="32"/>
  <c r="W84" i="32"/>
  <c r="U84" i="32"/>
  <c r="T84" i="32"/>
  <c r="S84" i="32"/>
  <c r="AZ83" i="32"/>
  <c r="AS83" i="32"/>
  <c r="AP83" i="32"/>
  <c r="AO83" i="32"/>
  <c r="AY83" i="32" s="1"/>
  <c r="AF83" i="32"/>
  <c r="AW83" i="32" s="1"/>
  <c r="AA83" i="32"/>
  <c r="Z83" i="32"/>
  <c r="AT83" i="32" s="1"/>
  <c r="R83" i="32"/>
  <c r="V83" i="32" s="1"/>
  <c r="AC83" i="32" s="1"/>
  <c r="AV83" i="32" s="1"/>
  <c r="AZ82" i="32"/>
  <c r="AS82" i="32"/>
  <c r="AP82" i="32"/>
  <c r="AO82" i="32"/>
  <c r="AY82" i="32" s="1"/>
  <c r="AF82" i="32"/>
  <c r="AW82" i="32" s="1"/>
  <c r="AA82" i="32"/>
  <c r="Z82" i="32"/>
  <c r="AT82" i="32" s="1"/>
  <c r="R82" i="32"/>
  <c r="V82" i="32" s="1"/>
  <c r="AC82" i="32" s="1"/>
  <c r="AV82" i="32" s="1"/>
  <c r="AZ81" i="32"/>
  <c r="AS81" i="32"/>
  <c r="AP81" i="32"/>
  <c r="AO81" i="32"/>
  <c r="AY81" i="32" s="1"/>
  <c r="AF81" i="32"/>
  <c r="AW81" i="32" s="1"/>
  <c r="AA81" i="32"/>
  <c r="Z81" i="32"/>
  <c r="AT81" i="32" s="1"/>
  <c r="R81" i="32"/>
  <c r="V81" i="32" s="1"/>
  <c r="AC81" i="32" s="1"/>
  <c r="AV81" i="32" s="1"/>
  <c r="AZ80" i="32"/>
  <c r="AS80" i="32"/>
  <c r="AP80" i="32"/>
  <c r="AO80" i="32"/>
  <c r="AY80" i="32" s="1"/>
  <c r="AF80" i="32"/>
  <c r="AW80" i="32" s="1"/>
  <c r="AA80" i="32"/>
  <c r="Z80" i="32"/>
  <c r="AT80" i="32" s="1"/>
  <c r="R80" i="32"/>
  <c r="V80" i="32" s="1"/>
  <c r="AC80" i="32" s="1"/>
  <c r="AV80" i="32" s="1"/>
  <c r="AZ79" i="32"/>
  <c r="AS79" i="32"/>
  <c r="AP79" i="32"/>
  <c r="AO79" i="32"/>
  <c r="AY79" i="32" s="1"/>
  <c r="AF79" i="32"/>
  <c r="AW79" i="32" s="1"/>
  <c r="AA79" i="32"/>
  <c r="Z79" i="32"/>
  <c r="AT79" i="32" s="1"/>
  <c r="R79" i="32"/>
  <c r="V79" i="32" s="1"/>
  <c r="AC79" i="32" s="1"/>
  <c r="AV79" i="32" s="1"/>
  <c r="AZ78" i="32"/>
  <c r="AS78" i="32"/>
  <c r="AS84" i="32" s="1"/>
  <c r="AP78" i="32"/>
  <c r="AO78" i="32"/>
  <c r="AO84" i="32" s="1"/>
  <c r="AF78" i="32"/>
  <c r="AF84" i="32" s="1"/>
  <c r="AA78" i="32"/>
  <c r="AA84" i="32" s="1"/>
  <c r="Z78" i="32"/>
  <c r="AT78" i="32" s="1"/>
  <c r="R78" i="32"/>
  <c r="V78" i="32" s="1"/>
  <c r="AC78" i="32" s="1"/>
  <c r="AV78" i="32" s="1"/>
  <c r="AV84" i="32" s="1"/>
  <c r="AO77" i="32"/>
  <c r="AN77" i="32"/>
  <c r="AM77" i="32"/>
  <c r="AL77" i="32"/>
  <c r="AK77" i="32"/>
  <c r="AJ77" i="32"/>
  <c r="AI77" i="32"/>
  <c r="AH77" i="32"/>
  <c r="AE77" i="32"/>
  <c r="AD77" i="32"/>
  <c r="Y77" i="32"/>
  <c r="X77" i="32"/>
  <c r="W77" i="32"/>
  <c r="U77" i="32"/>
  <c r="T77" i="32"/>
  <c r="S77" i="32"/>
  <c r="AY76" i="32"/>
  <c r="AP76" i="32"/>
  <c r="AZ76" i="32" s="1"/>
  <c r="AO76" i="32"/>
  <c r="AF76" i="32"/>
  <c r="AW76" i="32" s="1"/>
  <c r="AC76" i="32"/>
  <c r="AV76" i="32" s="1"/>
  <c r="Z76" i="32"/>
  <c r="AT76" i="32" s="1"/>
  <c r="V76" i="32"/>
  <c r="R76" i="32"/>
  <c r="AY75" i="32"/>
  <c r="AT75" i="32"/>
  <c r="AQ75" i="32"/>
  <c r="AX75" i="32" s="1"/>
  <c r="AP75" i="32"/>
  <c r="AZ75" i="32" s="1"/>
  <c r="AO75" i="32"/>
  <c r="AF75" i="32"/>
  <c r="AW75" i="32" s="1"/>
  <c r="Z75" i="32"/>
  <c r="V75" i="32"/>
  <c r="AC75" i="32" s="1"/>
  <c r="AV75" i="32" s="1"/>
  <c r="R75" i="32"/>
  <c r="AY74" i="32"/>
  <c r="AP74" i="32"/>
  <c r="AQ74" i="32" s="1"/>
  <c r="AX74" i="32" s="1"/>
  <c r="AO74" i="32"/>
  <c r="AF74" i="32"/>
  <c r="AW74" i="32" s="1"/>
  <c r="AC74" i="32"/>
  <c r="AV74" i="32" s="1"/>
  <c r="Z74" i="32"/>
  <c r="AT74" i="32" s="1"/>
  <c r="V74" i="32"/>
  <c r="AA74" i="32" s="1"/>
  <c r="R74" i="32"/>
  <c r="AY73" i="32"/>
  <c r="AY77" i="32" s="1"/>
  <c r="AT73" i="32"/>
  <c r="AQ73" i="32"/>
  <c r="AX73" i="32" s="1"/>
  <c r="AP73" i="32"/>
  <c r="AZ73" i="32" s="1"/>
  <c r="AO73" i="32"/>
  <c r="AF73" i="32"/>
  <c r="AW73" i="32" s="1"/>
  <c r="AA73" i="32"/>
  <c r="Z73" i="32"/>
  <c r="V73" i="32"/>
  <c r="AC73" i="32" s="1"/>
  <c r="AV73" i="32" s="1"/>
  <c r="R73" i="32"/>
  <c r="AY72" i="32"/>
  <c r="AP72" i="32"/>
  <c r="AP77" i="32" s="1"/>
  <c r="AO72" i="32"/>
  <c r="AF72" i="32"/>
  <c r="AW72" i="32" s="1"/>
  <c r="AW77" i="32" s="1"/>
  <c r="AC72" i="32"/>
  <c r="Z72" i="32"/>
  <c r="V72" i="32"/>
  <c r="R72" i="32"/>
  <c r="R77" i="32" s="1"/>
  <c r="AN71" i="32"/>
  <c r="AM71" i="32"/>
  <c r="AL71" i="32"/>
  <c r="AK71" i="32"/>
  <c r="AJ71" i="32"/>
  <c r="AI71" i="32"/>
  <c r="AH71" i="32"/>
  <c r="AE71" i="32"/>
  <c r="AD71" i="32"/>
  <c r="Y71" i="32"/>
  <c r="X71" i="32"/>
  <c r="W71" i="32"/>
  <c r="U71" i="32"/>
  <c r="T71" i="32"/>
  <c r="S71" i="32"/>
  <c r="AP70" i="32"/>
  <c r="AZ70" i="32" s="1"/>
  <c r="AO70" i="32"/>
  <c r="AY70" i="32" s="1"/>
  <c r="AF70" i="32"/>
  <c r="AW70" i="32" s="1"/>
  <c r="Z70" i="32"/>
  <c r="AT70" i="32" s="1"/>
  <c r="V70" i="32"/>
  <c r="AA70" i="32" s="1"/>
  <c r="R70" i="32"/>
  <c r="AW69" i="32"/>
  <c r="AQ69" i="32"/>
  <c r="AX69" i="32" s="1"/>
  <c r="AP69" i="32"/>
  <c r="AZ69" i="32" s="1"/>
  <c r="AO69" i="32"/>
  <c r="AY69" i="32" s="1"/>
  <c r="AF69" i="32"/>
  <c r="Z69" i="32"/>
  <c r="AT69" i="32" s="1"/>
  <c r="R69" i="32"/>
  <c r="V69" i="32" s="1"/>
  <c r="AP68" i="32"/>
  <c r="AZ68" i="32" s="1"/>
  <c r="AO68" i="32"/>
  <c r="AY68" i="32" s="1"/>
  <c r="AF68" i="32"/>
  <c r="AW68" i="32" s="1"/>
  <c r="AB68" i="32"/>
  <c r="AU68" i="32" s="1"/>
  <c r="Z68" i="32"/>
  <c r="AT68" i="32" s="1"/>
  <c r="V68" i="32"/>
  <c r="AA68" i="32" s="1"/>
  <c r="R68" i="32"/>
  <c r="AW67" i="32"/>
  <c r="AP67" i="32"/>
  <c r="AZ67" i="32" s="1"/>
  <c r="AO67" i="32"/>
  <c r="AY67" i="32" s="1"/>
  <c r="AF67" i="32"/>
  <c r="Z67" i="32"/>
  <c r="AT67" i="32" s="1"/>
  <c r="R67" i="32"/>
  <c r="V67" i="32" s="1"/>
  <c r="AP66" i="32"/>
  <c r="AZ66" i="32" s="1"/>
  <c r="AO66" i="32"/>
  <c r="AY66" i="32" s="1"/>
  <c r="AF66" i="32"/>
  <c r="AW66" i="32" s="1"/>
  <c r="Z66" i="32"/>
  <c r="AT66" i="32" s="1"/>
  <c r="V66" i="32"/>
  <c r="AA66" i="32" s="1"/>
  <c r="R66" i="32"/>
  <c r="AW65" i="32"/>
  <c r="AQ65" i="32"/>
  <c r="AP65" i="32"/>
  <c r="AZ65" i="32" s="1"/>
  <c r="AZ71" i="32" s="1"/>
  <c r="AO65" i="32"/>
  <c r="AF65" i="32"/>
  <c r="AF71" i="32" s="1"/>
  <c r="Z65" i="32"/>
  <c r="Z71" i="32" s="1"/>
  <c r="R65" i="32"/>
  <c r="R71" i="32" s="1"/>
  <c r="AN64" i="32"/>
  <c r="AM64" i="32"/>
  <c r="AL64" i="32"/>
  <c r="AK64" i="32"/>
  <c r="AJ64" i="32"/>
  <c r="AI64" i="32"/>
  <c r="AH64" i="32"/>
  <c r="AE64" i="32"/>
  <c r="AD64" i="32"/>
  <c r="Z64" i="32"/>
  <c r="Y64" i="32"/>
  <c r="X64" i="32"/>
  <c r="W64" i="32"/>
  <c r="U64" i="32"/>
  <c r="T64" i="32"/>
  <c r="S64" i="32"/>
  <c r="AW63" i="32"/>
  <c r="AT63" i="32"/>
  <c r="AS63" i="32"/>
  <c r="AP63" i="32"/>
  <c r="AZ63" i="32" s="1"/>
  <c r="AO63" i="32"/>
  <c r="AF63" i="32"/>
  <c r="AA63" i="32"/>
  <c r="Z63" i="32"/>
  <c r="V63" i="32"/>
  <c r="AC63" i="32" s="1"/>
  <c r="AV63" i="32" s="1"/>
  <c r="R63" i="32"/>
  <c r="AZ62" i="32"/>
  <c r="AW62" i="32"/>
  <c r="AT62" i="32"/>
  <c r="AP62" i="32"/>
  <c r="AO62" i="32"/>
  <c r="AF62" i="32"/>
  <c r="Z62" i="32"/>
  <c r="R62" i="32"/>
  <c r="V62" i="32" s="1"/>
  <c r="AW61" i="32"/>
  <c r="AT61" i="32"/>
  <c r="AP61" i="32"/>
  <c r="AP64" i="32" s="1"/>
  <c r="AO61" i="32"/>
  <c r="AF61" i="32"/>
  <c r="Z61" i="32"/>
  <c r="V61" i="32"/>
  <c r="AC61" i="32" s="1"/>
  <c r="AV61" i="32" s="1"/>
  <c r="R61" i="32"/>
  <c r="AZ60" i="32"/>
  <c r="AW60" i="32"/>
  <c r="AT60" i="32"/>
  <c r="AP60" i="32"/>
  <c r="AO60" i="32"/>
  <c r="AF60" i="32"/>
  <c r="Z60" i="32"/>
  <c r="R60" i="32"/>
  <c r="V60" i="32" s="1"/>
  <c r="AW59" i="32"/>
  <c r="AT59" i="32"/>
  <c r="AS59" i="32"/>
  <c r="AP59" i="32"/>
  <c r="AZ59" i="32" s="1"/>
  <c r="AO59" i="32"/>
  <c r="AF59" i="32"/>
  <c r="AA59" i="32"/>
  <c r="Z59" i="32"/>
  <c r="V59" i="32"/>
  <c r="AC59" i="32" s="1"/>
  <c r="AV59" i="32" s="1"/>
  <c r="R59" i="32"/>
  <c r="AZ58" i="32"/>
  <c r="AW58" i="32"/>
  <c r="AW64" i="32" s="1"/>
  <c r="AT58" i="32"/>
  <c r="AT64" i="32" s="1"/>
  <c r="AP58" i="32"/>
  <c r="AO58" i="32"/>
  <c r="AO64" i="32" s="1"/>
  <c r="AF58" i="32"/>
  <c r="AF64" i="32" s="1"/>
  <c r="Z58" i="32"/>
  <c r="R58" i="32"/>
  <c r="R64" i="32" s="1"/>
  <c r="AP57" i="32"/>
  <c r="AN57" i="32"/>
  <c r="AM57" i="32"/>
  <c r="AL57" i="32"/>
  <c r="AK57" i="32"/>
  <c r="AJ57" i="32"/>
  <c r="AI57" i="32"/>
  <c r="AH57" i="32"/>
  <c r="AF57" i="32"/>
  <c r="AE57" i="32"/>
  <c r="AD57" i="32"/>
  <c r="Y57" i="32"/>
  <c r="X57" i="32"/>
  <c r="W57" i="32"/>
  <c r="U57" i="32"/>
  <c r="T57" i="32"/>
  <c r="S57" i="32"/>
  <c r="AZ56" i="32"/>
  <c r="AW56" i="32"/>
  <c r="AS56" i="32"/>
  <c r="AP56" i="32"/>
  <c r="AO56" i="32"/>
  <c r="AY56" i="32" s="1"/>
  <c r="AF56" i="32"/>
  <c r="AB56" i="32"/>
  <c r="AU56" i="32" s="1"/>
  <c r="Z56" i="32"/>
  <c r="AT56" i="32" s="1"/>
  <c r="R56" i="32"/>
  <c r="V56" i="32" s="1"/>
  <c r="AC56" i="32" s="1"/>
  <c r="AV56" i="32" s="1"/>
  <c r="AZ55" i="32"/>
  <c r="AW55" i="32"/>
  <c r="AS55" i="32"/>
  <c r="AP55" i="32"/>
  <c r="AO55" i="32"/>
  <c r="AY55" i="32" s="1"/>
  <c r="AF55" i="32"/>
  <c r="AB55" i="32"/>
  <c r="AU55" i="32" s="1"/>
  <c r="Z55" i="32"/>
  <c r="AT55" i="32" s="1"/>
  <c r="R55" i="32"/>
  <c r="V55" i="32" s="1"/>
  <c r="AC55" i="32" s="1"/>
  <c r="AV55" i="32" s="1"/>
  <c r="AZ54" i="32"/>
  <c r="AT54" i="32"/>
  <c r="AP54" i="32"/>
  <c r="AQ54" i="32" s="1"/>
  <c r="AX54" i="32" s="1"/>
  <c r="AO54" i="32"/>
  <c r="AY54" i="32" s="1"/>
  <c r="AF54" i="32"/>
  <c r="AW54" i="32" s="1"/>
  <c r="AA54" i="32"/>
  <c r="Z54" i="32"/>
  <c r="V54" i="32"/>
  <c r="AC54" i="32" s="1"/>
  <c r="AV54" i="32" s="1"/>
  <c r="R54" i="32"/>
  <c r="AZ53" i="32"/>
  <c r="AY53" i="32"/>
  <c r="AT53" i="32"/>
  <c r="AP53" i="32"/>
  <c r="AQ53" i="32" s="1"/>
  <c r="AX53" i="32" s="1"/>
  <c r="AO53" i="32"/>
  <c r="AF53" i="32"/>
  <c r="AW53" i="32" s="1"/>
  <c r="AA53" i="32"/>
  <c r="Z53" i="32"/>
  <c r="V53" i="32"/>
  <c r="AC53" i="32" s="1"/>
  <c r="AV53" i="32" s="1"/>
  <c r="R53" i="32"/>
  <c r="AZ52" i="32"/>
  <c r="AZ57" i="32" s="1"/>
  <c r="AY52" i="32"/>
  <c r="AT52" i="32"/>
  <c r="AT57" i="32" s="1"/>
  <c r="AP52" i="32"/>
  <c r="AQ52" i="32" s="1"/>
  <c r="AO52" i="32"/>
  <c r="AO57" i="32" s="1"/>
  <c r="AF52" i="32"/>
  <c r="AW52" i="32" s="1"/>
  <c r="AA52" i="32"/>
  <c r="Z52" i="32"/>
  <c r="Z57" i="32" s="1"/>
  <c r="V52" i="32"/>
  <c r="AC52" i="32" s="1"/>
  <c r="R52" i="32"/>
  <c r="R57" i="32" s="1"/>
  <c r="AP51" i="32"/>
  <c r="AN51" i="32"/>
  <c r="AM51" i="32"/>
  <c r="AL51" i="32"/>
  <c r="AK51" i="32"/>
  <c r="AJ51" i="32"/>
  <c r="AI51" i="32"/>
  <c r="AH51" i="32"/>
  <c r="AE51" i="32"/>
  <c r="AD51" i="32"/>
  <c r="Y51" i="32"/>
  <c r="X51" i="32"/>
  <c r="W51" i="32"/>
  <c r="U51" i="32"/>
  <c r="T51" i="32"/>
  <c r="S51" i="32"/>
  <c r="AY50" i="32"/>
  <c r="AQ50" i="32"/>
  <c r="AX50" i="32" s="1"/>
  <c r="AP50" i="32"/>
  <c r="AZ50" i="32" s="1"/>
  <c r="AO50" i="32"/>
  <c r="AF50" i="32"/>
  <c r="AW50" i="32" s="1"/>
  <c r="Z50" i="32"/>
  <c r="AT50" i="32" s="1"/>
  <c r="R50" i="32"/>
  <c r="V50" i="32" s="1"/>
  <c r="AY49" i="32"/>
  <c r="AQ49" i="32"/>
  <c r="AX49" i="32" s="1"/>
  <c r="AP49" i="32"/>
  <c r="AZ49" i="32" s="1"/>
  <c r="AO49" i="32"/>
  <c r="AF49" i="32"/>
  <c r="AF310" i="32" s="1"/>
  <c r="Z49" i="32"/>
  <c r="Z310" i="32" s="1"/>
  <c r="R49" i="32"/>
  <c r="AY48" i="32"/>
  <c r="AQ48" i="32"/>
  <c r="AX48" i="32" s="1"/>
  <c r="AP48" i="32"/>
  <c r="AZ48" i="32" s="1"/>
  <c r="AO48" i="32"/>
  <c r="AF48" i="32"/>
  <c r="AW48" i="32" s="1"/>
  <c r="Z48" i="32"/>
  <c r="AT48" i="32" s="1"/>
  <c r="R48" i="32"/>
  <c r="V48" i="32" s="1"/>
  <c r="AY47" i="32"/>
  <c r="AQ47" i="32"/>
  <c r="AX47" i="32" s="1"/>
  <c r="AP47" i="32"/>
  <c r="AZ47" i="32" s="1"/>
  <c r="AO47" i="32"/>
  <c r="AF47" i="32"/>
  <c r="AW47" i="32" s="1"/>
  <c r="Z47" i="32"/>
  <c r="AT47" i="32" s="1"/>
  <c r="R47" i="32"/>
  <c r="V47" i="32" s="1"/>
  <c r="AY46" i="32"/>
  <c r="AQ46" i="32"/>
  <c r="AX46" i="32" s="1"/>
  <c r="AP46" i="32"/>
  <c r="AZ46" i="32" s="1"/>
  <c r="AO46" i="32"/>
  <c r="AF46" i="32"/>
  <c r="AF304" i="32" s="1"/>
  <c r="Z46" i="32"/>
  <c r="Z304" i="32" s="1"/>
  <c r="R46" i="32"/>
  <c r="AY45" i="32"/>
  <c r="AY51" i="32" s="1"/>
  <c r="AQ45" i="32"/>
  <c r="AQ51" i="32" s="1"/>
  <c r="AP45" i="32"/>
  <c r="AZ45" i="32" s="1"/>
  <c r="AZ51" i="32" s="1"/>
  <c r="AO45" i="32"/>
  <c r="AO51" i="32" s="1"/>
  <c r="AF45" i="32"/>
  <c r="AF51" i="32" s="1"/>
  <c r="Z45" i="32"/>
  <c r="AT45" i="32" s="1"/>
  <c r="R45" i="32"/>
  <c r="V45" i="32" s="1"/>
  <c r="AW44" i="32"/>
  <c r="AO44" i="32"/>
  <c r="AN44" i="32"/>
  <c r="AM44" i="32"/>
  <c r="AL44" i="32"/>
  <c r="AK44" i="32"/>
  <c r="AJ44" i="32"/>
  <c r="AI44" i="32"/>
  <c r="AH44" i="32"/>
  <c r="AE44" i="32"/>
  <c r="AD44" i="32"/>
  <c r="Z44" i="32"/>
  <c r="Y44" i="32"/>
  <c r="X44" i="32"/>
  <c r="W44" i="32"/>
  <c r="U44" i="32"/>
  <c r="T44" i="32"/>
  <c r="S44" i="32"/>
  <c r="AW43" i="32"/>
  <c r="AT43" i="32"/>
  <c r="AT44" i="32" s="1"/>
  <c r="AP43" i="32"/>
  <c r="AP44" i="32" s="1"/>
  <c r="AO43" i="32"/>
  <c r="AY43" i="32" s="1"/>
  <c r="AY44" i="32" s="1"/>
  <c r="AF43" i="32"/>
  <c r="AF44" i="32" s="1"/>
  <c r="Z43" i="32"/>
  <c r="V43" i="32"/>
  <c r="AC43" i="32" s="1"/>
  <c r="R43" i="32"/>
  <c r="R44" i="32" s="1"/>
  <c r="AZ42" i="32"/>
  <c r="AP42" i="32"/>
  <c r="AN42" i="32"/>
  <c r="AM42" i="32"/>
  <c r="AL42" i="32"/>
  <c r="AK42" i="32"/>
  <c r="AJ42" i="32"/>
  <c r="AI42" i="32"/>
  <c r="AH42" i="32"/>
  <c r="AE42" i="32"/>
  <c r="AD42" i="32"/>
  <c r="Z42" i="32"/>
  <c r="Y42" i="32"/>
  <c r="X42" i="32"/>
  <c r="W42" i="32"/>
  <c r="U42" i="32"/>
  <c r="T42" i="32"/>
  <c r="S42" i="32"/>
  <c r="AZ41" i="32"/>
  <c r="AW41" i="32"/>
  <c r="AP41" i="32"/>
  <c r="AO41" i="32"/>
  <c r="AY41" i="32" s="1"/>
  <c r="AF41" i="32"/>
  <c r="Z41" i="32"/>
  <c r="AT41" i="32" s="1"/>
  <c r="R41" i="32"/>
  <c r="V41" i="32" s="1"/>
  <c r="AZ40" i="32"/>
  <c r="AW40" i="32"/>
  <c r="AP40" i="32"/>
  <c r="AO40" i="32"/>
  <c r="AY40" i="32" s="1"/>
  <c r="AF40" i="32"/>
  <c r="Z40" i="32"/>
  <c r="AT40" i="32" s="1"/>
  <c r="R40" i="32"/>
  <c r="V40" i="32" s="1"/>
  <c r="AZ39" i="32"/>
  <c r="AW39" i="32"/>
  <c r="AW42" i="32" s="1"/>
  <c r="AP39" i="32"/>
  <c r="AO39" i="32"/>
  <c r="AO42" i="32" s="1"/>
  <c r="AF39" i="32"/>
  <c r="AF42" i="32" s="1"/>
  <c r="Z39" i="32"/>
  <c r="AT39" i="32" s="1"/>
  <c r="AT42" i="32" s="1"/>
  <c r="R39" i="32"/>
  <c r="R42" i="32" s="1"/>
  <c r="AY38" i="32"/>
  <c r="AO38" i="32"/>
  <c r="AN38" i="32"/>
  <c r="AM38" i="32"/>
  <c r="AL38" i="32"/>
  <c r="AK38" i="32"/>
  <c r="AJ38" i="32"/>
  <c r="AI38" i="32"/>
  <c r="AH38" i="32"/>
  <c r="AE38" i="32"/>
  <c r="AD38" i="32"/>
  <c r="Y38" i="32"/>
  <c r="X38" i="32"/>
  <c r="W38" i="32"/>
  <c r="U38" i="32"/>
  <c r="T38" i="32"/>
  <c r="S38" i="32"/>
  <c r="AZ37" i="32"/>
  <c r="AY37" i="32"/>
  <c r="AT37" i="32"/>
  <c r="AP37" i="32"/>
  <c r="AQ37" i="32" s="1"/>
  <c r="AX37" i="32" s="1"/>
  <c r="AO37" i="32"/>
  <c r="AF37" i="32"/>
  <c r="AW37" i="32" s="1"/>
  <c r="AA37" i="32"/>
  <c r="Z37" i="32"/>
  <c r="V37" i="32"/>
  <c r="AC37" i="32" s="1"/>
  <c r="AV37" i="32" s="1"/>
  <c r="R37" i="32"/>
  <c r="AZ36" i="32"/>
  <c r="AY36" i="32"/>
  <c r="AT36" i="32"/>
  <c r="AP36" i="32"/>
  <c r="AQ36" i="32" s="1"/>
  <c r="AX36" i="32" s="1"/>
  <c r="AO36" i="32"/>
  <c r="AF36" i="32"/>
  <c r="AW36" i="32" s="1"/>
  <c r="AA36" i="32"/>
  <c r="Z36" i="32"/>
  <c r="V36" i="32"/>
  <c r="AC36" i="32" s="1"/>
  <c r="AV36" i="32" s="1"/>
  <c r="R36" i="32"/>
  <c r="AZ35" i="32"/>
  <c r="AZ38" i="32" s="1"/>
  <c r="AY35" i="32"/>
  <c r="AT35" i="32"/>
  <c r="AT38" i="32" s="1"/>
  <c r="AP35" i="32"/>
  <c r="AQ35" i="32" s="1"/>
  <c r="AO35" i="32"/>
  <c r="AF35" i="32"/>
  <c r="AF38" i="32" s="1"/>
  <c r="AA35" i="32"/>
  <c r="Z35" i="32"/>
  <c r="Z38" i="32" s="1"/>
  <c r="V35" i="32"/>
  <c r="AC35" i="32" s="1"/>
  <c r="R35" i="32"/>
  <c r="R38" i="32" s="1"/>
  <c r="AP34" i="32"/>
  <c r="AN34" i="32"/>
  <c r="AM34" i="32"/>
  <c r="AL34" i="32"/>
  <c r="AK34" i="32"/>
  <c r="AJ34" i="32"/>
  <c r="AI34" i="32"/>
  <c r="AH34" i="32"/>
  <c r="AE34" i="32"/>
  <c r="AD34" i="32"/>
  <c r="Y34" i="32"/>
  <c r="X34" i="32"/>
  <c r="W34" i="32"/>
  <c r="U34" i="32"/>
  <c r="T34" i="32"/>
  <c r="S34" i="32"/>
  <c r="AY33" i="32"/>
  <c r="AQ33" i="32"/>
  <c r="AX33" i="32" s="1"/>
  <c r="AP33" i="32"/>
  <c r="AZ33" i="32" s="1"/>
  <c r="AO33" i="32"/>
  <c r="AF33" i="32"/>
  <c r="AW33" i="32" s="1"/>
  <c r="Z33" i="32"/>
  <c r="AT33" i="32" s="1"/>
  <c r="R33" i="32"/>
  <c r="V33" i="32" s="1"/>
  <c r="AY32" i="32"/>
  <c r="AY34" i="32" s="1"/>
  <c r="AQ32" i="32"/>
  <c r="AQ34" i="32" s="1"/>
  <c r="AP32" i="32"/>
  <c r="AZ32" i="32" s="1"/>
  <c r="AO32" i="32"/>
  <c r="AO34" i="32" s="1"/>
  <c r="AF32" i="32"/>
  <c r="AF34" i="32" s="1"/>
  <c r="Z32" i="32"/>
  <c r="AT32" i="32" s="1"/>
  <c r="AT34" i="32" s="1"/>
  <c r="R32" i="32"/>
  <c r="V32" i="32" s="1"/>
  <c r="AW31" i="32"/>
  <c r="AO31" i="32"/>
  <c r="AN31" i="32"/>
  <c r="AM31" i="32"/>
  <c r="AL31" i="32"/>
  <c r="AK31" i="32"/>
  <c r="AJ31" i="32"/>
  <c r="AI31" i="32"/>
  <c r="AH31" i="32"/>
  <c r="AE31" i="32"/>
  <c r="AD31" i="32"/>
  <c r="Z31" i="32"/>
  <c r="Y31" i="32"/>
  <c r="X31" i="32"/>
  <c r="W31" i="32"/>
  <c r="U31" i="32"/>
  <c r="T31" i="32"/>
  <c r="S31" i="32"/>
  <c r="AW30" i="32"/>
  <c r="AT30" i="32"/>
  <c r="AP30" i="32"/>
  <c r="AZ30" i="32" s="1"/>
  <c r="AO30" i="32"/>
  <c r="AY30" i="32" s="1"/>
  <c r="AF30" i="32"/>
  <c r="Z30" i="32"/>
  <c r="V30" i="32"/>
  <c r="AC30" i="32" s="1"/>
  <c r="AV30" i="32" s="1"/>
  <c r="R30" i="32"/>
  <c r="AW29" i="32"/>
  <c r="AT29" i="32"/>
  <c r="AP29" i="32"/>
  <c r="AZ29" i="32" s="1"/>
  <c r="AO29" i="32"/>
  <c r="AY29" i="32" s="1"/>
  <c r="AF29" i="32"/>
  <c r="Z29" i="32"/>
  <c r="V29" i="32"/>
  <c r="AC29" i="32" s="1"/>
  <c r="AV29" i="32" s="1"/>
  <c r="R29" i="32"/>
  <c r="AW28" i="32"/>
  <c r="AT28" i="32"/>
  <c r="AT31" i="32" s="1"/>
  <c r="AP28" i="32"/>
  <c r="AP31" i="32" s="1"/>
  <c r="AO28" i="32"/>
  <c r="AY28" i="32" s="1"/>
  <c r="AY31" i="32" s="1"/>
  <c r="AF28" i="32"/>
  <c r="AF31" i="32" s="1"/>
  <c r="Z28" i="32"/>
  <c r="V28" i="32"/>
  <c r="AC28" i="32" s="1"/>
  <c r="R28" i="32"/>
  <c r="R31" i="32" s="1"/>
  <c r="AZ27" i="32"/>
  <c r="AP27" i="32"/>
  <c r="AN27" i="32"/>
  <c r="AM27" i="32"/>
  <c r="AL27" i="32"/>
  <c r="AK27" i="32"/>
  <c r="AJ27" i="32"/>
  <c r="AI27" i="32"/>
  <c r="AH27" i="32"/>
  <c r="AE27" i="32"/>
  <c r="AD27" i="32"/>
  <c r="Z27" i="32"/>
  <c r="Y27" i="32"/>
  <c r="X27" i="32"/>
  <c r="W27" i="32"/>
  <c r="U27" i="32"/>
  <c r="T27" i="32"/>
  <c r="S27" i="32"/>
  <c r="AZ26" i="32"/>
  <c r="AW26" i="32"/>
  <c r="AP26" i="32"/>
  <c r="AO26" i="32"/>
  <c r="AY26" i="32" s="1"/>
  <c r="AF26" i="32"/>
  <c r="Z26" i="32"/>
  <c r="AT26" i="32" s="1"/>
  <c r="R26" i="32"/>
  <c r="V26" i="32" s="1"/>
  <c r="AZ25" i="32"/>
  <c r="AW25" i="32"/>
  <c r="AP25" i="32"/>
  <c r="AO25" i="32"/>
  <c r="AY25" i="32" s="1"/>
  <c r="AF25" i="32"/>
  <c r="Z25" i="32"/>
  <c r="AT25" i="32" s="1"/>
  <c r="R25" i="32"/>
  <c r="V25" i="32" s="1"/>
  <c r="AZ24" i="32"/>
  <c r="AW24" i="32"/>
  <c r="AP24" i="32"/>
  <c r="AO24" i="32"/>
  <c r="AY24" i="32" s="1"/>
  <c r="AF24" i="32"/>
  <c r="Z24" i="32"/>
  <c r="AT24" i="32" s="1"/>
  <c r="R24" i="32"/>
  <c r="V24" i="32" s="1"/>
  <c r="AZ23" i="32"/>
  <c r="AW23" i="32"/>
  <c r="AW27" i="32" s="1"/>
  <c r="AP23" i="32"/>
  <c r="AO23" i="32"/>
  <c r="AO27" i="32" s="1"/>
  <c r="AF23" i="32"/>
  <c r="AF27" i="32" s="1"/>
  <c r="Z23" i="32"/>
  <c r="AT23" i="32" s="1"/>
  <c r="R23" i="32"/>
  <c r="R27" i="32" s="1"/>
  <c r="AY22" i="32"/>
  <c r="AO22" i="32"/>
  <c r="AN22" i="32"/>
  <c r="AM22" i="32"/>
  <c r="AL22" i="32"/>
  <c r="AK22" i="32"/>
  <c r="AJ22" i="32"/>
  <c r="AI22" i="32"/>
  <c r="AH22" i="32"/>
  <c r="AE22" i="32"/>
  <c r="AD22" i="32"/>
  <c r="Y22" i="32"/>
  <c r="X22" i="32"/>
  <c r="W22" i="32"/>
  <c r="U22" i="32"/>
  <c r="T22" i="32"/>
  <c r="S22" i="32"/>
  <c r="AZ21" i="32"/>
  <c r="AY21" i="32"/>
  <c r="AT21" i="32"/>
  <c r="AP21" i="32"/>
  <c r="AQ21" i="32" s="1"/>
  <c r="AX21" i="32" s="1"/>
  <c r="AO21" i="32"/>
  <c r="AF21" i="32"/>
  <c r="AW21" i="32" s="1"/>
  <c r="AA21" i="32"/>
  <c r="Z21" i="32"/>
  <c r="V21" i="32"/>
  <c r="AC21" i="32" s="1"/>
  <c r="AV21" i="32" s="1"/>
  <c r="R21" i="32"/>
  <c r="AZ20" i="32"/>
  <c r="AY20" i="32"/>
  <c r="AT20" i="32"/>
  <c r="AP20" i="32"/>
  <c r="AQ20" i="32" s="1"/>
  <c r="AX20" i="32" s="1"/>
  <c r="AO20" i="32"/>
  <c r="AF20" i="32"/>
  <c r="AW20" i="32" s="1"/>
  <c r="AA20" i="32"/>
  <c r="Z20" i="32"/>
  <c r="V20" i="32"/>
  <c r="AC20" i="32" s="1"/>
  <c r="AV20" i="32" s="1"/>
  <c r="R20" i="32"/>
  <c r="AZ19" i="32"/>
  <c r="AY19" i="32"/>
  <c r="AT19" i="32"/>
  <c r="AP19" i="32"/>
  <c r="AQ19" i="32" s="1"/>
  <c r="AX19" i="32" s="1"/>
  <c r="AO19" i="32"/>
  <c r="AF19" i="32"/>
  <c r="AW19" i="32" s="1"/>
  <c r="AA19" i="32"/>
  <c r="Z19" i="32"/>
  <c r="V19" i="32"/>
  <c r="AC19" i="32" s="1"/>
  <c r="AV19" i="32" s="1"/>
  <c r="R19" i="32"/>
  <c r="AZ18" i="32"/>
  <c r="AZ22" i="32" s="1"/>
  <c r="AY18" i="32"/>
  <c r="AT18" i="32"/>
  <c r="AT22" i="32" s="1"/>
  <c r="AP18" i="32"/>
  <c r="AQ18" i="32" s="1"/>
  <c r="AO18" i="32"/>
  <c r="AF18" i="32"/>
  <c r="AF22" i="32" s="1"/>
  <c r="AA18" i="32"/>
  <c r="AA22" i="32" s="1"/>
  <c r="Z18" i="32"/>
  <c r="Z22" i="32" s="1"/>
  <c r="V18" i="32"/>
  <c r="AC18" i="32" s="1"/>
  <c r="R18" i="32"/>
  <c r="R22" i="32" s="1"/>
  <c r="AP17" i="32"/>
  <c r="AN17" i="32"/>
  <c r="AM17" i="32"/>
  <c r="AL17" i="32"/>
  <c r="AK17" i="32"/>
  <c r="AJ17" i="32"/>
  <c r="AI17" i="32"/>
  <c r="AH17" i="32"/>
  <c r="AE17" i="32"/>
  <c r="AD17" i="32"/>
  <c r="Y17" i="32"/>
  <c r="X17" i="32"/>
  <c r="W17" i="32"/>
  <c r="U17" i="32"/>
  <c r="T17" i="32"/>
  <c r="S17" i="32"/>
  <c r="AY16" i="32"/>
  <c r="AQ16" i="32"/>
  <c r="AP16" i="32"/>
  <c r="AZ16" i="32" s="1"/>
  <c r="AO16" i="32"/>
  <c r="AF16" i="32"/>
  <c r="Z16" i="32"/>
  <c r="R16" i="32"/>
  <c r="AY15" i="32"/>
  <c r="AQ15" i="32"/>
  <c r="AX15" i="32" s="1"/>
  <c r="AP15" i="32"/>
  <c r="AZ15" i="32" s="1"/>
  <c r="AO15" i="32"/>
  <c r="AF15" i="32"/>
  <c r="AW15" i="32" s="1"/>
  <c r="Z15" i="32"/>
  <c r="AT15" i="32" s="1"/>
  <c r="R15" i="32"/>
  <c r="V15" i="32" s="1"/>
  <c r="AY14" i="32"/>
  <c r="AQ14" i="32"/>
  <c r="AP14" i="32"/>
  <c r="AZ14" i="32" s="1"/>
  <c r="AO14" i="32"/>
  <c r="AO17" i="32" s="1"/>
  <c r="AF14" i="32"/>
  <c r="AF17" i="32" s="1"/>
  <c r="Z14" i="32"/>
  <c r="R14" i="32"/>
  <c r="AW13" i="32"/>
  <c r="AO13" i="32"/>
  <c r="AN13" i="32"/>
  <c r="AM13" i="32"/>
  <c r="AM299" i="32" s="1"/>
  <c r="AL13" i="32"/>
  <c r="AK13" i="32"/>
  <c r="AJ13" i="32"/>
  <c r="AI13" i="32"/>
  <c r="AI299" i="32" s="1"/>
  <c r="AH13" i="32"/>
  <c r="AE13" i="32"/>
  <c r="AE299" i="32" s="1"/>
  <c r="AD13" i="32"/>
  <c r="Y13" i="32"/>
  <c r="X13" i="32"/>
  <c r="W13" i="32"/>
  <c r="W299" i="32" s="1"/>
  <c r="U13" i="32"/>
  <c r="T13" i="32"/>
  <c r="S13" i="32"/>
  <c r="S299" i="32" s="1"/>
  <c r="AW12" i="32"/>
  <c r="AW312" i="32" s="1"/>
  <c r="AT12" i="32"/>
  <c r="AP12" i="32"/>
  <c r="AO12" i="32"/>
  <c r="AO312" i="32" s="1"/>
  <c r="AF12" i="32"/>
  <c r="AF312" i="32" s="1"/>
  <c r="Z12" i="32"/>
  <c r="Z312" i="32" s="1"/>
  <c r="V12" i="32"/>
  <c r="AC12" i="32" s="1"/>
  <c r="R12" i="32"/>
  <c r="R312" i="32" s="1"/>
  <c r="AN87" i="31"/>
  <c r="AM87" i="31"/>
  <c r="AL87" i="31"/>
  <c r="AK87" i="31"/>
  <c r="AJ87" i="31"/>
  <c r="AI87" i="31"/>
  <c r="AH87" i="31"/>
  <c r="AE87" i="31"/>
  <c r="AD87" i="31"/>
  <c r="Y87" i="31"/>
  <c r="X87" i="31"/>
  <c r="W87" i="31"/>
  <c r="U87" i="31"/>
  <c r="T87" i="31"/>
  <c r="S87" i="31"/>
  <c r="Q87" i="31"/>
  <c r="P87" i="31"/>
  <c r="O87" i="31"/>
  <c r="N87" i="31"/>
  <c r="M87" i="31"/>
  <c r="L87" i="31"/>
  <c r="K87" i="31"/>
  <c r="J87" i="31"/>
  <c r="I87" i="31"/>
  <c r="AN86" i="31"/>
  <c r="AM86" i="31"/>
  <c r="AL86" i="31"/>
  <c r="AK86" i="31"/>
  <c r="AJ86" i="31"/>
  <c r="AI86" i="31"/>
  <c r="AH86" i="31"/>
  <c r="AE86" i="31"/>
  <c r="AD86" i="31"/>
  <c r="Y86" i="31"/>
  <c r="X86" i="31"/>
  <c r="W86" i="31"/>
  <c r="U86" i="31"/>
  <c r="T86" i="31"/>
  <c r="S86" i="31"/>
  <c r="Q86" i="31"/>
  <c r="P86" i="31"/>
  <c r="O86" i="31"/>
  <c r="N86" i="31"/>
  <c r="M86" i="31"/>
  <c r="L86" i="31"/>
  <c r="K86" i="31"/>
  <c r="J86" i="31"/>
  <c r="I86" i="31"/>
  <c r="AN85" i="31"/>
  <c r="AM85" i="31"/>
  <c r="AL85" i="31"/>
  <c r="AK85" i="31"/>
  <c r="AJ85" i="31"/>
  <c r="AI85" i="31"/>
  <c r="AH85" i="31"/>
  <c r="AE85" i="31"/>
  <c r="AD85" i="31"/>
  <c r="Y85" i="31"/>
  <c r="X85" i="31"/>
  <c r="W85" i="31"/>
  <c r="U85" i="31"/>
  <c r="T85" i="31"/>
  <c r="S85" i="31"/>
  <c r="Q85" i="31"/>
  <c r="P85" i="31"/>
  <c r="O85" i="31"/>
  <c r="N85" i="31"/>
  <c r="M85" i="31"/>
  <c r="L85" i="31"/>
  <c r="K85" i="31"/>
  <c r="J85" i="31"/>
  <c r="I85" i="31"/>
  <c r="AN84" i="31"/>
  <c r="AM84" i="31"/>
  <c r="AL84" i="31"/>
  <c r="AK84" i="31"/>
  <c r="AJ84" i="31"/>
  <c r="AI84" i="31"/>
  <c r="AH84" i="31"/>
  <c r="AE84" i="31"/>
  <c r="AD84" i="31"/>
  <c r="Y84" i="31"/>
  <c r="X84" i="31"/>
  <c r="W84" i="31"/>
  <c r="U84" i="31"/>
  <c r="T84" i="31"/>
  <c r="S84" i="31"/>
  <c r="Q84" i="31"/>
  <c r="P84" i="31"/>
  <c r="O84" i="31"/>
  <c r="N84" i="31"/>
  <c r="M84" i="31"/>
  <c r="L84" i="31"/>
  <c r="K84" i="31"/>
  <c r="J84" i="31"/>
  <c r="I84" i="31"/>
  <c r="AZ83" i="31"/>
  <c r="AY83" i="31"/>
  <c r="AX83" i="31"/>
  <c r="AW83" i="31"/>
  <c r="AV83" i="31"/>
  <c r="AU83" i="31"/>
  <c r="AT83" i="31"/>
  <c r="AS83" i="31"/>
  <c r="AR83" i="31"/>
  <c r="AQ83" i="31"/>
  <c r="AP83" i="31"/>
  <c r="AO83" i="31"/>
  <c r="AN83" i="31"/>
  <c r="AM83" i="31"/>
  <c r="AL83" i="31"/>
  <c r="AK83" i="31"/>
  <c r="AJ83" i="31"/>
  <c r="AI83" i="31"/>
  <c r="AH83" i="3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AZ82" i="31"/>
  <c r="AY82" i="31"/>
  <c r="AX82" i="31"/>
  <c r="AW82" i="31"/>
  <c r="AV82" i="31"/>
  <c r="AU82" i="31"/>
  <c r="AT82" i="31"/>
  <c r="AS82" i="31"/>
  <c r="AR82" i="31"/>
  <c r="AQ82" i="31"/>
  <c r="AP82" i="31"/>
  <c r="AO82" i="31"/>
  <c r="AN82" i="31"/>
  <c r="AM82" i="31"/>
  <c r="AL82" i="31"/>
  <c r="AK82" i="31"/>
  <c r="AJ82" i="31"/>
  <c r="AI82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AN81" i="31"/>
  <c r="AM81" i="31"/>
  <c r="AL81" i="31"/>
  <c r="AK81" i="31"/>
  <c r="AJ81" i="31"/>
  <c r="AI81" i="31"/>
  <c r="AH81" i="31"/>
  <c r="AE81" i="31"/>
  <c r="AD81" i="31"/>
  <c r="Y81" i="31"/>
  <c r="X81" i="31"/>
  <c r="W81" i="31"/>
  <c r="U81" i="31"/>
  <c r="T81" i="31"/>
  <c r="S81" i="31"/>
  <c r="Q81" i="31"/>
  <c r="P81" i="31"/>
  <c r="O81" i="31"/>
  <c r="N81" i="31"/>
  <c r="M81" i="31"/>
  <c r="L81" i="31"/>
  <c r="K81" i="31"/>
  <c r="J81" i="31"/>
  <c r="I81" i="31"/>
  <c r="AZ80" i="31"/>
  <c r="AY80" i="31"/>
  <c r="AX80" i="31"/>
  <c r="AW80" i="31"/>
  <c r="AV80" i="31"/>
  <c r="AU80" i="31"/>
  <c r="AT80" i="31"/>
  <c r="AS80" i="31"/>
  <c r="AR80" i="31"/>
  <c r="AQ80" i="31"/>
  <c r="AP80" i="31"/>
  <c r="AO80" i="31"/>
  <c r="AN80" i="31"/>
  <c r="AN77" i="31" s="1"/>
  <c r="AM80" i="31"/>
  <c r="AL80" i="31"/>
  <c r="AK80" i="31"/>
  <c r="AJ80" i="31"/>
  <c r="AJ77" i="31" s="1"/>
  <c r="AI80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AN79" i="31"/>
  <c r="AM79" i="31"/>
  <c r="AL79" i="31"/>
  <c r="AL77" i="31" s="1"/>
  <c r="AK79" i="31"/>
  <c r="AJ79" i="31"/>
  <c r="AI79" i="31"/>
  <c r="AH79" i="31"/>
  <c r="AH77" i="31" s="1"/>
  <c r="AO76" i="31" s="1"/>
  <c r="AE79" i="31"/>
  <c r="AD79" i="31"/>
  <c r="Y79" i="31"/>
  <c r="X79" i="31"/>
  <c r="W79" i="31"/>
  <c r="U79" i="31"/>
  <c r="T79" i="31"/>
  <c r="S79" i="31"/>
  <c r="Q79" i="31"/>
  <c r="P79" i="31"/>
  <c r="O79" i="31"/>
  <c r="N79" i="31"/>
  <c r="M79" i="31"/>
  <c r="L79" i="31"/>
  <c r="K79" i="31"/>
  <c r="J79" i="31"/>
  <c r="I79" i="31"/>
  <c r="AN78" i="31"/>
  <c r="AM78" i="31"/>
  <c r="AL78" i="31"/>
  <c r="AK78" i="31"/>
  <c r="AK77" i="31" s="1"/>
  <c r="AJ78" i="31"/>
  <c r="AI78" i="31"/>
  <c r="AH78" i="31"/>
  <c r="AE78" i="31"/>
  <c r="AD78" i="31"/>
  <c r="Y78" i="31"/>
  <c r="X78" i="31"/>
  <c r="W78" i="31"/>
  <c r="U78" i="31"/>
  <c r="T78" i="31"/>
  <c r="S78" i="31"/>
  <c r="Q78" i="31"/>
  <c r="P78" i="31"/>
  <c r="O78" i="31"/>
  <c r="N78" i="31"/>
  <c r="N77" i="31" s="1"/>
  <c r="M78" i="31"/>
  <c r="L78" i="31"/>
  <c r="K78" i="31"/>
  <c r="J78" i="31"/>
  <c r="J77" i="31" s="1"/>
  <c r="I78" i="31"/>
  <c r="AM77" i="31"/>
  <c r="AI77" i="31"/>
  <c r="AE77" i="31"/>
  <c r="AD77" i="31"/>
  <c r="AF76" i="31" s="1"/>
  <c r="X77" i="31"/>
  <c r="W77" i="31"/>
  <c r="T77" i="31"/>
  <c r="S77" i="31"/>
  <c r="P77" i="31"/>
  <c r="O77" i="31"/>
  <c r="L77" i="31"/>
  <c r="K77" i="31"/>
  <c r="AP76" i="31"/>
  <c r="O75" i="31"/>
  <c r="Q74" i="31"/>
  <c r="P74" i="31"/>
  <c r="O74" i="31"/>
  <c r="N74" i="31"/>
  <c r="M74" i="31"/>
  <c r="L74" i="31"/>
  <c r="K74" i="31"/>
  <c r="J74" i="31"/>
  <c r="I74" i="31"/>
  <c r="AN73" i="31"/>
  <c r="AM73" i="31"/>
  <c r="AL73" i="31"/>
  <c r="AK73" i="31"/>
  <c r="AJ73" i="31"/>
  <c r="AI73" i="31"/>
  <c r="AH73" i="31"/>
  <c r="AF73" i="31"/>
  <c r="AE73" i="31"/>
  <c r="AD73" i="31"/>
  <c r="Y73" i="31"/>
  <c r="X73" i="31"/>
  <c r="W73" i="31"/>
  <c r="U73" i="31"/>
  <c r="T73" i="31"/>
  <c r="S73" i="31"/>
  <c r="AW72" i="31"/>
  <c r="AP72" i="31"/>
  <c r="AO72" i="31"/>
  <c r="AY72" i="31" s="1"/>
  <c r="AF72" i="31"/>
  <c r="AB72" i="31"/>
  <c r="AU72" i="31" s="1"/>
  <c r="Z72" i="31"/>
  <c r="AT72" i="31" s="1"/>
  <c r="V72" i="31"/>
  <c r="AA72" i="31" s="1"/>
  <c r="R72" i="31"/>
  <c r="AY71" i="31"/>
  <c r="AW71" i="31"/>
  <c r="AP71" i="31"/>
  <c r="AZ71" i="31" s="1"/>
  <c r="AO71" i="31"/>
  <c r="AF71" i="31"/>
  <c r="AC71" i="31"/>
  <c r="AV71" i="31" s="1"/>
  <c r="AB71" i="31"/>
  <c r="AU71" i="31" s="1"/>
  <c r="Z71" i="31"/>
  <c r="AT71" i="31" s="1"/>
  <c r="R71" i="31"/>
  <c r="V71" i="31" s="1"/>
  <c r="AY70" i="31"/>
  <c r="AS70" i="31"/>
  <c r="AP70" i="31"/>
  <c r="AO70" i="31"/>
  <c r="AF70" i="31"/>
  <c r="AW70" i="31" s="1"/>
  <c r="AB70" i="31"/>
  <c r="AU70" i="31" s="1"/>
  <c r="Z70" i="31"/>
  <c r="AT70" i="31" s="1"/>
  <c r="V70" i="31"/>
  <c r="R70" i="31"/>
  <c r="AY69" i="31"/>
  <c r="AX69" i="31"/>
  <c r="AQ69" i="31"/>
  <c r="AP69" i="31"/>
  <c r="AZ69" i="31" s="1"/>
  <c r="AO69" i="31"/>
  <c r="AF69" i="31"/>
  <c r="AW69" i="31" s="1"/>
  <c r="Z69" i="31"/>
  <c r="R69" i="31"/>
  <c r="V69" i="31" s="1"/>
  <c r="AQ68" i="31"/>
  <c r="AX68" i="31" s="1"/>
  <c r="AP68" i="31"/>
  <c r="AZ68" i="31" s="1"/>
  <c r="AO68" i="31"/>
  <c r="AF68" i="31"/>
  <c r="AW68" i="31" s="1"/>
  <c r="Z68" i="31"/>
  <c r="AT68" i="31" s="1"/>
  <c r="R68" i="31"/>
  <c r="AP67" i="31"/>
  <c r="AO67" i="31"/>
  <c r="AN67" i="31"/>
  <c r="AM67" i="31"/>
  <c r="AL67" i="31"/>
  <c r="AK67" i="31"/>
  <c r="AJ67" i="31"/>
  <c r="AI67" i="31"/>
  <c r="AH67" i="31"/>
  <c r="AE67" i="31"/>
  <c r="AD67" i="31"/>
  <c r="Y67" i="31"/>
  <c r="X67" i="31"/>
  <c r="W67" i="31"/>
  <c r="U67" i="31"/>
  <c r="T67" i="31"/>
  <c r="S67" i="31"/>
  <c r="AZ66" i="31"/>
  <c r="AT66" i="31"/>
  <c r="AP66" i="31"/>
  <c r="AO66" i="31"/>
  <c r="AF66" i="31"/>
  <c r="AW66" i="31" s="1"/>
  <c r="AB66" i="31"/>
  <c r="AU66" i="31" s="1"/>
  <c r="Z66" i="31"/>
  <c r="R66" i="31"/>
  <c r="V66" i="31" s="1"/>
  <c r="AZ65" i="31"/>
  <c r="AZ67" i="31" s="1"/>
  <c r="AQ65" i="31"/>
  <c r="AP65" i="31"/>
  <c r="AO65" i="31"/>
  <c r="AY65" i="31" s="1"/>
  <c r="AF65" i="31"/>
  <c r="Z65" i="31"/>
  <c r="R65" i="31"/>
  <c r="AO64" i="31"/>
  <c r="AN64" i="31"/>
  <c r="AM64" i="31"/>
  <c r="AL64" i="31"/>
  <c r="AK64" i="31"/>
  <c r="AJ64" i="31"/>
  <c r="AI64" i="31"/>
  <c r="AH64" i="31"/>
  <c r="AE64" i="31"/>
  <c r="AD64" i="31"/>
  <c r="Y64" i="31"/>
  <c r="X64" i="31"/>
  <c r="W64" i="31"/>
  <c r="U64" i="31"/>
  <c r="T64" i="31"/>
  <c r="S64" i="31"/>
  <c r="AY63" i="31"/>
  <c r="AX63" i="31"/>
  <c r="AQ63" i="31"/>
  <c r="AP63" i="31"/>
  <c r="AZ63" i="31" s="1"/>
  <c r="AO63" i="31"/>
  <c r="AF63" i="31"/>
  <c r="AW63" i="31" s="1"/>
  <c r="Z63" i="31"/>
  <c r="AT63" i="31" s="1"/>
  <c r="V63" i="31"/>
  <c r="R63" i="31"/>
  <c r="AY62" i="31"/>
  <c r="AX62" i="31"/>
  <c r="AQ62" i="31"/>
  <c r="AP62" i="31"/>
  <c r="AZ62" i="31" s="1"/>
  <c r="AO62" i="31"/>
  <c r="AF62" i="31"/>
  <c r="AW62" i="31" s="1"/>
  <c r="AA62" i="31"/>
  <c r="Z62" i="31"/>
  <c r="AT62" i="31" s="1"/>
  <c r="V62" i="31"/>
  <c r="AC62" i="31" s="1"/>
  <c r="AV62" i="31" s="1"/>
  <c r="R62" i="31"/>
  <c r="AZ61" i="31"/>
  <c r="AY61" i="31"/>
  <c r="AT61" i="31"/>
  <c r="AP61" i="31"/>
  <c r="AQ61" i="31" s="1"/>
  <c r="AX61" i="31" s="1"/>
  <c r="AO61" i="31"/>
  <c r="AF61" i="31"/>
  <c r="AW61" i="31" s="1"/>
  <c r="AC61" i="31"/>
  <c r="AV61" i="31" s="1"/>
  <c r="AA61" i="31"/>
  <c r="Z61" i="31"/>
  <c r="V61" i="31"/>
  <c r="R61" i="31"/>
  <c r="AZ60" i="31"/>
  <c r="AY60" i="31"/>
  <c r="AT60" i="31"/>
  <c r="AP60" i="31"/>
  <c r="AQ60" i="31" s="1"/>
  <c r="AX60" i="31" s="1"/>
  <c r="AO60" i="31"/>
  <c r="AF60" i="31"/>
  <c r="AW60" i="31" s="1"/>
  <c r="Z60" i="31"/>
  <c r="V60" i="31"/>
  <c r="R60" i="31"/>
  <c r="AY59" i="31"/>
  <c r="AX59" i="31"/>
  <c r="AQ59" i="31"/>
  <c r="AP59" i="31"/>
  <c r="AZ59" i="31" s="1"/>
  <c r="AO59" i="31"/>
  <c r="AF59" i="31"/>
  <c r="AW59" i="31" s="1"/>
  <c r="Z59" i="31"/>
  <c r="AT59" i="31" s="1"/>
  <c r="V59" i="31"/>
  <c r="R59" i="31"/>
  <c r="AY58" i="31"/>
  <c r="AX58" i="31"/>
  <c r="AQ58" i="31"/>
  <c r="AP58" i="31"/>
  <c r="AO58" i="31"/>
  <c r="AF58" i="31"/>
  <c r="AW58" i="31" s="1"/>
  <c r="Z58" i="31"/>
  <c r="V58" i="31"/>
  <c r="AC58" i="31" s="1"/>
  <c r="AV58" i="31" s="1"/>
  <c r="R58" i="31"/>
  <c r="R64" i="31" s="1"/>
  <c r="AN57" i="31"/>
  <c r="AM57" i="31"/>
  <c r="AL57" i="31"/>
  <c r="AK57" i="31"/>
  <c r="AJ57" i="31"/>
  <c r="AI57" i="31"/>
  <c r="AH57" i="31"/>
  <c r="AE57" i="31"/>
  <c r="AD57" i="31"/>
  <c r="Y57" i="31"/>
  <c r="X57" i="31"/>
  <c r="W57" i="31"/>
  <c r="U57" i="31"/>
  <c r="T57" i="31"/>
  <c r="S57" i="31"/>
  <c r="AW56" i="31"/>
  <c r="AP56" i="31"/>
  <c r="AZ56" i="31" s="1"/>
  <c r="AO56" i="31"/>
  <c r="AY56" i="31" s="1"/>
  <c r="AF56" i="31"/>
  <c r="Z56" i="31"/>
  <c r="AT56" i="31" s="1"/>
  <c r="R56" i="31"/>
  <c r="V56" i="31" s="1"/>
  <c r="AP55" i="31"/>
  <c r="AO55" i="31"/>
  <c r="AF55" i="31"/>
  <c r="AW55" i="31" s="1"/>
  <c r="AB55" i="31"/>
  <c r="AU55" i="31" s="1"/>
  <c r="Z55" i="31"/>
  <c r="AT55" i="31" s="1"/>
  <c r="V55" i="31"/>
  <c r="AC55" i="31" s="1"/>
  <c r="AV55" i="31" s="1"/>
  <c r="R55" i="31"/>
  <c r="AP54" i="31"/>
  <c r="AZ54" i="31" s="1"/>
  <c r="AO54" i="31"/>
  <c r="AF54" i="31"/>
  <c r="AW54" i="31" s="1"/>
  <c r="Z54" i="31"/>
  <c r="AT54" i="31" s="1"/>
  <c r="V54" i="31"/>
  <c r="R54" i="31"/>
  <c r="AQ53" i="31"/>
  <c r="AP53" i="31"/>
  <c r="AZ53" i="31" s="1"/>
  <c r="AO53" i="31"/>
  <c r="AF53" i="31"/>
  <c r="AF57" i="31" s="1"/>
  <c r="Z53" i="31"/>
  <c r="AT53" i="31" s="1"/>
  <c r="AT57" i="31" s="1"/>
  <c r="R53" i="31"/>
  <c r="R57" i="31" s="1"/>
  <c r="AN52" i="31"/>
  <c r="AM52" i="31"/>
  <c r="AL52" i="31"/>
  <c r="AK52" i="31"/>
  <c r="AJ52" i="31"/>
  <c r="AI52" i="31"/>
  <c r="AH52" i="31"/>
  <c r="AE52" i="31"/>
  <c r="AD52" i="31"/>
  <c r="Z52" i="31"/>
  <c r="Y52" i="31"/>
  <c r="X52" i="31"/>
  <c r="W52" i="31"/>
  <c r="U52" i="31"/>
  <c r="T52" i="31"/>
  <c r="S52" i="31"/>
  <c r="AZ51" i="31"/>
  <c r="AW51" i="31"/>
  <c r="AT51" i="31"/>
  <c r="AP51" i="31"/>
  <c r="AO51" i="31"/>
  <c r="AG51" i="31"/>
  <c r="AR51" i="31" s="1"/>
  <c r="AF51" i="31"/>
  <c r="AB51" i="31"/>
  <c r="AU51" i="31" s="1"/>
  <c r="AA51" i="31"/>
  <c r="Z51" i="31"/>
  <c r="R51" i="31"/>
  <c r="V51" i="31" s="1"/>
  <c r="AC51" i="31" s="1"/>
  <c r="AV51" i="31" s="1"/>
  <c r="AW50" i="31"/>
  <c r="AT50" i="31"/>
  <c r="AP50" i="31"/>
  <c r="AZ50" i="31" s="1"/>
  <c r="AO50" i="31"/>
  <c r="AF50" i="31"/>
  <c r="Z50" i="31"/>
  <c r="R50" i="31"/>
  <c r="V50" i="31" s="1"/>
  <c r="AW49" i="31"/>
  <c r="AW52" i="31" s="1"/>
  <c r="AT49" i="31"/>
  <c r="AP49" i="31"/>
  <c r="AO49" i="31"/>
  <c r="AF49" i="31"/>
  <c r="AF52" i="31" s="1"/>
  <c r="Z49" i="31"/>
  <c r="R49" i="31"/>
  <c r="R52" i="31" s="1"/>
  <c r="AP48" i="31"/>
  <c r="AN48" i="31"/>
  <c r="AM48" i="31"/>
  <c r="AL48" i="31"/>
  <c r="AK48" i="31"/>
  <c r="AJ48" i="31"/>
  <c r="AI48" i="31"/>
  <c r="AH48" i="31"/>
  <c r="AE48" i="31"/>
  <c r="AD48" i="31"/>
  <c r="Y48" i="31"/>
  <c r="X48" i="31"/>
  <c r="W48" i="31"/>
  <c r="U48" i="31"/>
  <c r="T48" i="31"/>
  <c r="S48" i="31"/>
  <c r="AZ47" i="31"/>
  <c r="AQ47" i="31"/>
  <c r="AX47" i="31" s="1"/>
  <c r="AP47" i="31"/>
  <c r="AO47" i="31"/>
  <c r="AY47" i="31" s="1"/>
  <c r="AF47" i="31"/>
  <c r="AW47" i="31" s="1"/>
  <c r="AB47" i="31"/>
  <c r="AU47" i="31" s="1"/>
  <c r="Z47" i="31"/>
  <c r="AT47" i="31" s="1"/>
  <c r="R47" i="31"/>
  <c r="V47" i="31" s="1"/>
  <c r="AZ46" i="31"/>
  <c r="AQ46" i="31"/>
  <c r="AX46" i="31" s="1"/>
  <c r="AP46" i="31"/>
  <c r="AO46" i="31"/>
  <c r="AY46" i="31" s="1"/>
  <c r="AF46" i="31"/>
  <c r="AW46" i="31" s="1"/>
  <c r="Z46" i="31"/>
  <c r="AT46" i="31" s="1"/>
  <c r="R46" i="31"/>
  <c r="V46" i="31" s="1"/>
  <c r="AZ45" i="31"/>
  <c r="AQ45" i="31"/>
  <c r="AX45" i="31" s="1"/>
  <c r="AP45" i="31"/>
  <c r="AO45" i="31"/>
  <c r="AY45" i="31" s="1"/>
  <c r="AF45" i="31"/>
  <c r="AW45" i="31" s="1"/>
  <c r="Z45" i="31"/>
  <c r="AT45" i="31" s="1"/>
  <c r="R45" i="31"/>
  <c r="V45" i="31" s="1"/>
  <c r="AZ44" i="31"/>
  <c r="AU44" i="31"/>
  <c r="AQ44" i="31"/>
  <c r="AP44" i="31"/>
  <c r="AO44" i="31"/>
  <c r="AO81" i="31" s="1"/>
  <c r="AF44" i="31"/>
  <c r="AB44" i="31"/>
  <c r="Z44" i="31"/>
  <c r="R44" i="31"/>
  <c r="V44" i="31" s="1"/>
  <c r="AO43" i="31"/>
  <c r="AN43" i="31"/>
  <c r="AM43" i="31"/>
  <c r="AL43" i="31"/>
  <c r="AK43" i="31"/>
  <c r="AJ43" i="31"/>
  <c r="AI43" i="31"/>
  <c r="AH43" i="31"/>
  <c r="AE43" i="31"/>
  <c r="AD43" i="31"/>
  <c r="Y43" i="31"/>
  <c r="X43" i="31"/>
  <c r="W43" i="31"/>
  <c r="U43" i="31"/>
  <c r="T43" i="31"/>
  <c r="S43" i="31"/>
  <c r="AY42" i="31"/>
  <c r="AX42" i="31"/>
  <c r="AQ42" i="31"/>
  <c r="AP42" i="31"/>
  <c r="AZ42" i="31" s="1"/>
  <c r="AO42" i="31"/>
  <c r="AF42" i="31"/>
  <c r="AW42" i="31" s="1"/>
  <c r="AW43" i="31" s="1"/>
  <c r="Z42" i="31"/>
  <c r="AT42" i="31" s="1"/>
  <c r="V42" i="31"/>
  <c r="R42" i="31"/>
  <c r="AY41" i="31"/>
  <c r="AP41" i="31"/>
  <c r="AO41" i="31"/>
  <c r="AF41" i="31"/>
  <c r="AW41" i="31" s="1"/>
  <c r="AC41" i="31"/>
  <c r="AV41" i="31" s="1"/>
  <c r="AA41" i="31"/>
  <c r="Z41" i="31"/>
  <c r="V41" i="31"/>
  <c r="R41" i="31"/>
  <c r="R43" i="31" s="1"/>
  <c r="AT40" i="31"/>
  <c r="AN40" i="31"/>
  <c r="AM40" i="31"/>
  <c r="AL40" i="31"/>
  <c r="AK40" i="31"/>
  <c r="AJ40" i="31"/>
  <c r="AI40" i="31"/>
  <c r="AH40" i="31"/>
  <c r="AF40" i="31"/>
  <c r="AE40" i="31"/>
  <c r="AD40" i="31"/>
  <c r="Z40" i="31"/>
  <c r="Y40" i="31"/>
  <c r="X40" i="31"/>
  <c r="W40" i="31"/>
  <c r="U40" i="31"/>
  <c r="T40" i="31"/>
  <c r="S40" i="31"/>
  <c r="AW39" i="31"/>
  <c r="AT39" i="31"/>
  <c r="AT86" i="31" s="1"/>
  <c r="AP39" i="31"/>
  <c r="AO39" i="31"/>
  <c r="AF39" i="31"/>
  <c r="AF86" i="31" s="1"/>
  <c r="Z39" i="31"/>
  <c r="Z86" i="31" s="1"/>
  <c r="R39" i="31"/>
  <c r="R86" i="31" s="1"/>
  <c r="AZ38" i="31"/>
  <c r="AT38" i="31"/>
  <c r="AP38" i="31"/>
  <c r="AN38" i="31"/>
  <c r="AM38" i="31"/>
  <c r="AL38" i="31"/>
  <c r="AK38" i="31"/>
  <c r="AJ38" i="31"/>
  <c r="AI38" i="31"/>
  <c r="AH38" i="31"/>
  <c r="AE38" i="31"/>
  <c r="AD38" i="31"/>
  <c r="AC38" i="31"/>
  <c r="Z38" i="31"/>
  <c r="Y38" i="31"/>
  <c r="X38" i="31"/>
  <c r="W38" i="31"/>
  <c r="U38" i="31"/>
  <c r="T38" i="31"/>
  <c r="S38" i="31"/>
  <c r="AZ37" i="31"/>
  <c r="AS37" i="31"/>
  <c r="AP37" i="31"/>
  <c r="AO37" i="31"/>
  <c r="AQ37" i="31" s="1"/>
  <c r="AX37" i="31" s="1"/>
  <c r="AF37" i="31"/>
  <c r="AW37" i="31" s="1"/>
  <c r="AB37" i="31"/>
  <c r="AU37" i="31" s="1"/>
  <c r="AA37" i="31"/>
  <c r="AG37" i="31" s="1"/>
  <c r="AR37" i="31" s="1"/>
  <c r="Z37" i="31"/>
  <c r="AT37" i="31" s="1"/>
  <c r="R37" i="31"/>
  <c r="V37" i="31" s="1"/>
  <c r="AC37" i="31" s="1"/>
  <c r="AV37" i="31" s="1"/>
  <c r="AZ36" i="31"/>
  <c r="AS36" i="31"/>
  <c r="AP36" i="31"/>
  <c r="AO36" i="31"/>
  <c r="AQ36" i="31" s="1"/>
  <c r="AX36" i="31" s="1"/>
  <c r="AF36" i="31"/>
  <c r="AW36" i="31" s="1"/>
  <c r="AB36" i="31"/>
  <c r="AU36" i="31" s="1"/>
  <c r="AA36" i="31"/>
  <c r="AG36" i="31" s="1"/>
  <c r="AR36" i="31" s="1"/>
  <c r="Z36" i="31"/>
  <c r="AT36" i="31" s="1"/>
  <c r="R36" i="31"/>
  <c r="V36" i="31" s="1"/>
  <c r="AC36" i="31" s="1"/>
  <c r="AV36" i="31" s="1"/>
  <c r="AZ35" i="31"/>
  <c r="AS35" i="31"/>
  <c r="AP35" i="31"/>
  <c r="AO35" i="31"/>
  <c r="AQ35" i="31" s="1"/>
  <c r="AX35" i="31" s="1"/>
  <c r="AF35" i="31"/>
  <c r="AW35" i="31" s="1"/>
  <c r="AB35" i="31"/>
  <c r="AU35" i="31" s="1"/>
  <c r="AA35" i="31"/>
  <c r="AG35" i="31" s="1"/>
  <c r="AR35" i="31" s="1"/>
  <c r="Z35" i="31"/>
  <c r="AT35" i="31" s="1"/>
  <c r="R35" i="31"/>
  <c r="V35" i="31" s="1"/>
  <c r="AC35" i="31" s="1"/>
  <c r="AV35" i="31" s="1"/>
  <c r="AZ34" i="31"/>
  <c r="AS34" i="31"/>
  <c r="AP34" i="31"/>
  <c r="AO34" i="31"/>
  <c r="AQ34" i="31" s="1"/>
  <c r="AX34" i="31" s="1"/>
  <c r="AF34" i="31"/>
  <c r="AW34" i="31" s="1"/>
  <c r="AB34" i="31"/>
  <c r="AU34" i="31" s="1"/>
  <c r="AA34" i="31"/>
  <c r="AG34" i="31" s="1"/>
  <c r="AR34" i="31" s="1"/>
  <c r="Z34" i="31"/>
  <c r="AT34" i="31" s="1"/>
  <c r="R34" i="31"/>
  <c r="V34" i="31" s="1"/>
  <c r="AC34" i="31" s="1"/>
  <c r="AV34" i="31" s="1"/>
  <c r="AZ33" i="31"/>
  <c r="AS33" i="31"/>
  <c r="AP33" i="31"/>
  <c r="AO33" i="31"/>
  <c r="AQ33" i="31" s="1"/>
  <c r="AF33" i="31"/>
  <c r="AF38" i="31" s="1"/>
  <c r="AB33" i="31"/>
  <c r="AB38" i="31" s="1"/>
  <c r="AA33" i="31"/>
  <c r="Z33" i="31"/>
  <c r="AT33" i="31" s="1"/>
  <c r="R33" i="31"/>
  <c r="V33" i="31" s="1"/>
  <c r="AC33" i="31" s="1"/>
  <c r="AV33" i="31" s="1"/>
  <c r="AV38" i="31" s="1"/>
  <c r="AO32" i="31"/>
  <c r="AN32" i="31"/>
  <c r="AM32" i="31"/>
  <c r="AL32" i="31"/>
  <c r="AK32" i="31"/>
  <c r="AJ32" i="31"/>
  <c r="AI32" i="31"/>
  <c r="AH32" i="31"/>
  <c r="AF32" i="31"/>
  <c r="AE32" i="31"/>
  <c r="AD32" i="31"/>
  <c r="Y32" i="31"/>
  <c r="X32" i="31"/>
  <c r="W32" i="31"/>
  <c r="U32" i="31"/>
  <c r="T32" i="31"/>
  <c r="S32" i="31"/>
  <c r="AZ31" i="31"/>
  <c r="AY31" i="31"/>
  <c r="AP31" i="31"/>
  <c r="AQ31" i="31" s="1"/>
  <c r="AX31" i="31" s="1"/>
  <c r="AO31" i="31"/>
  <c r="AF31" i="31"/>
  <c r="AW31" i="31" s="1"/>
  <c r="AC31" i="31"/>
  <c r="AV31" i="31" s="1"/>
  <c r="Z31" i="31"/>
  <c r="AT31" i="31" s="1"/>
  <c r="V31" i="31"/>
  <c r="R31" i="31"/>
  <c r="AY30" i="31"/>
  <c r="AQ30" i="31"/>
  <c r="AP30" i="31"/>
  <c r="AO30" i="31"/>
  <c r="AF30" i="31"/>
  <c r="Z30" i="31"/>
  <c r="V30" i="31"/>
  <c r="R30" i="31"/>
  <c r="AY29" i="31"/>
  <c r="AP29" i="31"/>
  <c r="AQ29" i="31" s="1"/>
  <c r="AX29" i="31" s="1"/>
  <c r="AO29" i="31"/>
  <c r="AF29" i="31"/>
  <c r="AW29" i="31" s="1"/>
  <c r="AC29" i="31"/>
  <c r="AV29" i="31" s="1"/>
  <c r="Z29" i="31"/>
  <c r="V29" i="31"/>
  <c r="R29" i="31"/>
  <c r="AY28" i="31"/>
  <c r="AY32" i="31" s="1"/>
  <c r="AT28" i="31"/>
  <c r="AP28" i="31"/>
  <c r="AQ28" i="31" s="1"/>
  <c r="AX28" i="31" s="1"/>
  <c r="AO28" i="31"/>
  <c r="AF28" i="31"/>
  <c r="AW28" i="31" s="1"/>
  <c r="AC28" i="31"/>
  <c r="AV28" i="31" s="1"/>
  <c r="AA28" i="31"/>
  <c r="Z28" i="31"/>
  <c r="V28" i="31"/>
  <c r="R28" i="31"/>
  <c r="AZ27" i="31"/>
  <c r="AY27" i="31"/>
  <c r="AP27" i="31"/>
  <c r="AQ27" i="31" s="1"/>
  <c r="AX27" i="31" s="1"/>
  <c r="AO27" i="31"/>
  <c r="AF27" i="31"/>
  <c r="AW27" i="31" s="1"/>
  <c r="AC27" i="31"/>
  <c r="AV27" i="31" s="1"/>
  <c r="Z27" i="31"/>
  <c r="AT27" i="31" s="1"/>
  <c r="V27" i="31"/>
  <c r="R27" i="31"/>
  <c r="AY26" i="31"/>
  <c r="AQ26" i="31"/>
  <c r="AP26" i="31"/>
  <c r="AO26" i="31"/>
  <c r="AF26" i="31"/>
  <c r="Z26" i="31"/>
  <c r="V26" i="31"/>
  <c r="R26" i="31"/>
  <c r="R32" i="31" s="1"/>
  <c r="AN25" i="31"/>
  <c r="AM25" i="31"/>
  <c r="AL25" i="31"/>
  <c r="AK25" i="31"/>
  <c r="AJ25" i="31"/>
  <c r="AI25" i="31"/>
  <c r="AH25" i="31"/>
  <c r="AF25" i="31"/>
  <c r="AE25" i="31"/>
  <c r="AD25" i="31"/>
  <c r="Y25" i="31"/>
  <c r="X25" i="31"/>
  <c r="W25" i="31"/>
  <c r="U25" i="31"/>
  <c r="T25" i="31"/>
  <c r="S25" i="31"/>
  <c r="R25" i="31"/>
  <c r="AW24" i="31"/>
  <c r="AT24" i="31"/>
  <c r="AP24" i="31"/>
  <c r="AO24" i="31"/>
  <c r="AF24" i="31"/>
  <c r="AF87" i="31" s="1"/>
  <c r="Z24" i="31"/>
  <c r="R24" i="31"/>
  <c r="R87" i="31" s="1"/>
  <c r="AT23" i="31"/>
  <c r="AN23" i="31"/>
  <c r="AM23" i="31"/>
  <c r="AL23" i="31"/>
  <c r="AK23" i="31"/>
  <c r="AJ23" i="31"/>
  <c r="AI23" i="31"/>
  <c r="AH23" i="31"/>
  <c r="AE23" i="31"/>
  <c r="AD23" i="31"/>
  <c r="Z23" i="31"/>
  <c r="Y23" i="31"/>
  <c r="X23" i="31"/>
  <c r="W23" i="31"/>
  <c r="U23" i="31"/>
  <c r="T23" i="31"/>
  <c r="S23" i="31"/>
  <c r="AW22" i="31"/>
  <c r="AT22" i="31"/>
  <c r="AP22" i="31"/>
  <c r="AZ22" i="31" s="1"/>
  <c r="AO22" i="31"/>
  <c r="AF22" i="31"/>
  <c r="Z22" i="31"/>
  <c r="V22" i="31"/>
  <c r="AC22" i="31" s="1"/>
  <c r="AV22" i="31" s="1"/>
  <c r="R22" i="31"/>
  <c r="AZ21" i="31"/>
  <c r="AW21" i="31"/>
  <c r="AT21" i="31"/>
  <c r="AP21" i="31"/>
  <c r="AO21" i="31"/>
  <c r="AF21" i="31"/>
  <c r="AA21" i="31"/>
  <c r="Z21" i="31"/>
  <c r="R21" i="31"/>
  <c r="V21" i="31" s="1"/>
  <c r="AZ20" i="31"/>
  <c r="AZ23" i="31" s="1"/>
  <c r="AW20" i="31"/>
  <c r="AT20" i="31"/>
  <c r="AP20" i="31"/>
  <c r="AO20" i="31"/>
  <c r="AO23" i="31" s="1"/>
  <c r="AF20" i="31"/>
  <c r="AF23" i="31" s="1"/>
  <c r="Z20" i="31"/>
  <c r="R20" i="31"/>
  <c r="V20" i="31" s="1"/>
  <c r="AC20" i="31" s="1"/>
  <c r="AT19" i="31"/>
  <c r="AP19" i="31"/>
  <c r="AN19" i="31"/>
  <c r="AM19" i="31"/>
  <c r="AL19" i="31"/>
  <c r="AK19" i="31"/>
  <c r="AJ19" i="31"/>
  <c r="AI19" i="31"/>
  <c r="AH19" i="31"/>
  <c r="AE19" i="31"/>
  <c r="AD19" i="31"/>
  <c r="AC19" i="31"/>
  <c r="Z19" i="31"/>
  <c r="Y19" i="31"/>
  <c r="X19" i="31"/>
  <c r="W19" i="31"/>
  <c r="U19" i="31"/>
  <c r="T19" i="31"/>
  <c r="S19" i="31"/>
  <c r="AZ18" i="31"/>
  <c r="AU18" i="31"/>
  <c r="AS18" i="31"/>
  <c r="AP18" i="31"/>
  <c r="AO18" i="31"/>
  <c r="AQ18" i="31" s="1"/>
  <c r="AX18" i="31" s="1"/>
  <c r="AF18" i="31"/>
  <c r="AW18" i="31" s="1"/>
  <c r="AB18" i="31"/>
  <c r="AA18" i="31"/>
  <c r="AG18" i="31" s="1"/>
  <c r="AR18" i="31" s="1"/>
  <c r="Z18" i="31"/>
  <c r="AT18" i="31" s="1"/>
  <c r="R18" i="31"/>
  <c r="V18" i="31" s="1"/>
  <c r="AC18" i="31" s="1"/>
  <c r="AV18" i="31" s="1"/>
  <c r="AZ17" i="31"/>
  <c r="AS17" i="31"/>
  <c r="AP17" i="31"/>
  <c r="AO17" i="31"/>
  <c r="AQ17" i="31" s="1"/>
  <c r="AX17" i="31" s="1"/>
  <c r="AF17" i="31"/>
  <c r="AW17" i="31" s="1"/>
  <c r="AB17" i="31"/>
  <c r="AU17" i="31" s="1"/>
  <c r="AA17" i="31"/>
  <c r="Z17" i="31"/>
  <c r="AT17" i="31" s="1"/>
  <c r="R17" i="31"/>
  <c r="V17" i="31" s="1"/>
  <c r="AC17" i="31" s="1"/>
  <c r="AV17" i="31" s="1"/>
  <c r="AZ16" i="31"/>
  <c r="AZ19" i="31" s="1"/>
  <c r="AU16" i="31"/>
  <c r="AS16" i="31"/>
  <c r="AS19" i="31" s="1"/>
  <c r="AP16" i="31"/>
  <c r="AO16" i="31"/>
  <c r="AQ16" i="31" s="1"/>
  <c r="AF16" i="31"/>
  <c r="AF19" i="31" s="1"/>
  <c r="AB16" i="31"/>
  <c r="AB19" i="31" s="1"/>
  <c r="AA16" i="31"/>
  <c r="Z16" i="31"/>
  <c r="AT16" i="31" s="1"/>
  <c r="R16" i="31"/>
  <c r="V16" i="31" s="1"/>
  <c r="AC16" i="31" s="1"/>
  <c r="AV16" i="31" s="1"/>
  <c r="AV19" i="31" s="1"/>
  <c r="AO15" i="31"/>
  <c r="AN15" i="31"/>
  <c r="AN74" i="31" s="1"/>
  <c r="AM15" i="31"/>
  <c r="AL15" i="31"/>
  <c r="AK15" i="31"/>
  <c r="AK74" i="31" s="1"/>
  <c r="AJ15" i="31"/>
  <c r="AJ74" i="31" s="1"/>
  <c r="AI15" i="31"/>
  <c r="AH15" i="31"/>
  <c r="AE15" i="31"/>
  <c r="AD15" i="31"/>
  <c r="Y15" i="31"/>
  <c r="X15" i="31"/>
  <c r="X74" i="31" s="1"/>
  <c r="W15" i="31"/>
  <c r="W74" i="31" s="1"/>
  <c r="U15" i="31"/>
  <c r="T15" i="31"/>
  <c r="S15" i="31"/>
  <c r="S74" i="31" s="1"/>
  <c r="AZ14" i="31"/>
  <c r="AY14" i="31"/>
  <c r="AQ14" i="31"/>
  <c r="AP14" i="31"/>
  <c r="AO14" i="31"/>
  <c r="AF14" i="31"/>
  <c r="AC14" i="31"/>
  <c r="AV14" i="31" s="1"/>
  <c r="Z14" i="31"/>
  <c r="V14" i="31"/>
  <c r="R14" i="31"/>
  <c r="R84" i="31" s="1"/>
  <c r="AY13" i="31"/>
  <c r="AQ13" i="31"/>
  <c r="AX13" i="31" s="1"/>
  <c r="AP13" i="31"/>
  <c r="AZ13" i="31" s="1"/>
  <c r="AO13" i="31"/>
  <c r="AF13" i="31"/>
  <c r="AW13" i="31" s="1"/>
  <c r="Z13" i="31"/>
  <c r="AT13" i="31" s="1"/>
  <c r="R13" i="31"/>
  <c r="V13" i="31" s="1"/>
  <c r="AA13" i="31" s="1"/>
  <c r="AZ12" i="31"/>
  <c r="AY12" i="31"/>
  <c r="AQ12" i="31"/>
  <c r="AP12" i="31"/>
  <c r="AO12" i="31"/>
  <c r="AO78" i="31" s="1"/>
  <c r="AF12" i="31"/>
  <c r="Z12" i="31"/>
  <c r="R12" i="31"/>
  <c r="R15" i="31" s="1"/>
  <c r="AN113" i="30"/>
  <c r="AM113" i="30"/>
  <c r="AL113" i="30"/>
  <c r="AK113" i="30"/>
  <c r="AJ113" i="30"/>
  <c r="AI113" i="30"/>
  <c r="AH113" i="30"/>
  <c r="AE113" i="30"/>
  <c r="AD113" i="30"/>
  <c r="Y113" i="30"/>
  <c r="X113" i="30"/>
  <c r="W113" i="30"/>
  <c r="U113" i="30"/>
  <c r="T113" i="30"/>
  <c r="S113" i="30"/>
  <c r="Q113" i="30"/>
  <c r="P113" i="30"/>
  <c r="O113" i="30"/>
  <c r="N113" i="30"/>
  <c r="M113" i="30"/>
  <c r="L113" i="30"/>
  <c r="K113" i="30"/>
  <c r="J113" i="30"/>
  <c r="I113" i="30"/>
  <c r="AN112" i="30"/>
  <c r="AM112" i="30"/>
  <c r="AL112" i="30"/>
  <c r="AK112" i="30"/>
  <c r="AJ112" i="30"/>
  <c r="AI112" i="30"/>
  <c r="AH112" i="30"/>
  <c r="AE112" i="30"/>
  <c r="AD112" i="30"/>
  <c r="Y112" i="30"/>
  <c r="X112" i="30"/>
  <c r="W112" i="30"/>
  <c r="U112" i="30"/>
  <c r="T112" i="30"/>
  <c r="S112" i="30"/>
  <c r="Q112" i="30"/>
  <c r="P112" i="30"/>
  <c r="O112" i="30"/>
  <c r="N112" i="30"/>
  <c r="M112" i="30"/>
  <c r="L112" i="30"/>
  <c r="K112" i="30"/>
  <c r="J112" i="30"/>
  <c r="I112" i="30"/>
  <c r="AN111" i="30"/>
  <c r="AM111" i="30"/>
  <c r="AL111" i="30"/>
  <c r="AK111" i="30"/>
  <c r="AJ111" i="30"/>
  <c r="AI111" i="30"/>
  <c r="AH111" i="30"/>
  <c r="AE111" i="30"/>
  <c r="AD111" i="30"/>
  <c r="Y111" i="30"/>
  <c r="X111" i="30"/>
  <c r="W111" i="30"/>
  <c r="U111" i="30"/>
  <c r="T111" i="30"/>
  <c r="S111" i="30"/>
  <c r="Q111" i="30"/>
  <c r="P111" i="30"/>
  <c r="O111" i="30"/>
  <c r="N111" i="30"/>
  <c r="M111" i="30"/>
  <c r="L111" i="30"/>
  <c r="K111" i="30"/>
  <c r="J111" i="30"/>
  <c r="I111" i="30"/>
  <c r="AN110" i="30"/>
  <c r="AM110" i="30"/>
  <c r="AL110" i="30"/>
  <c r="AK110" i="30"/>
  <c r="AJ110" i="30"/>
  <c r="AI110" i="30"/>
  <c r="AH110" i="30"/>
  <c r="AE110" i="30"/>
  <c r="AD110" i="30"/>
  <c r="Y110" i="30"/>
  <c r="X110" i="30"/>
  <c r="W110" i="30"/>
  <c r="U110" i="30"/>
  <c r="T110" i="30"/>
  <c r="S110" i="30"/>
  <c r="Q110" i="30"/>
  <c r="P110" i="30"/>
  <c r="O110" i="30"/>
  <c r="N110" i="30"/>
  <c r="M110" i="30"/>
  <c r="L110" i="30"/>
  <c r="K110" i="30"/>
  <c r="J110" i="30"/>
  <c r="I110" i="30"/>
  <c r="AZ109" i="30"/>
  <c r="AY109" i="30"/>
  <c r="AX109" i="30"/>
  <c r="AW109" i="30"/>
  <c r="AV109" i="30"/>
  <c r="AU109" i="30"/>
  <c r="AT109" i="30"/>
  <c r="AS109" i="30"/>
  <c r="AR109" i="30"/>
  <c r="AQ109" i="30"/>
  <c r="AP109" i="30"/>
  <c r="AO109" i="30"/>
  <c r="AN109" i="30"/>
  <c r="AM109" i="30"/>
  <c r="AL109" i="30"/>
  <c r="AK109" i="30"/>
  <c r="AJ109" i="30"/>
  <c r="AI109" i="30"/>
  <c r="AH109" i="30"/>
  <c r="AG109" i="30"/>
  <c r="AF109" i="30"/>
  <c r="AE109" i="30"/>
  <c r="AD109" i="30"/>
  <c r="AC109" i="30"/>
  <c r="AB109" i="30"/>
  <c r="AA109" i="30"/>
  <c r="Z109" i="30"/>
  <c r="Y109" i="30"/>
  <c r="X109" i="30"/>
  <c r="W109" i="30"/>
  <c r="V109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AZ108" i="30"/>
  <c r="AY108" i="30"/>
  <c r="AX108" i="30"/>
  <c r="AW108" i="30"/>
  <c r="AV108" i="30"/>
  <c r="AU108" i="30"/>
  <c r="AT108" i="30"/>
  <c r="AS108" i="30"/>
  <c r="AR108" i="30"/>
  <c r="AQ108" i="30"/>
  <c r="AP108" i="30"/>
  <c r="AO108" i="30"/>
  <c r="AN108" i="30"/>
  <c r="AM108" i="30"/>
  <c r="AL108" i="30"/>
  <c r="AK108" i="30"/>
  <c r="AK103" i="30" s="1"/>
  <c r="AJ108" i="30"/>
  <c r="AI108" i="30"/>
  <c r="AH108" i="30"/>
  <c r="AG108" i="30"/>
  <c r="AF108" i="30"/>
  <c r="AE108" i="30"/>
  <c r="AD108" i="30"/>
  <c r="AC108" i="30"/>
  <c r="AB108" i="30"/>
  <c r="AA108" i="30"/>
  <c r="Z108" i="30"/>
  <c r="Y108" i="30"/>
  <c r="X108" i="30"/>
  <c r="W108" i="30"/>
  <c r="V108" i="30"/>
  <c r="U108" i="30"/>
  <c r="T108" i="30"/>
  <c r="S108" i="30"/>
  <c r="R108" i="30"/>
  <c r="Q108" i="30"/>
  <c r="P108" i="30"/>
  <c r="O108" i="30"/>
  <c r="N108" i="30"/>
  <c r="M108" i="30"/>
  <c r="L108" i="30"/>
  <c r="K108" i="30"/>
  <c r="J108" i="30"/>
  <c r="I108" i="30"/>
  <c r="AN107" i="30"/>
  <c r="AM107" i="30"/>
  <c r="AL107" i="30"/>
  <c r="AK107" i="30"/>
  <c r="AJ107" i="30"/>
  <c r="AI107" i="30"/>
  <c r="AH107" i="30"/>
  <c r="AE107" i="30"/>
  <c r="AD107" i="30"/>
  <c r="Y107" i="30"/>
  <c r="X107" i="30"/>
  <c r="W107" i="30"/>
  <c r="U107" i="30"/>
  <c r="T107" i="30"/>
  <c r="S107" i="30"/>
  <c r="Q107" i="30"/>
  <c r="P107" i="30"/>
  <c r="O107" i="30"/>
  <c r="N107" i="30"/>
  <c r="M107" i="30"/>
  <c r="L107" i="30"/>
  <c r="K107" i="30"/>
  <c r="J107" i="30"/>
  <c r="I107" i="30"/>
  <c r="AZ106" i="30"/>
  <c r="AY106" i="30"/>
  <c r="AX106" i="30"/>
  <c r="AW106" i="30"/>
  <c r="AV106" i="30"/>
  <c r="AU106" i="30"/>
  <c r="AT106" i="30"/>
  <c r="AS106" i="30"/>
  <c r="AR106" i="30"/>
  <c r="AQ106" i="30"/>
  <c r="AP106" i="30"/>
  <c r="AO106" i="30"/>
  <c r="AN106" i="30"/>
  <c r="AM106" i="30"/>
  <c r="AL106" i="30"/>
  <c r="AK106" i="30"/>
  <c r="AJ106" i="30"/>
  <c r="AI106" i="30"/>
  <c r="AH106" i="30"/>
  <c r="AG106" i="30"/>
  <c r="AF106" i="30"/>
  <c r="AE106" i="30"/>
  <c r="AD106" i="30"/>
  <c r="AC106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AN105" i="30"/>
  <c r="AM105" i="30"/>
  <c r="AL105" i="30"/>
  <c r="AK105" i="30"/>
  <c r="AJ105" i="30"/>
  <c r="AI105" i="30"/>
  <c r="AH105" i="30"/>
  <c r="AE105" i="30"/>
  <c r="AD105" i="30"/>
  <c r="Y105" i="30"/>
  <c r="X105" i="30"/>
  <c r="W105" i="30"/>
  <c r="U105" i="30"/>
  <c r="T105" i="30"/>
  <c r="S105" i="30"/>
  <c r="Q105" i="30"/>
  <c r="P105" i="30"/>
  <c r="O105" i="30"/>
  <c r="N105" i="30"/>
  <c r="M105" i="30"/>
  <c r="L105" i="30"/>
  <c r="K105" i="30"/>
  <c r="J105" i="30"/>
  <c r="I105" i="30"/>
  <c r="AN104" i="30"/>
  <c r="AM104" i="30"/>
  <c r="AL104" i="30"/>
  <c r="AK104" i="30"/>
  <c r="AJ104" i="30"/>
  <c r="AI104" i="30"/>
  <c r="AH104" i="30"/>
  <c r="AE104" i="30"/>
  <c r="AD104" i="30"/>
  <c r="Y104" i="30"/>
  <c r="X104" i="30"/>
  <c r="W104" i="30"/>
  <c r="W103" i="30" s="1"/>
  <c r="U104" i="30"/>
  <c r="T104" i="30"/>
  <c r="S104" i="30"/>
  <c r="Q104" i="30"/>
  <c r="P104" i="30"/>
  <c r="O104" i="30"/>
  <c r="N104" i="30"/>
  <c r="M104" i="30"/>
  <c r="L104" i="30"/>
  <c r="K104" i="30"/>
  <c r="J104" i="30"/>
  <c r="I104" i="30"/>
  <c r="AN103" i="30"/>
  <c r="AM103" i="30"/>
  <c r="AL103" i="30"/>
  <c r="AJ103" i="30"/>
  <c r="AI103" i="30"/>
  <c r="AH103" i="30"/>
  <c r="AE103" i="30"/>
  <c r="AF102" i="30" s="1"/>
  <c r="AD103" i="30"/>
  <c r="Y103" i="30"/>
  <c r="X103" i="30"/>
  <c r="T103" i="30"/>
  <c r="S103" i="30"/>
  <c r="P103" i="30"/>
  <c r="O103" i="30"/>
  <c r="N103" i="30"/>
  <c r="L103" i="30"/>
  <c r="K103" i="30"/>
  <c r="J103" i="30"/>
  <c r="AP102" i="30"/>
  <c r="AO102" i="30"/>
  <c r="O101" i="30"/>
  <c r="Q100" i="30"/>
  <c r="P100" i="30"/>
  <c r="O100" i="30"/>
  <c r="N100" i="30"/>
  <c r="M100" i="30"/>
  <c r="L100" i="30"/>
  <c r="K100" i="30"/>
  <c r="J100" i="30"/>
  <c r="I101" i="30" s="1"/>
  <c r="I100" i="30"/>
  <c r="AN99" i="30"/>
  <c r="AM99" i="30"/>
  <c r="AL99" i="30"/>
  <c r="AK99" i="30"/>
  <c r="AJ99" i="30"/>
  <c r="AI99" i="30"/>
  <c r="AH99" i="30"/>
  <c r="AE99" i="30"/>
  <c r="AD99" i="30"/>
  <c r="Y99" i="30"/>
  <c r="X99" i="30"/>
  <c r="W99" i="30"/>
  <c r="U99" i="30"/>
  <c r="T99" i="30"/>
  <c r="S99" i="30"/>
  <c r="AZ98" i="30"/>
  <c r="AW98" i="30"/>
  <c r="AT98" i="30"/>
  <c r="AS98" i="30"/>
  <c r="AP98" i="30"/>
  <c r="AO98" i="30"/>
  <c r="AF98" i="30"/>
  <c r="AB98" i="30"/>
  <c r="AU98" i="30" s="1"/>
  <c r="Z98" i="30"/>
  <c r="R98" i="30"/>
  <c r="V98" i="30" s="1"/>
  <c r="AZ97" i="30"/>
  <c r="AW97" i="30"/>
  <c r="AT97" i="30"/>
  <c r="AP97" i="30"/>
  <c r="AO97" i="30"/>
  <c r="AF97" i="30"/>
  <c r="AC97" i="30"/>
  <c r="AV97" i="30" s="1"/>
  <c r="Z97" i="30"/>
  <c r="R97" i="30"/>
  <c r="V97" i="30" s="1"/>
  <c r="AB97" i="30" s="1"/>
  <c r="AU97" i="30" s="1"/>
  <c r="AW96" i="30"/>
  <c r="AT96" i="30"/>
  <c r="AP96" i="30"/>
  <c r="AZ96" i="30" s="1"/>
  <c r="AO96" i="30"/>
  <c r="AF96" i="30"/>
  <c r="AC96" i="30"/>
  <c r="AV96" i="30" s="1"/>
  <c r="Z96" i="30"/>
  <c r="V96" i="30"/>
  <c r="R96" i="30"/>
  <c r="AW95" i="30"/>
  <c r="AT95" i="30"/>
  <c r="AS95" i="30"/>
  <c r="AP95" i="30"/>
  <c r="AZ95" i="30" s="1"/>
  <c r="AO95" i="30"/>
  <c r="AF95" i="30"/>
  <c r="AA95" i="30"/>
  <c r="Z95" i="30"/>
  <c r="V95" i="30"/>
  <c r="AC95" i="30" s="1"/>
  <c r="AV95" i="30" s="1"/>
  <c r="R95" i="30"/>
  <c r="AZ94" i="30"/>
  <c r="AW94" i="30"/>
  <c r="AT94" i="30"/>
  <c r="AP94" i="30"/>
  <c r="AO94" i="30"/>
  <c r="AF94" i="30"/>
  <c r="Z94" i="30"/>
  <c r="R94" i="30"/>
  <c r="V94" i="30" s="1"/>
  <c r="AS94" i="30" s="1"/>
  <c r="AT93" i="30"/>
  <c r="AT99" i="30" s="1"/>
  <c r="AQ93" i="30"/>
  <c r="AP93" i="30"/>
  <c r="AZ93" i="30" s="1"/>
  <c r="AZ99" i="30" s="1"/>
  <c r="AO93" i="30"/>
  <c r="AY93" i="30" s="1"/>
  <c r="AF93" i="30"/>
  <c r="AC93" i="30"/>
  <c r="AV93" i="30" s="1"/>
  <c r="Z93" i="30"/>
  <c r="Z99" i="30" s="1"/>
  <c r="V93" i="30"/>
  <c r="R93" i="30"/>
  <c r="R99" i="30" s="1"/>
  <c r="AN92" i="30"/>
  <c r="AM92" i="30"/>
  <c r="AL92" i="30"/>
  <c r="AK92" i="30"/>
  <c r="AJ92" i="30"/>
  <c r="AI92" i="30"/>
  <c r="AH92" i="30"/>
  <c r="AE92" i="30"/>
  <c r="AD92" i="30"/>
  <c r="Z92" i="30"/>
  <c r="Y92" i="30"/>
  <c r="X92" i="30"/>
  <c r="W92" i="30"/>
  <c r="U92" i="30"/>
  <c r="T92" i="30"/>
  <c r="S92" i="30"/>
  <c r="AW91" i="30"/>
  <c r="AT91" i="30"/>
  <c r="AP91" i="30"/>
  <c r="AZ91" i="30" s="1"/>
  <c r="AO91" i="30"/>
  <c r="AF91" i="30"/>
  <c r="Z91" i="30"/>
  <c r="R91" i="30"/>
  <c r="V91" i="30" s="1"/>
  <c r="AW90" i="30"/>
  <c r="AT90" i="30"/>
  <c r="AP90" i="30"/>
  <c r="AZ90" i="30" s="1"/>
  <c r="AO90" i="30"/>
  <c r="AF90" i="30"/>
  <c r="Z90" i="30"/>
  <c r="R90" i="30"/>
  <c r="V90" i="30" s="1"/>
  <c r="AW89" i="30"/>
  <c r="AT89" i="30"/>
  <c r="AP89" i="30"/>
  <c r="AZ89" i="30" s="1"/>
  <c r="AO89" i="30"/>
  <c r="AF89" i="30"/>
  <c r="Z89" i="30"/>
  <c r="R89" i="30"/>
  <c r="V89" i="30" s="1"/>
  <c r="AW88" i="30"/>
  <c r="AT88" i="30"/>
  <c r="AP88" i="30"/>
  <c r="AZ88" i="30" s="1"/>
  <c r="AO88" i="30"/>
  <c r="AF88" i="30"/>
  <c r="Z88" i="30"/>
  <c r="R88" i="30"/>
  <c r="V88" i="30" s="1"/>
  <c r="AW87" i="30"/>
  <c r="AT87" i="30"/>
  <c r="AP87" i="30"/>
  <c r="AZ87" i="30" s="1"/>
  <c r="AO87" i="30"/>
  <c r="AF87" i="30"/>
  <c r="Z87" i="30"/>
  <c r="R87" i="30"/>
  <c r="V87" i="30" s="1"/>
  <c r="AW86" i="30"/>
  <c r="AW92" i="30" s="1"/>
  <c r="AT86" i="30"/>
  <c r="AT92" i="30" s="1"/>
  <c r="AP86" i="30"/>
  <c r="AZ86" i="30" s="1"/>
  <c r="AZ92" i="30" s="1"/>
  <c r="AO86" i="30"/>
  <c r="AF86" i="30"/>
  <c r="AF92" i="30" s="1"/>
  <c r="Z86" i="30"/>
  <c r="R86" i="30"/>
  <c r="V86" i="30" s="1"/>
  <c r="AS85" i="30"/>
  <c r="AP85" i="30"/>
  <c r="AN85" i="30"/>
  <c r="AM85" i="30"/>
  <c r="AL85" i="30"/>
  <c r="AK85" i="30"/>
  <c r="AJ85" i="30"/>
  <c r="AI85" i="30"/>
  <c r="AH85" i="30"/>
  <c r="AE85" i="30"/>
  <c r="AD85" i="30"/>
  <c r="Y85" i="30"/>
  <c r="X85" i="30"/>
  <c r="W85" i="30"/>
  <c r="U85" i="30"/>
  <c r="T85" i="30"/>
  <c r="S85" i="30"/>
  <c r="AZ84" i="30"/>
  <c r="AW84" i="30"/>
  <c r="AS84" i="30"/>
  <c r="AP84" i="30"/>
  <c r="AO84" i="30"/>
  <c r="AF84" i="30"/>
  <c r="Z84" i="30"/>
  <c r="R84" i="30"/>
  <c r="V84" i="30" s="1"/>
  <c r="AC84" i="30" s="1"/>
  <c r="AV84" i="30" s="1"/>
  <c r="AZ83" i="30"/>
  <c r="AW83" i="30"/>
  <c r="AS83" i="30"/>
  <c r="AP83" i="30"/>
  <c r="AO83" i="30"/>
  <c r="AF83" i="30"/>
  <c r="Z83" i="30"/>
  <c r="R83" i="30"/>
  <c r="V83" i="30" s="1"/>
  <c r="AC83" i="30" s="1"/>
  <c r="AV83" i="30" s="1"/>
  <c r="AZ82" i="30"/>
  <c r="AW82" i="30"/>
  <c r="AW85" i="30" s="1"/>
  <c r="AS82" i="30"/>
  <c r="AP82" i="30"/>
  <c r="AO82" i="30"/>
  <c r="AF82" i="30"/>
  <c r="AF85" i="30" s="1"/>
  <c r="Z82" i="30"/>
  <c r="R82" i="30"/>
  <c r="V82" i="30" s="1"/>
  <c r="AC82" i="30" s="1"/>
  <c r="AC85" i="30" s="1"/>
  <c r="AO81" i="30"/>
  <c r="AN81" i="30"/>
  <c r="AM81" i="30"/>
  <c r="AL81" i="30"/>
  <c r="AK81" i="30"/>
  <c r="AJ81" i="30"/>
  <c r="AI81" i="30"/>
  <c r="AH81" i="30"/>
  <c r="AE81" i="30"/>
  <c r="AD81" i="30"/>
  <c r="Y81" i="30"/>
  <c r="X81" i="30"/>
  <c r="W81" i="30"/>
  <c r="U81" i="30"/>
  <c r="T81" i="30"/>
  <c r="S81" i="30"/>
  <c r="AY80" i="30"/>
  <c r="AT80" i="30"/>
  <c r="AP80" i="30"/>
  <c r="AQ80" i="30" s="1"/>
  <c r="AX80" i="30" s="1"/>
  <c r="AO80" i="30"/>
  <c r="AF80" i="30"/>
  <c r="AW80" i="30" s="1"/>
  <c r="AC80" i="30"/>
  <c r="AV80" i="30" s="1"/>
  <c r="AA80" i="30"/>
  <c r="Z80" i="30"/>
  <c r="V80" i="30"/>
  <c r="R80" i="30"/>
  <c r="AZ79" i="30"/>
  <c r="AY79" i="30"/>
  <c r="AT79" i="30"/>
  <c r="AQ79" i="30"/>
  <c r="AX79" i="30" s="1"/>
  <c r="AP79" i="30"/>
  <c r="AO79" i="30"/>
  <c r="AF79" i="30"/>
  <c r="AW79" i="30" s="1"/>
  <c r="Z79" i="30"/>
  <c r="V79" i="30"/>
  <c r="R79" i="30"/>
  <c r="AY78" i="30"/>
  <c r="AQ78" i="30"/>
  <c r="AX78" i="30" s="1"/>
  <c r="AP78" i="30"/>
  <c r="AZ78" i="30" s="1"/>
  <c r="AO78" i="30"/>
  <c r="AF78" i="30"/>
  <c r="AW78" i="30" s="1"/>
  <c r="AW81" i="30" s="1"/>
  <c r="Z78" i="30"/>
  <c r="AT78" i="30" s="1"/>
  <c r="V78" i="30"/>
  <c r="R78" i="30"/>
  <c r="AY77" i="30"/>
  <c r="AX77" i="30"/>
  <c r="AT77" i="30"/>
  <c r="AQ77" i="30"/>
  <c r="AP77" i="30"/>
  <c r="AZ77" i="30" s="1"/>
  <c r="AO77" i="30"/>
  <c r="AF77" i="30"/>
  <c r="AW77" i="30" s="1"/>
  <c r="Z77" i="30"/>
  <c r="AA77" i="30" s="1"/>
  <c r="V77" i="30"/>
  <c r="AC77" i="30" s="1"/>
  <c r="AV77" i="30" s="1"/>
  <c r="R77" i="30"/>
  <c r="AY76" i="30"/>
  <c r="AY81" i="30" s="1"/>
  <c r="AT76" i="30"/>
  <c r="AP76" i="30"/>
  <c r="AO76" i="30"/>
  <c r="AF76" i="30"/>
  <c r="AW76" i="30" s="1"/>
  <c r="AC76" i="30"/>
  <c r="AA76" i="30"/>
  <c r="Z76" i="30"/>
  <c r="V76" i="30"/>
  <c r="R76" i="30"/>
  <c r="R81" i="30" s="1"/>
  <c r="AN75" i="30"/>
  <c r="AM75" i="30"/>
  <c r="AL75" i="30"/>
  <c r="AK75" i="30"/>
  <c r="AJ75" i="30"/>
  <c r="AI75" i="30"/>
  <c r="AH75" i="30"/>
  <c r="AE75" i="30"/>
  <c r="AD75" i="30"/>
  <c r="Y75" i="30"/>
  <c r="X75" i="30"/>
  <c r="W75" i="30"/>
  <c r="U75" i="30"/>
  <c r="T75" i="30"/>
  <c r="S75" i="30"/>
  <c r="AX74" i="30"/>
  <c r="AQ74" i="30"/>
  <c r="AP74" i="30"/>
  <c r="AZ74" i="30" s="1"/>
  <c r="AO74" i="30"/>
  <c r="AY74" i="30" s="1"/>
  <c r="AF74" i="30"/>
  <c r="Z74" i="30"/>
  <c r="AT74" i="30" s="1"/>
  <c r="R74" i="30"/>
  <c r="V74" i="30" s="1"/>
  <c r="AW73" i="30"/>
  <c r="AP73" i="30"/>
  <c r="AO73" i="30"/>
  <c r="AY73" i="30" s="1"/>
  <c r="AF73" i="30"/>
  <c r="Z73" i="30"/>
  <c r="AT73" i="30" s="1"/>
  <c r="R73" i="30"/>
  <c r="AU72" i="30"/>
  <c r="AP72" i="30"/>
  <c r="AZ72" i="30" s="1"/>
  <c r="AO72" i="30"/>
  <c r="AF72" i="30"/>
  <c r="AW72" i="30" s="1"/>
  <c r="AB72" i="30"/>
  <c r="Z72" i="30"/>
  <c r="Z75" i="30" s="1"/>
  <c r="V72" i="30"/>
  <c r="AC72" i="30" s="1"/>
  <c r="R72" i="30"/>
  <c r="AN71" i="30"/>
  <c r="AM71" i="30"/>
  <c r="AL71" i="30"/>
  <c r="AK71" i="30"/>
  <c r="AJ71" i="30"/>
  <c r="AI71" i="30"/>
  <c r="AH71" i="30"/>
  <c r="AE71" i="30"/>
  <c r="AD71" i="30"/>
  <c r="Y71" i="30"/>
  <c r="X71" i="30"/>
  <c r="W71" i="30"/>
  <c r="U71" i="30"/>
  <c r="T71" i="30"/>
  <c r="S71" i="30"/>
  <c r="AW70" i="30"/>
  <c r="AT70" i="30"/>
  <c r="AP70" i="30"/>
  <c r="AZ70" i="30" s="1"/>
  <c r="AO70" i="30"/>
  <c r="AF70" i="30"/>
  <c r="AC70" i="30"/>
  <c r="AV70" i="30" s="1"/>
  <c r="Z70" i="30"/>
  <c r="V70" i="30"/>
  <c r="R70" i="30"/>
  <c r="AW69" i="30"/>
  <c r="AT69" i="30"/>
  <c r="AS69" i="30"/>
  <c r="AP69" i="30"/>
  <c r="AZ69" i="30" s="1"/>
  <c r="AO69" i="30"/>
  <c r="AF69" i="30"/>
  <c r="AA69" i="30"/>
  <c r="Z69" i="30"/>
  <c r="V69" i="30"/>
  <c r="AC69" i="30" s="1"/>
  <c r="AV69" i="30" s="1"/>
  <c r="R69" i="30"/>
  <c r="AZ68" i="30"/>
  <c r="AW68" i="30"/>
  <c r="AT68" i="30"/>
  <c r="AP68" i="30"/>
  <c r="AO68" i="30"/>
  <c r="AF68" i="30"/>
  <c r="AA68" i="30"/>
  <c r="Z68" i="30"/>
  <c r="R68" i="30"/>
  <c r="V68" i="30" s="1"/>
  <c r="AC68" i="30" s="1"/>
  <c r="AV68" i="30" s="1"/>
  <c r="AW67" i="30"/>
  <c r="AT67" i="30"/>
  <c r="AP67" i="30"/>
  <c r="AZ67" i="30" s="1"/>
  <c r="AO67" i="30"/>
  <c r="AF67" i="30"/>
  <c r="Z67" i="30"/>
  <c r="R67" i="30"/>
  <c r="R71" i="30" s="1"/>
  <c r="AV66" i="30"/>
  <c r="AP66" i="30"/>
  <c r="AO66" i="30"/>
  <c r="AF66" i="30"/>
  <c r="AC66" i="30"/>
  <c r="Z66" i="30"/>
  <c r="AT66" i="30" s="1"/>
  <c r="AT71" i="30" s="1"/>
  <c r="V66" i="30"/>
  <c r="R66" i="30"/>
  <c r="AT65" i="30"/>
  <c r="AN65" i="30"/>
  <c r="AM65" i="30"/>
  <c r="AL65" i="30"/>
  <c r="AK65" i="30"/>
  <c r="AJ65" i="30"/>
  <c r="AI65" i="30"/>
  <c r="AH65" i="30"/>
  <c r="AE65" i="30"/>
  <c r="AD65" i="30"/>
  <c r="Z65" i="30"/>
  <c r="Y65" i="30"/>
  <c r="X65" i="30"/>
  <c r="W65" i="30"/>
  <c r="U65" i="30"/>
  <c r="T65" i="30"/>
  <c r="S65" i="30"/>
  <c r="AW64" i="30"/>
  <c r="AT64" i="30"/>
  <c r="AP64" i="30"/>
  <c r="AZ64" i="30" s="1"/>
  <c r="AO64" i="30"/>
  <c r="AF64" i="30"/>
  <c r="Z64" i="30"/>
  <c r="V64" i="30"/>
  <c r="R64" i="30"/>
  <c r="AW63" i="30"/>
  <c r="AT63" i="30"/>
  <c r="AP63" i="30"/>
  <c r="AZ63" i="30" s="1"/>
  <c r="AO63" i="30"/>
  <c r="AF63" i="30"/>
  <c r="Z63" i="30"/>
  <c r="V63" i="30"/>
  <c r="R63" i="30"/>
  <c r="AW62" i="30"/>
  <c r="AW65" i="30" s="1"/>
  <c r="AT62" i="30"/>
  <c r="AP62" i="30"/>
  <c r="AZ62" i="30" s="1"/>
  <c r="AZ65" i="30" s="1"/>
  <c r="AO62" i="30"/>
  <c r="AF62" i="30"/>
  <c r="AF65" i="30" s="1"/>
  <c r="Z62" i="30"/>
  <c r="V62" i="30"/>
  <c r="R62" i="30"/>
  <c r="R65" i="30" s="1"/>
  <c r="AP61" i="30"/>
  <c r="AN61" i="30"/>
  <c r="AM61" i="30"/>
  <c r="AL61" i="30"/>
  <c r="AK61" i="30"/>
  <c r="AJ61" i="30"/>
  <c r="AI61" i="30"/>
  <c r="AH61" i="30"/>
  <c r="AE61" i="30"/>
  <c r="AD61" i="30"/>
  <c r="Z61" i="30"/>
  <c r="Y61" i="30"/>
  <c r="X61" i="30"/>
  <c r="W61" i="30"/>
  <c r="U61" i="30"/>
  <c r="T61" i="30"/>
  <c r="S61" i="30"/>
  <c r="AZ60" i="30"/>
  <c r="AW60" i="30"/>
  <c r="AP60" i="30"/>
  <c r="AO60" i="30"/>
  <c r="AF60" i="30"/>
  <c r="Z60" i="30"/>
  <c r="AT60" i="30" s="1"/>
  <c r="R60" i="30"/>
  <c r="V60" i="30" s="1"/>
  <c r="AZ59" i="30"/>
  <c r="AW59" i="30"/>
  <c r="AS59" i="30"/>
  <c r="AP59" i="30"/>
  <c r="AO59" i="30"/>
  <c r="AF59" i="30"/>
  <c r="AB59" i="30"/>
  <c r="AU59" i="30" s="1"/>
  <c r="Z59" i="30"/>
  <c r="AT59" i="30" s="1"/>
  <c r="AT61" i="30" s="1"/>
  <c r="R59" i="30"/>
  <c r="V59" i="30" s="1"/>
  <c r="AC59" i="30" s="1"/>
  <c r="AV59" i="30" s="1"/>
  <c r="AZ58" i="30"/>
  <c r="AW58" i="30"/>
  <c r="AP58" i="30"/>
  <c r="AO58" i="30"/>
  <c r="AF58" i="30"/>
  <c r="AA58" i="30"/>
  <c r="Z58" i="30"/>
  <c r="AT58" i="30" s="1"/>
  <c r="R58" i="30"/>
  <c r="V58" i="30" s="1"/>
  <c r="AZ57" i="30"/>
  <c r="AW57" i="30"/>
  <c r="AV57" i="30"/>
  <c r="AS57" i="30"/>
  <c r="AP57" i="30"/>
  <c r="AO57" i="30"/>
  <c r="AF57" i="30"/>
  <c r="AB57" i="30"/>
  <c r="AU57" i="30" s="1"/>
  <c r="AA57" i="30"/>
  <c r="Z57" i="30"/>
  <c r="AT57" i="30" s="1"/>
  <c r="R57" i="30"/>
  <c r="V57" i="30" s="1"/>
  <c r="AC57" i="30" s="1"/>
  <c r="AZ56" i="30"/>
  <c r="AW56" i="30"/>
  <c r="AP56" i="30"/>
  <c r="AO56" i="30"/>
  <c r="AF56" i="30"/>
  <c r="Z56" i="30"/>
  <c r="AT56" i="30" s="1"/>
  <c r="R56" i="30"/>
  <c r="V56" i="30" s="1"/>
  <c r="AZ55" i="30"/>
  <c r="AW55" i="30"/>
  <c r="AS55" i="30"/>
  <c r="AP55" i="30"/>
  <c r="AO55" i="30"/>
  <c r="AF55" i="30"/>
  <c r="AF61" i="30" s="1"/>
  <c r="AB55" i="30"/>
  <c r="Z55" i="30"/>
  <c r="AT55" i="30" s="1"/>
  <c r="R55" i="30"/>
  <c r="V55" i="30" s="1"/>
  <c r="AC55" i="30" s="1"/>
  <c r="AV55" i="30" s="1"/>
  <c r="AO54" i="30"/>
  <c r="AN54" i="30"/>
  <c r="AM54" i="30"/>
  <c r="AL54" i="30"/>
  <c r="AK54" i="30"/>
  <c r="AJ54" i="30"/>
  <c r="AI54" i="30"/>
  <c r="AH54" i="30"/>
  <c r="AF54" i="30"/>
  <c r="AE54" i="30"/>
  <c r="AD54" i="30"/>
  <c r="Y54" i="30"/>
  <c r="X54" i="30"/>
  <c r="W54" i="30"/>
  <c r="U54" i="30"/>
  <c r="T54" i="30"/>
  <c r="S54" i="30"/>
  <c r="AZ53" i="30"/>
  <c r="AY53" i="30"/>
  <c r="AV53" i="30"/>
  <c r="AQ53" i="30"/>
  <c r="AX53" i="30" s="1"/>
  <c r="AP53" i="30"/>
  <c r="AO53" i="30"/>
  <c r="AF53" i="30"/>
  <c r="AW53" i="30" s="1"/>
  <c r="Z53" i="30"/>
  <c r="V53" i="30"/>
  <c r="AC53" i="30" s="1"/>
  <c r="R53" i="30"/>
  <c r="AZ52" i="30"/>
  <c r="AY52" i="30"/>
  <c r="AQ52" i="30"/>
  <c r="AX52" i="30" s="1"/>
  <c r="AP52" i="30"/>
  <c r="AO52" i="30"/>
  <c r="AF52" i="30"/>
  <c r="AW52" i="30" s="1"/>
  <c r="Z52" i="30"/>
  <c r="AT52" i="30" s="1"/>
  <c r="V52" i="30"/>
  <c r="R52" i="30"/>
  <c r="AZ51" i="30"/>
  <c r="AY51" i="30"/>
  <c r="AX51" i="30"/>
  <c r="AP51" i="30"/>
  <c r="AQ51" i="30" s="1"/>
  <c r="AO51" i="30"/>
  <c r="AF51" i="30"/>
  <c r="AW51" i="30" s="1"/>
  <c r="AC51" i="30"/>
  <c r="AV51" i="30" s="1"/>
  <c r="Z51" i="30"/>
  <c r="V51" i="30"/>
  <c r="R51" i="30"/>
  <c r="AY50" i="30"/>
  <c r="AT50" i="30"/>
  <c r="AQ50" i="30"/>
  <c r="AX50" i="30" s="1"/>
  <c r="AP50" i="30"/>
  <c r="AZ50" i="30" s="1"/>
  <c r="AO50" i="30"/>
  <c r="AF50" i="30"/>
  <c r="AW50" i="30" s="1"/>
  <c r="Z50" i="30"/>
  <c r="V50" i="30"/>
  <c r="R50" i="30"/>
  <c r="AZ49" i="30"/>
  <c r="AZ54" i="30" s="1"/>
  <c r="AY49" i="30"/>
  <c r="AP49" i="30"/>
  <c r="AO49" i="30"/>
  <c r="AF49" i="30"/>
  <c r="AW49" i="30" s="1"/>
  <c r="AW54" i="30" s="1"/>
  <c r="AC49" i="30"/>
  <c r="Z49" i="30"/>
  <c r="V49" i="30"/>
  <c r="R49" i="30"/>
  <c r="R54" i="30" s="1"/>
  <c r="AN48" i="30"/>
  <c r="AM48" i="30"/>
  <c r="AL48" i="30"/>
  <c r="AK48" i="30"/>
  <c r="AJ48" i="30"/>
  <c r="AI48" i="30"/>
  <c r="AH48" i="30"/>
  <c r="AE48" i="30"/>
  <c r="AD48" i="30"/>
  <c r="Y48" i="30"/>
  <c r="X48" i="30"/>
  <c r="W48" i="30"/>
  <c r="U48" i="30"/>
  <c r="T48" i="30"/>
  <c r="S48" i="30"/>
  <c r="AS47" i="30"/>
  <c r="AP47" i="30"/>
  <c r="AZ47" i="30" s="1"/>
  <c r="AO47" i="30"/>
  <c r="AY47" i="30" s="1"/>
  <c r="AF47" i="30"/>
  <c r="AW47" i="30" s="1"/>
  <c r="AB47" i="30"/>
  <c r="AU47" i="30" s="1"/>
  <c r="Z47" i="30"/>
  <c r="AT47" i="30" s="1"/>
  <c r="V47" i="30"/>
  <c r="R47" i="30"/>
  <c r="AY46" i="30"/>
  <c r="AQ46" i="30"/>
  <c r="AX46" i="30" s="1"/>
  <c r="AP46" i="30"/>
  <c r="AZ46" i="30" s="1"/>
  <c r="AO46" i="30"/>
  <c r="AF46" i="30"/>
  <c r="AW46" i="30" s="1"/>
  <c r="Z46" i="30"/>
  <c r="Z48" i="30" s="1"/>
  <c r="R46" i="30"/>
  <c r="V46" i="30" s="1"/>
  <c r="AW45" i="30"/>
  <c r="AP45" i="30"/>
  <c r="AQ45" i="30" s="1"/>
  <c r="AO45" i="30"/>
  <c r="AF45" i="30"/>
  <c r="AF48" i="30" s="1"/>
  <c r="AB45" i="30"/>
  <c r="AU45" i="30" s="1"/>
  <c r="Z45" i="30"/>
  <c r="AT45" i="30" s="1"/>
  <c r="V45" i="30"/>
  <c r="AA45" i="30" s="1"/>
  <c r="R45" i="30"/>
  <c r="R48" i="30" s="1"/>
  <c r="AN44" i="30"/>
  <c r="AM44" i="30"/>
  <c r="AL44" i="30"/>
  <c r="AK44" i="30"/>
  <c r="AJ44" i="30"/>
  <c r="AI44" i="30"/>
  <c r="AH44" i="30"/>
  <c r="AE44" i="30"/>
  <c r="AD44" i="30"/>
  <c r="Y44" i="30"/>
  <c r="X44" i="30"/>
  <c r="W44" i="30"/>
  <c r="U44" i="30"/>
  <c r="T44" i="30"/>
  <c r="S44" i="30"/>
  <c r="AZ43" i="30"/>
  <c r="AW43" i="30"/>
  <c r="AT43" i="30"/>
  <c r="AP43" i="30"/>
  <c r="AO43" i="30"/>
  <c r="AF43" i="30"/>
  <c r="AA43" i="30"/>
  <c r="Z43" i="30"/>
  <c r="R43" i="30"/>
  <c r="V43" i="30" s="1"/>
  <c r="AC43" i="30" s="1"/>
  <c r="AV43" i="30" s="1"/>
  <c r="AT42" i="30"/>
  <c r="AP42" i="30"/>
  <c r="AZ42" i="30" s="1"/>
  <c r="AO42" i="30"/>
  <c r="AF42" i="30"/>
  <c r="AW42" i="30" s="1"/>
  <c r="Z42" i="30"/>
  <c r="V42" i="30"/>
  <c r="AB42" i="30" s="1"/>
  <c r="AU42" i="30" s="1"/>
  <c r="R42" i="30"/>
  <c r="AZ41" i="30"/>
  <c r="AW41" i="30"/>
  <c r="AT41" i="30"/>
  <c r="AP41" i="30"/>
  <c r="AO41" i="30"/>
  <c r="AF41" i="30"/>
  <c r="Z41" i="30"/>
  <c r="R41" i="30"/>
  <c r="V41" i="30" s="1"/>
  <c r="AW40" i="30"/>
  <c r="AT40" i="30"/>
  <c r="AS40" i="30"/>
  <c r="AP40" i="30"/>
  <c r="AZ40" i="30" s="1"/>
  <c r="AO40" i="30"/>
  <c r="AF40" i="30"/>
  <c r="AA40" i="30"/>
  <c r="Z40" i="30"/>
  <c r="V40" i="30"/>
  <c r="AC40" i="30" s="1"/>
  <c r="AV40" i="30" s="1"/>
  <c r="R40" i="30"/>
  <c r="AZ39" i="30"/>
  <c r="AW39" i="30"/>
  <c r="AT39" i="30"/>
  <c r="AP39" i="30"/>
  <c r="AO39" i="30"/>
  <c r="AO44" i="30" s="1"/>
  <c r="AF39" i="30"/>
  <c r="Z39" i="30"/>
  <c r="R39" i="30"/>
  <c r="V39" i="30" s="1"/>
  <c r="AW38" i="30"/>
  <c r="AW44" i="30" s="1"/>
  <c r="AT38" i="30"/>
  <c r="AT44" i="30" s="1"/>
  <c r="AP38" i="30"/>
  <c r="AP44" i="30" s="1"/>
  <c r="AO38" i="30"/>
  <c r="AF38" i="30"/>
  <c r="AF44" i="30" s="1"/>
  <c r="Z38" i="30"/>
  <c r="Z44" i="30" s="1"/>
  <c r="V38" i="30"/>
  <c r="AC38" i="30" s="1"/>
  <c r="R38" i="30"/>
  <c r="AP37" i="30"/>
  <c r="AN37" i="30"/>
  <c r="AM37" i="30"/>
  <c r="AL37" i="30"/>
  <c r="AK37" i="30"/>
  <c r="AJ37" i="30"/>
  <c r="AI37" i="30"/>
  <c r="AH37" i="30"/>
  <c r="AE37" i="30"/>
  <c r="AD37" i="30"/>
  <c r="Z37" i="30"/>
  <c r="Y37" i="30"/>
  <c r="X37" i="30"/>
  <c r="W37" i="30"/>
  <c r="U37" i="30"/>
  <c r="T37" i="30"/>
  <c r="S37" i="30"/>
  <c r="AZ36" i="30"/>
  <c r="AQ36" i="30"/>
  <c r="AX36" i="30" s="1"/>
  <c r="AP36" i="30"/>
  <c r="AO36" i="30"/>
  <c r="AY36" i="30" s="1"/>
  <c r="AF36" i="30"/>
  <c r="AW36" i="30" s="1"/>
  <c r="Z36" i="30"/>
  <c r="AT36" i="30" s="1"/>
  <c r="R36" i="30"/>
  <c r="V36" i="30" s="1"/>
  <c r="AC36" i="30" s="1"/>
  <c r="AV36" i="30" s="1"/>
  <c r="AZ35" i="30"/>
  <c r="AQ35" i="30"/>
  <c r="AX35" i="30" s="1"/>
  <c r="AP35" i="30"/>
  <c r="AO35" i="30"/>
  <c r="AY35" i="30" s="1"/>
  <c r="AF35" i="30"/>
  <c r="AW35" i="30" s="1"/>
  <c r="Z35" i="30"/>
  <c r="AT35" i="30" s="1"/>
  <c r="R35" i="30"/>
  <c r="V35" i="30" s="1"/>
  <c r="AC35" i="30" s="1"/>
  <c r="AV35" i="30" s="1"/>
  <c r="AZ34" i="30"/>
  <c r="AQ34" i="30"/>
  <c r="AX34" i="30" s="1"/>
  <c r="AP34" i="30"/>
  <c r="AO34" i="30"/>
  <c r="AY34" i="30" s="1"/>
  <c r="AF34" i="30"/>
  <c r="AW34" i="30" s="1"/>
  <c r="Z34" i="30"/>
  <c r="AT34" i="30" s="1"/>
  <c r="R34" i="30"/>
  <c r="V34" i="30" s="1"/>
  <c r="AC34" i="30" s="1"/>
  <c r="AV34" i="30" s="1"/>
  <c r="AZ33" i="30"/>
  <c r="AQ33" i="30"/>
  <c r="AX33" i="30" s="1"/>
  <c r="AP33" i="30"/>
  <c r="AO33" i="30"/>
  <c r="AY33" i="30" s="1"/>
  <c r="AF33" i="30"/>
  <c r="AW33" i="30" s="1"/>
  <c r="Z33" i="30"/>
  <c r="AT33" i="30" s="1"/>
  <c r="R33" i="30"/>
  <c r="V33" i="30" s="1"/>
  <c r="AC33" i="30" s="1"/>
  <c r="AV33" i="30" s="1"/>
  <c r="AZ32" i="30"/>
  <c r="AQ32" i="30"/>
  <c r="AP32" i="30"/>
  <c r="AP107" i="30" s="1"/>
  <c r="AO32" i="30"/>
  <c r="AF32" i="30"/>
  <c r="AF107" i="30" s="1"/>
  <c r="Z32" i="30"/>
  <c r="R32" i="30"/>
  <c r="AZ31" i="30"/>
  <c r="AZ37" i="30" s="1"/>
  <c r="AQ31" i="30"/>
  <c r="AP31" i="30"/>
  <c r="AO31" i="30"/>
  <c r="AO37" i="30" s="1"/>
  <c r="AF31" i="30"/>
  <c r="AF37" i="30" s="1"/>
  <c r="Z31" i="30"/>
  <c r="AT31" i="30" s="1"/>
  <c r="R31" i="30"/>
  <c r="V31" i="30" s="1"/>
  <c r="AC31" i="30" s="1"/>
  <c r="AY30" i="30"/>
  <c r="AO30" i="30"/>
  <c r="AN30" i="30"/>
  <c r="AM30" i="30"/>
  <c r="AL30" i="30"/>
  <c r="AK30" i="30"/>
  <c r="AJ30" i="30"/>
  <c r="AI30" i="30"/>
  <c r="AH30" i="30"/>
  <c r="AF30" i="30"/>
  <c r="AE30" i="30"/>
  <c r="AD30" i="30"/>
  <c r="Y30" i="30"/>
  <c r="X30" i="30"/>
  <c r="W30" i="30"/>
  <c r="U30" i="30"/>
  <c r="T30" i="30"/>
  <c r="S30" i="30"/>
  <c r="AZ29" i="30"/>
  <c r="AZ112" i="30" s="1"/>
  <c r="AY29" i="30"/>
  <c r="AY112" i="30" s="1"/>
  <c r="AP29" i="30"/>
  <c r="AO29" i="30"/>
  <c r="AO112" i="30" s="1"/>
  <c r="AF29" i="30"/>
  <c r="AF112" i="30" s="1"/>
  <c r="AA29" i="30"/>
  <c r="AA112" i="30" s="1"/>
  <c r="Z29" i="30"/>
  <c r="AT29" i="30" s="1"/>
  <c r="V29" i="30"/>
  <c r="V112" i="30" s="1"/>
  <c r="R29" i="30"/>
  <c r="R112" i="30" s="1"/>
  <c r="AP28" i="30"/>
  <c r="AN28" i="30"/>
  <c r="AM28" i="30"/>
  <c r="AL28" i="30"/>
  <c r="AK28" i="30"/>
  <c r="AJ28" i="30"/>
  <c r="AI28" i="30"/>
  <c r="AH28" i="30"/>
  <c r="AE28" i="30"/>
  <c r="AD28" i="30"/>
  <c r="Y28" i="30"/>
  <c r="X28" i="30"/>
  <c r="W28" i="30"/>
  <c r="U28" i="30"/>
  <c r="T28" i="30"/>
  <c r="S28" i="30"/>
  <c r="AY27" i="30"/>
  <c r="AQ27" i="30"/>
  <c r="AX27" i="30" s="1"/>
  <c r="AP27" i="30"/>
  <c r="AZ27" i="30" s="1"/>
  <c r="AO27" i="30"/>
  <c r="AF27" i="30"/>
  <c r="AW27" i="30" s="1"/>
  <c r="Z27" i="30"/>
  <c r="AT27" i="30" s="1"/>
  <c r="R27" i="30"/>
  <c r="V27" i="30" s="1"/>
  <c r="AY26" i="30"/>
  <c r="AQ26" i="30"/>
  <c r="AX26" i="30" s="1"/>
  <c r="AP26" i="30"/>
  <c r="AZ26" i="30" s="1"/>
  <c r="AO26" i="30"/>
  <c r="AF26" i="30"/>
  <c r="AW26" i="30" s="1"/>
  <c r="Z26" i="30"/>
  <c r="AT26" i="30" s="1"/>
  <c r="R26" i="30"/>
  <c r="V26" i="30" s="1"/>
  <c r="AY25" i="30"/>
  <c r="AQ25" i="30"/>
  <c r="AX25" i="30" s="1"/>
  <c r="AP25" i="30"/>
  <c r="AZ25" i="30" s="1"/>
  <c r="AO25" i="30"/>
  <c r="AF25" i="30"/>
  <c r="AW25" i="30" s="1"/>
  <c r="Z25" i="30"/>
  <c r="AT25" i="30" s="1"/>
  <c r="R25" i="30"/>
  <c r="V25" i="30" s="1"/>
  <c r="AY24" i="30"/>
  <c r="AY28" i="30" s="1"/>
  <c r="AQ24" i="30"/>
  <c r="AQ28" i="30" s="1"/>
  <c r="AP24" i="30"/>
  <c r="AZ24" i="30" s="1"/>
  <c r="AO24" i="30"/>
  <c r="AO28" i="30" s="1"/>
  <c r="AF24" i="30"/>
  <c r="AF28" i="30" s="1"/>
  <c r="Z24" i="30"/>
  <c r="AT24" i="30" s="1"/>
  <c r="R24" i="30"/>
  <c r="V24" i="30" s="1"/>
  <c r="AN23" i="30"/>
  <c r="AM23" i="30"/>
  <c r="AL23" i="30"/>
  <c r="AK23" i="30"/>
  <c r="AJ23" i="30"/>
  <c r="AI23" i="30"/>
  <c r="AH23" i="30"/>
  <c r="AE23" i="30"/>
  <c r="AD23" i="30"/>
  <c r="Y23" i="30"/>
  <c r="X23" i="30"/>
  <c r="W23" i="30"/>
  <c r="U23" i="30"/>
  <c r="T23" i="30"/>
  <c r="S23" i="30"/>
  <c r="AW22" i="30"/>
  <c r="AT22" i="30"/>
  <c r="AP22" i="30"/>
  <c r="AZ22" i="30" s="1"/>
  <c r="AO22" i="30"/>
  <c r="AY22" i="30" s="1"/>
  <c r="AF22" i="30"/>
  <c r="Z22" i="30"/>
  <c r="V22" i="30"/>
  <c r="AS22" i="30" s="1"/>
  <c r="R22" i="30"/>
  <c r="AW21" i="30"/>
  <c r="AT21" i="30"/>
  <c r="AP21" i="30"/>
  <c r="AZ21" i="30" s="1"/>
  <c r="AO21" i="30"/>
  <c r="AY21" i="30" s="1"/>
  <c r="AF21" i="30"/>
  <c r="Z21" i="30"/>
  <c r="V21" i="30"/>
  <c r="AS21" i="30" s="1"/>
  <c r="R21" i="30"/>
  <c r="AW20" i="30"/>
  <c r="AT20" i="30"/>
  <c r="AP20" i="30"/>
  <c r="AP111" i="30" s="1"/>
  <c r="AO20" i="30"/>
  <c r="AY20" i="30" s="1"/>
  <c r="AF20" i="30"/>
  <c r="Z20" i="30"/>
  <c r="V20" i="30"/>
  <c r="AA20" i="30" s="1"/>
  <c r="R20" i="30"/>
  <c r="AW19" i="30"/>
  <c r="AT19" i="30"/>
  <c r="AP19" i="30"/>
  <c r="AZ19" i="30" s="1"/>
  <c r="AO19" i="30"/>
  <c r="AY19" i="30" s="1"/>
  <c r="AF19" i="30"/>
  <c r="Z19" i="30"/>
  <c r="V19" i="30"/>
  <c r="AS19" i="30" s="1"/>
  <c r="R19" i="30"/>
  <c r="AW18" i="30"/>
  <c r="AW23" i="30" s="1"/>
  <c r="AT18" i="30"/>
  <c r="AP18" i="30"/>
  <c r="AO18" i="30"/>
  <c r="AO23" i="30" s="1"/>
  <c r="AF18" i="30"/>
  <c r="AC18" i="30"/>
  <c r="Z18" i="30"/>
  <c r="V18" i="30"/>
  <c r="R18" i="30"/>
  <c r="AP17" i="30"/>
  <c r="AN17" i="30"/>
  <c r="AM17" i="30"/>
  <c r="AL17" i="30"/>
  <c r="AK17" i="30"/>
  <c r="AJ17" i="30"/>
  <c r="AI17" i="30"/>
  <c r="AH17" i="30"/>
  <c r="AE17" i="30"/>
  <c r="AD17" i="30"/>
  <c r="Z17" i="30"/>
  <c r="Y17" i="30"/>
  <c r="X17" i="30"/>
  <c r="W17" i="30"/>
  <c r="U17" i="30"/>
  <c r="T17" i="30"/>
  <c r="S17" i="30"/>
  <c r="AZ16" i="30"/>
  <c r="AZ113" i="30" s="1"/>
  <c r="AW16" i="30"/>
  <c r="AP16" i="30"/>
  <c r="AP113" i="30" s="1"/>
  <c r="AO16" i="30"/>
  <c r="AF16" i="30"/>
  <c r="AF113" i="30" s="1"/>
  <c r="Z16" i="30"/>
  <c r="Z113" i="30" s="1"/>
  <c r="R16" i="30"/>
  <c r="AO15" i="30"/>
  <c r="AN15" i="30"/>
  <c r="AM15" i="30"/>
  <c r="AL15" i="30"/>
  <c r="AK15" i="30"/>
  <c r="AK100" i="30" s="1"/>
  <c r="AJ15" i="30"/>
  <c r="AI15" i="30"/>
  <c r="AH15" i="30"/>
  <c r="AE15" i="30"/>
  <c r="AD15" i="30"/>
  <c r="Y15" i="30"/>
  <c r="Y100" i="30" s="1"/>
  <c r="X15" i="30"/>
  <c r="W15" i="30"/>
  <c r="W100" i="30" s="1"/>
  <c r="U15" i="30"/>
  <c r="U100" i="30" s="1"/>
  <c r="T15" i="30"/>
  <c r="S15" i="30"/>
  <c r="AZ14" i="30"/>
  <c r="AZ110" i="30" s="1"/>
  <c r="AY14" i="30"/>
  <c r="AQ14" i="30"/>
  <c r="AX14" i="30" s="1"/>
  <c r="AP14" i="30"/>
  <c r="AP110" i="30" s="1"/>
  <c r="AO14" i="30"/>
  <c r="AF14" i="30"/>
  <c r="AW14" i="30" s="1"/>
  <c r="AA14" i="30"/>
  <c r="Z14" i="30"/>
  <c r="AT14" i="30" s="1"/>
  <c r="V14" i="30"/>
  <c r="AS14" i="30" s="1"/>
  <c r="R14" i="30"/>
  <c r="AZ13" i="30"/>
  <c r="AY13" i="30"/>
  <c r="AP13" i="30"/>
  <c r="AQ13" i="30" s="1"/>
  <c r="AX13" i="30" s="1"/>
  <c r="AO13" i="30"/>
  <c r="AF13" i="30"/>
  <c r="AW13" i="30" s="1"/>
  <c r="AA13" i="30"/>
  <c r="Z13" i="30"/>
  <c r="AT13" i="30" s="1"/>
  <c r="V13" i="30"/>
  <c r="AC13" i="30" s="1"/>
  <c r="AV13" i="30" s="1"/>
  <c r="R13" i="30"/>
  <c r="AZ12" i="30"/>
  <c r="AY12" i="30"/>
  <c r="AY15" i="30" s="1"/>
  <c r="AQ12" i="30"/>
  <c r="AQ15" i="30" s="1"/>
  <c r="AP12" i="30"/>
  <c r="AP15" i="30" s="1"/>
  <c r="AO12" i="30"/>
  <c r="AO104" i="30" s="1"/>
  <c r="AF12" i="30"/>
  <c r="AW12" i="30" s="1"/>
  <c r="AW15" i="30" s="1"/>
  <c r="AA12" i="30"/>
  <c r="Z12" i="30"/>
  <c r="AT12" i="30" s="1"/>
  <c r="V12" i="30"/>
  <c r="V15" i="30" s="1"/>
  <c r="R12" i="30"/>
  <c r="AN201" i="29"/>
  <c r="AM201" i="29"/>
  <c r="AL201" i="29"/>
  <c r="AK201" i="29"/>
  <c r="AJ201" i="29"/>
  <c r="AI201" i="29"/>
  <c r="AH201" i="29"/>
  <c r="AE201" i="29"/>
  <c r="AD201" i="29"/>
  <c r="Y201" i="29"/>
  <c r="X201" i="29"/>
  <c r="W201" i="29"/>
  <c r="U201" i="29"/>
  <c r="T201" i="29"/>
  <c r="S201" i="29"/>
  <c r="Q201" i="29"/>
  <c r="P201" i="29"/>
  <c r="O201" i="29"/>
  <c r="N201" i="29"/>
  <c r="M201" i="29"/>
  <c r="L201" i="29"/>
  <c r="K201" i="29"/>
  <c r="J201" i="29"/>
  <c r="I201" i="29"/>
  <c r="AO200" i="29"/>
  <c r="AN200" i="29"/>
  <c r="AM200" i="29"/>
  <c r="AL200" i="29"/>
  <c r="AK200" i="29"/>
  <c r="AJ200" i="29"/>
  <c r="AI200" i="29"/>
  <c r="AH200" i="29"/>
  <c r="AE200" i="29"/>
  <c r="AD200" i="29"/>
  <c r="Y200" i="29"/>
  <c r="X200" i="29"/>
  <c r="W200" i="29"/>
  <c r="U200" i="29"/>
  <c r="T200" i="29"/>
  <c r="S200" i="29"/>
  <c r="Q200" i="29"/>
  <c r="P200" i="29"/>
  <c r="O200" i="29"/>
  <c r="N200" i="29"/>
  <c r="M200" i="29"/>
  <c r="L200" i="29"/>
  <c r="K200" i="29"/>
  <c r="J200" i="29"/>
  <c r="I200" i="29"/>
  <c r="AN199" i="29"/>
  <c r="AM199" i="29"/>
  <c r="AL199" i="29"/>
  <c r="AK199" i="29"/>
  <c r="AJ199" i="29"/>
  <c r="AI199" i="29"/>
  <c r="AH199" i="29"/>
  <c r="AE199" i="29"/>
  <c r="AD199" i="29"/>
  <c r="Y199" i="29"/>
  <c r="X199" i="29"/>
  <c r="W199" i="29"/>
  <c r="U199" i="29"/>
  <c r="T199" i="29"/>
  <c r="S199" i="29"/>
  <c r="Q199" i="29"/>
  <c r="P199" i="29"/>
  <c r="O199" i="29"/>
  <c r="N199" i="29"/>
  <c r="M199" i="29"/>
  <c r="L199" i="29"/>
  <c r="K199" i="29"/>
  <c r="J199" i="29"/>
  <c r="I199" i="29"/>
  <c r="AN198" i="29"/>
  <c r="AM198" i="29"/>
  <c r="AL198" i="29"/>
  <c r="AK198" i="29"/>
  <c r="AJ198" i="29"/>
  <c r="AI198" i="29"/>
  <c r="AH198" i="29"/>
  <c r="AE198" i="29"/>
  <c r="AD198" i="29"/>
  <c r="Y198" i="29"/>
  <c r="X198" i="29"/>
  <c r="W198" i="29"/>
  <c r="U198" i="29"/>
  <c r="T198" i="29"/>
  <c r="S198" i="29"/>
  <c r="Q198" i="29"/>
  <c r="P198" i="29"/>
  <c r="O198" i="29"/>
  <c r="N198" i="29"/>
  <c r="M198" i="29"/>
  <c r="L198" i="29"/>
  <c r="K198" i="29"/>
  <c r="J198" i="29"/>
  <c r="I198" i="29"/>
  <c r="AZ197" i="29"/>
  <c r="AY197" i="29"/>
  <c r="AX197" i="29"/>
  <c r="AW197" i="29"/>
  <c r="AV197" i="29"/>
  <c r="AU197" i="29"/>
  <c r="AT197" i="29"/>
  <c r="AS197" i="29"/>
  <c r="AR197" i="29"/>
  <c r="AQ197" i="29"/>
  <c r="AP197" i="29"/>
  <c r="AO197" i="29"/>
  <c r="AN197" i="29"/>
  <c r="AM197" i="29"/>
  <c r="AL197" i="29"/>
  <c r="AK197" i="29"/>
  <c r="AJ197" i="29"/>
  <c r="AI197" i="29"/>
  <c r="AH197" i="29"/>
  <c r="AG197" i="29"/>
  <c r="AF197" i="29"/>
  <c r="AE197" i="29"/>
  <c r="AD197" i="29"/>
  <c r="AC197" i="29"/>
  <c r="AB197" i="29"/>
  <c r="AA197" i="29"/>
  <c r="Z197" i="29"/>
  <c r="Y197" i="29"/>
  <c r="X197" i="29"/>
  <c r="W197" i="29"/>
  <c r="V197" i="29"/>
  <c r="U197" i="29"/>
  <c r="T197" i="29"/>
  <c r="S197" i="29"/>
  <c r="R197" i="29"/>
  <c r="Q197" i="29"/>
  <c r="P197" i="29"/>
  <c r="O197" i="29"/>
  <c r="N197" i="29"/>
  <c r="M197" i="29"/>
  <c r="L197" i="29"/>
  <c r="K197" i="29"/>
  <c r="J197" i="29"/>
  <c r="I197" i="29"/>
  <c r="AZ196" i="29"/>
  <c r="AY196" i="29"/>
  <c r="AX196" i="29"/>
  <c r="AW196" i="29"/>
  <c r="AV196" i="29"/>
  <c r="AU196" i="29"/>
  <c r="AT196" i="29"/>
  <c r="AS196" i="29"/>
  <c r="AR196" i="29"/>
  <c r="AQ196" i="29"/>
  <c r="AP196" i="29"/>
  <c r="AO196" i="29"/>
  <c r="AN196" i="29"/>
  <c r="AM196" i="29"/>
  <c r="AL196" i="29"/>
  <c r="AK196" i="29"/>
  <c r="AJ196" i="29"/>
  <c r="AI196" i="29"/>
  <c r="AH196" i="29"/>
  <c r="AG196" i="29"/>
  <c r="AF196" i="29"/>
  <c r="AE196" i="29"/>
  <c r="AD196" i="29"/>
  <c r="AC196" i="29"/>
  <c r="AB196" i="29"/>
  <c r="AA196" i="29"/>
  <c r="Z196" i="29"/>
  <c r="Y196" i="29"/>
  <c r="X196" i="29"/>
  <c r="W196" i="29"/>
  <c r="V196" i="29"/>
  <c r="U196" i="29"/>
  <c r="T196" i="29"/>
  <c r="S196" i="29"/>
  <c r="R196" i="29"/>
  <c r="Q196" i="29"/>
  <c r="P196" i="29"/>
  <c r="O196" i="29"/>
  <c r="N196" i="29"/>
  <c r="M196" i="29"/>
  <c r="L196" i="29"/>
  <c r="K196" i="29"/>
  <c r="J196" i="29"/>
  <c r="I196" i="29"/>
  <c r="AO195" i="29"/>
  <c r="AN195" i="29"/>
  <c r="AM195" i="29"/>
  <c r="AL195" i="29"/>
  <c r="AK195" i="29"/>
  <c r="AJ195" i="29"/>
  <c r="AI195" i="29"/>
  <c r="AH195" i="29"/>
  <c r="AE195" i="29"/>
  <c r="AD195" i="29"/>
  <c r="Y195" i="29"/>
  <c r="X195" i="29"/>
  <c r="W195" i="29"/>
  <c r="U195" i="29"/>
  <c r="T195" i="29"/>
  <c r="S195" i="29"/>
  <c r="Q195" i="29"/>
  <c r="P195" i="29"/>
  <c r="O195" i="29"/>
  <c r="N195" i="29"/>
  <c r="M195" i="29"/>
  <c r="L195" i="29"/>
  <c r="K195" i="29"/>
  <c r="J195" i="29"/>
  <c r="I195" i="29"/>
  <c r="AZ194" i="29"/>
  <c r="AY194" i="29"/>
  <c r="AX194" i="29"/>
  <c r="AW194" i="29"/>
  <c r="AV194" i="29"/>
  <c r="AU194" i="29"/>
  <c r="AT194" i="29"/>
  <c r="AS194" i="29"/>
  <c r="AR194" i="29"/>
  <c r="AQ194" i="29"/>
  <c r="AP194" i="29"/>
  <c r="AO194" i="29"/>
  <c r="AN194" i="29"/>
  <c r="AM194" i="29"/>
  <c r="AL194" i="29"/>
  <c r="AK194" i="29"/>
  <c r="AJ194" i="29"/>
  <c r="AI194" i="29"/>
  <c r="AH194" i="29"/>
  <c r="AG194" i="29"/>
  <c r="AF194" i="29"/>
  <c r="AE194" i="29"/>
  <c r="AD194" i="29"/>
  <c r="AC194" i="29"/>
  <c r="AB194" i="29"/>
  <c r="AA194" i="29"/>
  <c r="Z194" i="29"/>
  <c r="Y194" i="29"/>
  <c r="X194" i="29"/>
  <c r="W194" i="29"/>
  <c r="V194" i="29"/>
  <c r="U194" i="29"/>
  <c r="T194" i="29"/>
  <c r="S194" i="29"/>
  <c r="R194" i="29"/>
  <c r="Q194" i="29"/>
  <c r="P194" i="29"/>
  <c r="O194" i="29"/>
  <c r="N194" i="29"/>
  <c r="M194" i="29"/>
  <c r="L194" i="29"/>
  <c r="K194" i="29"/>
  <c r="J194" i="29"/>
  <c r="J191" i="29" s="1"/>
  <c r="I194" i="29"/>
  <c r="AN193" i="29"/>
  <c r="AM193" i="29"/>
  <c r="AL193" i="29"/>
  <c r="AK193" i="29"/>
  <c r="AJ193" i="29"/>
  <c r="AI193" i="29"/>
  <c r="AH193" i="29"/>
  <c r="AH191" i="29" s="1"/>
  <c r="AE193" i="29"/>
  <c r="AD193" i="29"/>
  <c r="Y193" i="29"/>
  <c r="X193" i="29"/>
  <c r="W193" i="29"/>
  <c r="U193" i="29"/>
  <c r="T193" i="29"/>
  <c r="S193" i="29"/>
  <c r="Q193" i="29"/>
  <c r="P193" i="29"/>
  <c r="O193" i="29"/>
  <c r="N193" i="29"/>
  <c r="M193" i="29"/>
  <c r="L193" i="29"/>
  <c r="K193" i="29"/>
  <c r="J193" i="29"/>
  <c r="I193" i="29"/>
  <c r="AN192" i="29"/>
  <c r="AM192" i="29"/>
  <c r="AM191" i="29" s="1"/>
  <c r="AL192" i="29"/>
  <c r="AK192" i="29"/>
  <c r="AJ192" i="29"/>
  <c r="AI192" i="29"/>
  <c r="AI191" i="29" s="1"/>
  <c r="AP190" i="29" s="1"/>
  <c r="AH192" i="29"/>
  <c r="AE192" i="29"/>
  <c r="AD192" i="29"/>
  <c r="AD191" i="29" s="1"/>
  <c r="AF190" i="29" s="1"/>
  <c r="Y192" i="29"/>
  <c r="Y191" i="29" s="1"/>
  <c r="X192" i="29"/>
  <c r="W192" i="29"/>
  <c r="U192" i="29"/>
  <c r="U191" i="29" s="1"/>
  <c r="T192" i="29"/>
  <c r="S192" i="29"/>
  <c r="Q192" i="29"/>
  <c r="P192" i="29"/>
  <c r="O192" i="29"/>
  <c r="O191" i="29" s="1"/>
  <c r="N192" i="29"/>
  <c r="M192" i="29"/>
  <c r="L192" i="29"/>
  <c r="K192" i="29"/>
  <c r="K191" i="29" s="1"/>
  <c r="J192" i="29"/>
  <c r="I192" i="29"/>
  <c r="AN191" i="29"/>
  <c r="AL191" i="29"/>
  <c r="AK191" i="29"/>
  <c r="AJ191" i="29"/>
  <c r="AE191" i="29"/>
  <c r="X191" i="29"/>
  <c r="W191" i="29"/>
  <c r="T191" i="29"/>
  <c r="S191" i="29"/>
  <c r="P191" i="29"/>
  <c r="N191" i="29"/>
  <c r="L191" i="29"/>
  <c r="Q188" i="29"/>
  <c r="P188" i="29"/>
  <c r="O189" i="29" s="1"/>
  <c r="O188" i="29"/>
  <c r="N188" i="29"/>
  <c r="M188" i="29"/>
  <c r="L188" i="29"/>
  <c r="I189" i="29" s="1"/>
  <c r="K188" i="29"/>
  <c r="J188" i="29"/>
  <c r="I188" i="29"/>
  <c r="AO187" i="29"/>
  <c r="AN187" i="29"/>
  <c r="AM187" i="29"/>
  <c r="AL187" i="29"/>
  <c r="AK187" i="29"/>
  <c r="AJ187" i="29"/>
  <c r="AI187" i="29"/>
  <c r="AH187" i="29"/>
  <c r="AE187" i="29"/>
  <c r="AD187" i="29"/>
  <c r="Y187" i="29"/>
  <c r="X187" i="29"/>
  <c r="W187" i="29"/>
  <c r="U187" i="29"/>
  <c r="T187" i="29"/>
  <c r="S187" i="29"/>
  <c r="AY186" i="29"/>
  <c r="AX186" i="29"/>
  <c r="AQ186" i="29"/>
  <c r="AP186" i="29"/>
  <c r="AZ186" i="29" s="1"/>
  <c r="AO186" i="29"/>
  <c r="AF186" i="29"/>
  <c r="AW186" i="29" s="1"/>
  <c r="Z186" i="29"/>
  <c r="AT186" i="29" s="1"/>
  <c r="V186" i="29"/>
  <c r="R186" i="29"/>
  <c r="AY185" i="29"/>
  <c r="AP185" i="29"/>
  <c r="AO185" i="29"/>
  <c r="AF185" i="29"/>
  <c r="AW185" i="29" s="1"/>
  <c r="AC185" i="29"/>
  <c r="AV185" i="29" s="1"/>
  <c r="AA185" i="29"/>
  <c r="Z185" i="29"/>
  <c r="AT185" i="29" s="1"/>
  <c r="V185" i="29"/>
  <c r="R185" i="29"/>
  <c r="AY184" i="29"/>
  <c r="AT184" i="29"/>
  <c r="AP184" i="29"/>
  <c r="AO184" i="29"/>
  <c r="AF184" i="29"/>
  <c r="AW184" i="29" s="1"/>
  <c r="Z184" i="29"/>
  <c r="V184" i="29"/>
  <c r="R184" i="29"/>
  <c r="AZ183" i="29"/>
  <c r="AY183" i="29"/>
  <c r="AQ183" i="29"/>
  <c r="AX183" i="29" s="1"/>
  <c r="AP183" i="29"/>
  <c r="AO183" i="29"/>
  <c r="AF183" i="29"/>
  <c r="AW183" i="29" s="1"/>
  <c r="AW187" i="29" s="1"/>
  <c r="Z183" i="29"/>
  <c r="AT183" i="29" s="1"/>
  <c r="V183" i="29"/>
  <c r="R183" i="29"/>
  <c r="AY182" i="29"/>
  <c r="AX182" i="29"/>
  <c r="AQ182" i="29"/>
  <c r="AP182" i="29"/>
  <c r="AZ182" i="29" s="1"/>
  <c r="AO182" i="29"/>
  <c r="AF182" i="29"/>
  <c r="AW182" i="29" s="1"/>
  <c r="Z182" i="29"/>
  <c r="AT182" i="29" s="1"/>
  <c r="V182" i="29"/>
  <c r="R182" i="29"/>
  <c r="AZ181" i="29"/>
  <c r="AY181" i="29"/>
  <c r="AY187" i="29" s="1"/>
  <c r="AP181" i="29"/>
  <c r="AO181" i="29"/>
  <c r="AF181" i="29"/>
  <c r="AW181" i="29" s="1"/>
  <c r="AC181" i="29"/>
  <c r="AV181" i="29" s="1"/>
  <c r="Z181" i="29"/>
  <c r="V181" i="29"/>
  <c r="R181" i="29"/>
  <c r="R187" i="29" s="1"/>
  <c r="AN180" i="29"/>
  <c r="AM180" i="29"/>
  <c r="AL180" i="29"/>
  <c r="AK180" i="29"/>
  <c r="AJ180" i="29"/>
  <c r="AI180" i="29"/>
  <c r="AH180" i="29"/>
  <c r="AE180" i="29"/>
  <c r="AD180" i="29"/>
  <c r="Y180" i="29"/>
  <c r="X180" i="29"/>
  <c r="W180" i="29"/>
  <c r="U180" i="29"/>
  <c r="T180" i="29"/>
  <c r="S180" i="29"/>
  <c r="AW179" i="29"/>
  <c r="AP179" i="29"/>
  <c r="AZ179" i="29" s="1"/>
  <c r="AO179" i="29"/>
  <c r="AF179" i="29"/>
  <c r="Z179" i="29"/>
  <c r="AT179" i="29" s="1"/>
  <c r="AT180" i="29" s="1"/>
  <c r="V179" i="29"/>
  <c r="R179" i="29"/>
  <c r="AW178" i="29"/>
  <c r="AP178" i="29"/>
  <c r="AO178" i="29"/>
  <c r="AY178" i="29" s="1"/>
  <c r="AF178" i="29"/>
  <c r="Z178" i="29"/>
  <c r="AT178" i="29" s="1"/>
  <c r="R178" i="29"/>
  <c r="V178" i="29" s="1"/>
  <c r="AY177" i="29"/>
  <c r="AW177" i="29"/>
  <c r="AT177" i="29"/>
  <c r="AP177" i="29"/>
  <c r="AO177" i="29"/>
  <c r="AF177" i="29"/>
  <c r="AC177" i="29"/>
  <c r="AV177" i="29" s="1"/>
  <c r="AB177" i="29"/>
  <c r="AU177" i="29" s="1"/>
  <c r="Z177" i="29"/>
  <c r="R177" i="29"/>
  <c r="V177" i="29" s="1"/>
  <c r="AY176" i="29"/>
  <c r="AS176" i="29"/>
  <c r="AP176" i="29"/>
  <c r="AO176" i="29"/>
  <c r="AF176" i="29"/>
  <c r="AW176" i="29" s="1"/>
  <c r="AB176" i="29"/>
  <c r="AU176" i="29" s="1"/>
  <c r="Z176" i="29"/>
  <c r="AT176" i="29" s="1"/>
  <c r="V176" i="29"/>
  <c r="R176" i="29"/>
  <c r="AY175" i="29"/>
  <c r="AX175" i="29"/>
  <c r="AT175" i="29"/>
  <c r="AQ175" i="29"/>
  <c r="AP175" i="29"/>
  <c r="AZ175" i="29" s="1"/>
  <c r="AO175" i="29"/>
  <c r="AF175" i="29"/>
  <c r="Z175" i="29"/>
  <c r="R175" i="29"/>
  <c r="AN174" i="29"/>
  <c r="AM174" i="29"/>
  <c r="AL174" i="29"/>
  <c r="AK174" i="29"/>
  <c r="AJ174" i="29"/>
  <c r="AI174" i="29"/>
  <c r="AH174" i="29"/>
  <c r="AE174" i="29"/>
  <c r="AD174" i="29"/>
  <c r="Z174" i="29"/>
  <c r="Y174" i="29"/>
  <c r="X174" i="29"/>
  <c r="W174" i="29"/>
  <c r="U174" i="29"/>
  <c r="T174" i="29"/>
  <c r="S174" i="29"/>
  <c r="AW173" i="29"/>
  <c r="AT173" i="29"/>
  <c r="AP173" i="29"/>
  <c r="AZ173" i="29" s="1"/>
  <c r="AO173" i="29"/>
  <c r="AF173" i="29"/>
  <c r="Z173" i="29"/>
  <c r="R173" i="29"/>
  <c r="R174" i="29" s="1"/>
  <c r="AW172" i="29"/>
  <c r="AW174" i="29" s="1"/>
  <c r="AT172" i="29"/>
  <c r="AT174" i="29" s="1"/>
  <c r="AP172" i="29"/>
  <c r="AP174" i="29" s="1"/>
  <c r="AO172" i="29"/>
  <c r="AF172" i="29"/>
  <c r="AF174" i="29" s="1"/>
  <c r="Z172" i="29"/>
  <c r="V172" i="29"/>
  <c r="R172" i="29"/>
  <c r="AP171" i="29"/>
  <c r="AN171" i="29"/>
  <c r="AM171" i="29"/>
  <c r="AL171" i="29"/>
  <c r="AK171" i="29"/>
  <c r="AJ171" i="29"/>
  <c r="AI171" i="29"/>
  <c r="AH171" i="29"/>
  <c r="AF171" i="29"/>
  <c r="AE171" i="29"/>
  <c r="AD171" i="29"/>
  <c r="Y171" i="29"/>
  <c r="X171" i="29"/>
  <c r="W171" i="29"/>
  <c r="U171" i="29"/>
  <c r="T171" i="29"/>
  <c r="S171" i="29"/>
  <c r="R171" i="29"/>
  <c r="AZ170" i="29"/>
  <c r="AQ170" i="29"/>
  <c r="AX170" i="29" s="1"/>
  <c r="AP170" i="29"/>
  <c r="AO170" i="29"/>
  <c r="AY170" i="29" s="1"/>
  <c r="AF170" i="29"/>
  <c r="AW170" i="29" s="1"/>
  <c r="Z170" i="29"/>
  <c r="AT170" i="29" s="1"/>
  <c r="R170" i="29"/>
  <c r="V170" i="29" s="1"/>
  <c r="AZ169" i="29"/>
  <c r="AU169" i="29"/>
  <c r="AQ169" i="29"/>
  <c r="AX169" i="29" s="1"/>
  <c r="AP169" i="29"/>
  <c r="AO169" i="29"/>
  <c r="AY169" i="29" s="1"/>
  <c r="AF169" i="29"/>
  <c r="AW169" i="29" s="1"/>
  <c r="AB169" i="29"/>
  <c r="Z169" i="29"/>
  <c r="AT169" i="29" s="1"/>
  <c r="R169" i="29"/>
  <c r="V169" i="29" s="1"/>
  <c r="AZ168" i="29"/>
  <c r="AQ168" i="29"/>
  <c r="AX168" i="29" s="1"/>
  <c r="AP168" i="29"/>
  <c r="AO168" i="29"/>
  <c r="AY168" i="29" s="1"/>
  <c r="AF168" i="29"/>
  <c r="AW168" i="29" s="1"/>
  <c r="AB168" i="29"/>
  <c r="AU168" i="29" s="1"/>
  <c r="Z168" i="29"/>
  <c r="AT168" i="29" s="1"/>
  <c r="R168" i="29"/>
  <c r="V168" i="29" s="1"/>
  <c r="AZ167" i="29"/>
  <c r="AW167" i="29"/>
  <c r="AQ167" i="29"/>
  <c r="AX167" i="29" s="1"/>
  <c r="AP167" i="29"/>
  <c r="AO167" i="29"/>
  <c r="AY167" i="29" s="1"/>
  <c r="AF167" i="29"/>
  <c r="Z167" i="29"/>
  <c r="AT167" i="29" s="1"/>
  <c r="R167" i="29"/>
  <c r="V167" i="29" s="1"/>
  <c r="AZ166" i="29"/>
  <c r="AQ166" i="29"/>
  <c r="AP166" i="29"/>
  <c r="AO166" i="29"/>
  <c r="AY166" i="29" s="1"/>
  <c r="AF166" i="29"/>
  <c r="Z166" i="29"/>
  <c r="R166" i="29"/>
  <c r="AZ165" i="29"/>
  <c r="AU165" i="29"/>
  <c r="AQ165" i="29"/>
  <c r="AP165" i="29"/>
  <c r="AO165" i="29"/>
  <c r="AO171" i="29" s="1"/>
  <c r="AF165" i="29"/>
  <c r="AW165" i="29" s="1"/>
  <c r="AB165" i="29"/>
  <c r="Z165" i="29"/>
  <c r="AT165" i="29" s="1"/>
  <c r="R165" i="29"/>
  <c r="V165" i="29" s="1"/>
  <c r="AO164" i="29"/>
  <c r="AN164" i="29"/>
  <c r="AM164" i="29"/>
  <c r="AL164" i="29"/>
  <c r="AK164" i="29"/>
  <c r="AJ164" i="29"/>
  <c r="AI164" i="29"/>
  <c r="AH164" i="29"/>
  <c r="AE164" i="29"/>
  <c r="AD164" i="29"/>
  <c r="Y164" i="29"/>
  <c r="X164" i="29"/>
  <c r="W164" i="29"/>
  <c r="U164" i="29"/>
  <c r="T164" i="29"/>
  <c r="S164" i="29"/>
  <c r="AY163" i="29"/>
  <c r="AX163" i="29"/>
  <c r="AQ163" i="29"/>
  <c r="AP163" i="29"/>
  <c r="AZ163" i="29" s="1"/>
  <c r="AO163" i="29"/>
  <c r="AF163" i="29"/>
  <c r="AW163" i="29" s="1"/>
  <c r="Z163" i="29"/>
  <c r="AT163" i="29" s="1"/>
  <c r="V163" i="29"/>
  <c r="R163" i="29"/>
  <c r="AY162" i="29"/>
  <c r="AP162" i="29"/>
  <c r="AO162" i="29"/>
  <c r="AF162" i="29"/>
  <c r="AW162" i="29" s="1"/>
  <c r="AC162" i="29"/>
  <c r="AV162" i="29" s="1"/>
  <c r="AA162" i="29"/>
  <c r="Z162" i="29"/>
  <c r="AT162" i="29" s="1"/>
  <c r="V162" i="29"/>
  <c r="R162" i="29"/>
  <c r="AZ161" i="29"/>
  <c r="AY161" i="29"/>
  <c r="AT161" i="29"/>
  <c r="AT164" i="29" s="1"/>
  <c r="AP161" i="29"/>
  <c r="AO161" i="29"/>
  <c r="AF161" i="29"/>
  <c r="Z161" i="29"/>
  <c r="V161" i="29"/>
  <c r="R161" i="29"/>
  <c r="R164" i="29" s="1"/>
  <c r="AP160" i="29"/>
  <c r="AN160" i="29"/>
  <c r="AM160" i="29"/>
  <c r="AL160" i="29"/>
  <c r="AK160" i="29"/>
  <c r="AJ160" i="29"/>
  <c r="AI160" i="29"/>
  <c r="AH160" i="29"/>
  <c r="AE160" i="29"/>
  <c r="AD160" i="29"/>
  <c r="Y160" i="29"/>
  <c r="X160" i="29"/>
  <c r="W160" i="29"/>
  <c r="U160" i="29"/>
  <c r="T160" i="29"/>
  <c r="S160" i="29"/>
  <c r="AY159" i="29"/>
  <c r="AT159" i="29"/>
  <c r="AS159" i="29"/>
  <c r="AQ159" i="29"/>
  <c r="AX159" i="29" s="1"/>
  <c r="AP159" i="29"/>
  <c r="AZ159" i="29" s="1"/>
  <c r="AO159" i="29"/>
  <c r="AF159" i="29"/>
  <c r="AW159" i="29" s="1"/>
  <c r="AC159" i="29"/>
  <c r="AV159" i="29" s="1"/>
  <c r="Z159" i="29"/>
  <c r="R159" i="29"/>
  <c r="V159" i="29" s="1"/>
  <c r="AX158" i="29"/>
  <c r="AQ158" i="29"/>
  <c r="AP158" i="29"/>
  <c r="AZ158" i="29" s="1"/>
  <c r="AO158" i="29"/>
  <c r="AY158" i="29" s="1"/>
  <c r="AF158" i="29"/>
  <c r="AW158" i="29" s="1"/>
  <c r="Z158" i="29"/>
  <c r="AT158" i="29" s="1"/>
  <c r="R158" i="29"/>
  <c r="V158" i="29" s="1"/>
  <c r="AW157" i="29"/>
  <c r="AP157" i="29"/>
  <c r="AZ157" i="29" s="1"/>
  <c r="AO157" i="29"/>
  <c r="AF157" i="29"/>
  <c r="Z157" i="29"/>
  <c r="AT157" i="29" s="1"/>
  <c r="R157" i="29"/>
  <c r="V157" i="29" s="1"/>
  <c r="AT156" i="29"/>
  <c r="AP156" i="29"/>
  <c r="AZ156" i="29" s="1"/>
  <c r="AZ160" i="29" s="1"/>
  <c r="AO156" i="29"/>
  <c r="AF156" i="29"/>
  <c r="AW156" i="29" s="1"/>
  <c r="Z156" i="29"/>
  <c r="V156" i="29"/>
  <c r="R156" i="29"/>
  <c r="R160" i="29" s="1"/>
  <c r="AN155" i="29"/>
  <c r="AM155" i="29"/>
  <c r="AL155" i="29"/>
  <c r="AK155" i="29"/>
  <c r="AJ155" i="29"/>
  <c r="AI155" i="29"/>
  <c r="AH155" i="29"/>
  <c r="AE155" i="29"/>
  <c r="AD155" i="29"/>
  <c r="Y155" i="29"/>
  <c r="X155" i="29"/>
  <c r="W155" i="29"/>
  <c r="U155" i="29"/>
  <c r="T155" i="29"/>
  <c r="S155" i="29"/>
  <c r="AZ154" i="29"/>
  <c r="AT154" i="29"/>
  <c r="AP154" i="29"/>
  <c r="AO154" i="29"/>
  <c r="AF154" i="29"/>
  <c r="AW154" i="29" s="1"/>
  <c r="Z154" i="29"/>
  <c r="V154" i="29"/>
  <c r="R154" i="29"/>
  <c r="AW153" i="29"/>
  <c r="AW155" i="29" s="1"/>
  <c r="AP153" i="29"/>
  <c r="AO153" i="29"/>
  <c r="AY153" i="29" s="1"/>
  <c r="AF153" i="29"/>
  <c r="AC153" i="29"/>
  <c r="AV153" i="29" s="1"/>
  <c r="AB153" i="29"/>
  <c r="AU153" i="29" s="1"/>
  <c r="Z153" i="29"/>
  <c r="AT153" i="29" s="1"/>
  <c r="R153" i="29"/>
  <c r="V153" i="29" s="1"/>
  <c r="AY152" i="29"/>
  <c r="AW152" i="29"/>
  <c r="AP152" i="29"/>
  <c r="AO152" i="29"/>
  <c r="AQ152" i="29" s="1"/>
  <c r="AF152" i="29"/>
  <c r="Z152" i="29"/>
  <c r="R152" i="29"/>
  <c r="V152" i="29" s="1"/>
  <c r="AN151" i="29"/>
  <c r="AM151" i="29"/>
  <c r="AL151" i="29"/>
  <c r="AK151" i="29"/>
  <c r="AJ151" i="29"/>
  <c r="AI151" i="29"/>
  <c r="AH151" i="29"/>
  <c r="AE151" i="29"/>
  <c r="AD151" i="29"/>
  <c r="Z151" i="29"/>
  <c r="Y151" i="29"/>
  <c r="X151" i="29"/>
  <c r="W151" i="29"/>
  <c r="U151" i="29"/>
  <c r="T151" i="29"/>
  <c r="S151" i="29"/>
  <c r="AW150" i="29"/>
  <c r="AV150" i="29"/>
  <c r="AT150" i="29"/>
  <c r="AP150" i="29"/>
  <c r="AZ150" i="29" s="1"/>
  <c r="AO150" i="29"/>
  <c r="AF150" i="29"/>
  <c r="AC150" i="29"/>
  <c r="AA150" i="29"/>
  <c r="Z150" i="29"/>
  <c r="V150" i="29"/>
  <c r="R150" i="29"/>
  <c r="AZ149" i="29"/>
  <c r="AW149" i="29"/>
  <c r="AT149" i="29"/>
  <c r="AP149" i="29"/>
  <c r="AO149" i="29"/>
  <c r="AF149" i="29"/>
  <c r="Z149" i="29"/>
  <c r="R149" i="29"/>
  <c r="V149" i="29" s="1"/>
  <c r="AW148" i="29"/>
  <c r="AT148" i="29"/>
  <c r="AP148" i="29"/>
  <c r="AZ148" i="29" s="1"/>
  <c r="AO148" i="29"/>
  <c r="AF148" i="29"/>
  <c r="AB148" i="29"/>
  <c r="AU148" i="29" s="1"/>
  <c r="Z148" i="29"/>
  <c r="R148" i="29"/>
  <c r="V148" i="29" s="1"/>
  <c r="AW147" i="29"/>
  <c r="AT147" i="29"/>
  <c r="AP147" i="29"/>
  <c r="AZ147" i="29" s="1"/>
  <c r="AO147" i="29"/>
  <c r="AF147" i="29"/>
  <c r="Z147" i="29"/>
  <c r="V147" i="29"/>
  <c r="R147" i="29"/>
  <c r="AW146" i="29"/>
  <c r="AT146" i="29"/>
  <c r="AP146" i="29"/>
  <c r="AO146" i="29"/>
  <c r="AF146" i="29"/>
  <c r="AC146" i="29"/>
  <c r="AV146" i="29" s="1"/>
  <c r="Z146" i="29"/>
  <c r="V146" i="29"/>
  <c r="R146" i="29"/>
  <c r="AZ145" i="29"/>
  <c r="AW145" i="29"/>
  <c r="AW151" i="29" s="1"/>
  <c r="AT145" i="29"/>
  <c r="AT151" i="29" s="1"/>
  <c r="AP145" i="29"/>
  <c r="AO145" i="29"/>
  <c r="AF145" i="29"/>
  <c r="AF151" i="29" s="1"/>
  <c r="AB145" i="29"/>
  <c r="AA145" i="29"/>
  <c r="AG145" i="29" s="1"/>
  <c r="Z145" i="29"/>
  <c r="R145" i="29"/>
  <c r="V145" i="29" s="1"/>
  <c r="AC145" i="29" s="1"/>
  <c r="AS144" i="29"/>
  <c r="AP144" i="29"/>
  <c r="AN144" i="29"/>
  <c r="AM144" i="29"/>
  <c r="AL144" i="29"/>
  <c r="AK144" i="29"/>
  <c r="AJ144" i="29"/>
  <c r="AI144" i="29"/>
  <c r="AH144" i="29"/>
  <c r="AF144" i="29"/>
  <c r="AE144" i="29"/>
  <c r="AD144" i="29"/>
  <c r="AC144" i="29"/>
  <c r="Y144" i="29"/>
  <c r="X144" i="29"/>
  <c r="W144" i="29"/>
  <c r="U144" i="29"/>
  <c r="T144" i="29"/>
  <c r="S144" i="29"/>
  <c r="AZ143" i="29"/>
  <c r="AW143" i="29"/>
  <c r="AS143" i="29"/>
  <c r="AP143" i="29"/>
  <c r="AO143" i="29"/>
  <c r="AF143" i="29"/>
  <c r="AB143" i="29"/>
  <c r="AU143" i="29" s="1"/>
  <c r="AA143" i="29"/>
  <c r="AG143" i="29" s="1"/>
  <c r="AR143" i="29" s="1"/>
  <c r="Z143" i="29"/>
  <c r="AT143" i="29" s="1"/>
  <c r="R143" i="29"/>
  <c r="V143" i="29" s="1"/>
  <c r="AC143" i="29" s="1"/>
  <c r="AV143" i="29" s="1"/>
  <c r="AZ142" i="29"/>
  <c r="AY142" i="29"/>
  <c r="AW142" i="29"/>
  <c r="AU142" i="29"/>
  <c r="AS142" i="29"/>
  <c r="AP142" i="29"/>
  <c r="AO142" i="29"/>
  <c r="AQ142" i="29" s="1"/>
  <c r="AX142" i="29" s="1"/>
  <c r="AF142" i="29"/>
  <c r="AB142" i="29"/>
  <c r="Z142" i="29"/>
  <c r="R142" i="29"/>
  <c r="V142" i="29" s="1"/>
  <c r="AC142" i="29" s="1"/>
  <c r="AV142" i="29" s="1"/>
  <c r="AZ141" i="29"/>
  <c r="AW141" i="29"/>
  <c r="AS141" i="29"/>
  <c r="AP141" i="29"/>
  <c r="AO141" i="29"/>
  <c r="AF141" i="29"/>
  <c r="AB141" i="29"/>
  <c r="AU141" i="29" s="1"/>
  <c r="AA141" i="29"/>
  <c r="AG141" i="29" s="1"/>
  <c r="AR141" i="29" s="1"/>
  <c r="Z141" i="29"/>
  <c r="AT141" i="29" s="1"/>
  <c r="R141" i="29"/>
  <c r="V141" i="29" s="1"/>
  <c r="AC141" i="29" s="1"/>
  <c r="AV141" i="29" s="1"/>
  <c r="AZ140" i="29"/>
  <c r="AY140" i="29"/>
  <c r="AW140" i="29"/>
  <c r="AU140" i="29"/>
  <c r="AS140" i="29"/>
  <c r="AP140" i="29"/>
  <c r="AO140" i="29"/>
  <c r="AQ140" i="29" s="1"/>
  <c r="AX140" i="29" s="1"/>
  <c r="AF140" i="29"/>
  <c r="AB140" i="29"/>
  <c r="Z140" i="29"/>
  <c r="R140" i="29"/>
  <c r="V140" i="29" s="1"/>
  <c r="AC140" i="29" s="1"/>
  <c r="AV140" i="29" s="1"/>
  <c r="AZ139" i="29"/>
  <c r="AW139" i="29"/>
  <c r="AS139" i="29"/>
  <c r="AP139" i="29"/>
  <c r="AO139" i="29"/>
  <c r="AF139" i="29"/>
  <c r="AB139" i="29"/>
  <c r="AU139" i="29" s="1"/>
  <c r="AA139" i="29"/>
  <c r="AG139" i="29" s="1"/>
  <c r="AR139" i="29" s="1"/>
  <c r="Z139" i="29"/>
  <c r="AT139" i="29" s="1"/>
  <c r="R139" i="29"/>
  <c r="V139" i="29" s="1"/>
  <c r="AC139" i="29" s="1"/>
  <c r="AV139" i="29" s="1"/>
  <c r="AZ138" i="29"/>
  <c r="AZ144" i="29" s="1"/>
  <c r="AY138" i="29"/>
  <c r="AW138" i="29"/>
  <c r="AU138" i="29"/>
  <c r="AS138" i="29"/>
  <c r="AP138" i="29"/>
  <c r="AO138" i="29"/>
  <c r="AQ138" i="29" s="1"/>
  <c r="AX138" i="29" s="1"/>
  <c r="AF138" i="29"/>
  <c r="AB138" i="29"/>
  <c r="Z138" i="29"/>
  <c r="R138" i="29"/>
  <c r="V138" i="29" s="1"/>
  <c r="AC138" i="29" s="1"/>
  <c r="AV138" i="29" s="1"/>
  <c r="AZ137" i="29"/>
  <c r="AW137" i="29"/>
  <c r="AS137" i="29"/>
  <c r="AP137" i="29"/>
  <c r="AO137" i="29"/>
  <c r="AF137" i="29"/>
  <c r="AB137" i="29"/>
  <c r="AB144" i="29" s="1"/>
  <c r="AA137" i="29"/>
  <c r="Z137" i="29"/>
  <c r="R137" i="29"/>
  <c r="V137" i="29" s="1"/>
  <c r="AC137" i="29" s="1"/>
  <c r="AV137" i="29" s="1"/>
  <c r="AO136" i="29"/>
  <c r="AN136" i="29"/>
  <c r="AM136" i="29"/>
  <c r="AL136" i="29"/>
  <c r="AK136" i="29"/>
  <c r="AJ136" i="29"/>
  <c r="AI136" i="29"/>
  <c r="AH136" i="29"/>
  <c r="AE136" i="29"/>
  <c r="AD136" i="29"/>
  <c r="AA136" i="29"/>
  <c r="Y136" i="29"/>
  <c r="X136" i="29"/>
  <c r="W136" i="29"/>
  <c r="U136" i="29"/>
  <c r="T136" i="29"/>
  <c r="S136" i="29"/>
  <c r="AY135" i="29"/>
  <c r="AY200" i="29" s="1"/>
  <c r="AV135" i="29"/>
  <c r="AT135" i="29"/>
  <c r="AP135" i="29"/>
  <c r="AQ135" i="29" s="1"/>
  <c r="AO135" i="29"/>
  <c r="AF135" i="29"/>
  <c r="AC135" i="29"/>
  <c r="AA135" i="29"/>
  <c r="Z135" i="29"/>
  <c r="V135" i="29"/>
  <c r="R135" i="29"/>
  <c r="R200" i="29" s="1"/>
  <c r="AN134" i="29"/>
  <c r="AM134" i="29"/>
  <c r="AL134" i="29"/>
  <c r="AK134" i="29"/>
  <c r="AJ134" i="29"/>
  <c r="AI134" i="29"/>
  <c r="AH134" i="29"/>
  <c r="AE134" i="29"/>
  <c r="AD134" i="29"/>
  <c r="Y134" i="29"/>
  <c r="X134" i="29"/>
  <c r="W134" i="29"/>
  <c r="U134" i="29"/>
  <c r="T134" i="29"/>
  <c r="S134" i="29"/>
  <c r="AW133" i="29"/>
  <c r="AP133" i="29"/>
  <c r="AZ133" i="29" s="1"/>
  <c r="AO133" i="29"/>
  <c r="AF133" i="29"/>
  <c r="Z133" i="29"/>
  <c r="AT133" i="29" s="1"/>
  <c r="V133" i="29"/>
  <c r="R133" i="29"/>
  <c r="AW132" i="29"/>
  <c r="AP132" i="29"/>
  <c r="AO132" i="29"/>
  <c r="AY132" i="29" s="1"/>
  <c r="AF132" i="29"/>
  <c r="Z132" i="29"/>
  <c r="AT132" i="29" s="1"/>
  <c r="R132" i="29"/>
  <c r="V132" i="29" s="1"/>
  <c r="AY131" i="29"/>
  <c r="AW131" i="29"/>
  <c r="AT131" i="29"/>
  <c r="AQ131" i="29"/>
  <c r="AX131" i="29" s="1"/>
  <c r="AP131" i="29"/>
  <c r="AZ131" i="29" s="1"/>
  <c r="AO131" i="29"/>
  <c r="AF131" i="29"/>
  <c r="AC131" i="29"/>
  <c r="AV131" i="29" s="1"/>
  <c r="AB131" i="29"/>
  <c r="AU131" i="29" s="1"/>
  <c r="Z131" i="29"/>
  <c r="R131" i="29"/>
  <c r="V131" i="29" s="1"/>
  <c r="AY130" i="29"/>
  <c r="AS130" i="29"/>
  <c r="AP130" i="29"/>
  <c r="AO130" i="29"/>
  <c r="AF130" i="29"/>
  <c r="AW130" i="29" s="1"/>
  <c r="AB130" i="29"/>
  <c r="AU130" i="29" s="1"/>
  <c r="Z130" i="29"/>
  <c r="AT130" i="29" s="1"/>
  <c r="V130" i="29"/>
  <c r="R130" i="29"/>
  <c r="AY129" i="29"/>
  <c r="AX129" i="29"/>
  <c r="AT129" i="29"/>
  <c r="AQ129" i="29"/>
  <c r="AP129" i="29"/>
  <c r="AZ129" i="29" s="1"/>
  <c r="AO129" i="29"/>
  <c r="AF129" i="29"/>
  <c r="Z129" i="29"/>
  <c r="R129" i="29"/>
  <c r="AN128" i="29"/>
  <c r="AM128" i="29"/>
  <c r="AL128" i="29"/>
  <c r="AK128" i="29"/>
  <c r="AJ128" i="29"/>
  <c r="AI128" i="29"/>
  <c r="AH128" i="29"/>
  <c r="AE128" i="29"/>
  <c r="AD128" i="29"/>
  <c r="Z128" i="29"/>
  <c r="Y128" i="29"/>
  <c r="X128" i="29"/>
  <c r="W128" i="29"/>
  <c r="U128" i="29"/>
  <c r="T128" i="29"/>
  <c r="S128" i="29"/>
  <c r="R128" i="29"/>
  <c r="AW127" i="29"/>
  <c r="AT127" i="29"/>
  <c r="AP127" i="29"/>
  <c r="AZ127" i="29" s="1"/>
  <c r="AO127" i="29"/>
  <c r="AF127" i="29"/>
  <c r="Z127" i="29"/>
  <c r="V127" i="29"/>
  <c r="R127" i="29"/>
  <c r="AW126" i="29"/>
  <c r="AT126" i="29"/>
  <c r="AP126" i="29"/>
  <c r="AZ126" i="29" s="1"/>
  <c r="AO126" i="29"/>
  <c r="AF126" i="29"/>
  <c r="Z126" i="29"/>
  <c r="V126" i="29"/>
  <c r="R126" i="29"/>
  <c r="AW125" i="29"/>
  <c r="AT125" i="29"/>
  <c r="AP125" i="29"/>
  <c r="AZ125" i="29" s="1"/>
  <c r="AO125" i="29"/>
  <c r="AF125" i="29"/>
  <c r="Z125" i="29"/>
  <c r="V125" i="29"/>
  <c r="R125" i="29"/>
  <c r="AZ124" i="29"/>
  <c r="AW124" i="29"/>
  <c r="AW128" i="29" s="1"/>
  <c r="AT124" i="29"/>
  <c r="AP124" i="29"/>
  <c r="AO124" i="29"/>
  <c r="AF124" i="29"/>
  <c r="AB124" i="29"/>
  <c r="AU124" i="29" s="1"/>
  <c r="AA124" i="29"/>
  <c r="Z124" i="29"/>
  <c r="R124" i="29"/>
  <c r="V124" i="29" s="1"/>
  <c r="AC124" i="29" s="1"/>
  <c r="AV124" i="29" s="1"/>
  <c r="AZ123" i="29"/>
  <c r="AZ128" i="29" s="1"/>
  <c r="AW123" i="29"/>
  <c r="AT123" i="29"/>
  <c r="AS123" i="29"/>
  <c r="AP123" i="29"/>
  <c r="AO123" i="29"/>
  <c r="AF123" i="29"/>
  <c r="AF128" i="29" s="1"/>
  <c r="Z123" i="29"/>
  <c r="R123" i="29"/>
  <c r="V123" i="29" s="1"/>
  <c r="V128" i="29" s="1"/>
  <c r="AZ122" i="29"/>
  <c r="AP122" i="29"/>
  <c r="AN122" i="29"/>
  <c r="AM122" i="29"/>
  <c r="AL122" i="29"/>
  <c r="AK122" i="29"/>
  <c r="AJ122" i="29"/>
  <c r="AI122" i="29"/>
  <c r="AH122" i="29"/>
  <c r="AE122" i="29"/>
  <c r="AD122" i="29"/>
  <c r="Y122" i="29"/>
  <c r="X122" i="29"/>
  <c r="W122" i="29"/>
  <c r="U122" i="29"/>
  <c r="T122" i="29"/>
  <c r="S122" i="29"/>
  <c r="AZ121" i="29"/>
  <c r="AY121" i="29"/>
  <c r="AV121" i="29"/>
  <c r="AQ121" i="29"/>
  <c r="AX121" i="29" s="1"/>
  <c r="AP121" i="29"/>
  <c r="AO121" i="29"/>
  <c r="AF121" i="29"/>
  <c r="AW121" i="29" s="1"/>
  <c r="AB121" i="29"/>
  <c r="AU121" i="29" s="1"/>
  <c r="AA121" i="29"/>
  <c r="AG121" i="29" s="1"/>
  <c r="AR121" i="29" s="1"/>
  <c r="Z121" i="29"/>
  <c r="AT121" i="29" s="1"/>
  <c r="R121" i="29"/>
  <c r="V121" i="29" s="1"/>
  <c r="AC121" i="29" s="1"/>
  <c r="AZ120" i="29"/>
  <c r="AY120" i="29"/>
  <c r="AQ120" i="29"/>
  <c r="AX120" i="29" s="1"/>
  <c r="AP120" i="29"/>
  <c r="AO120" i="29"/>
  <c r="AF120" i="29"/>
  <c r="AW120" i="29" s="1"/>
  <c r="Z120" i="29"/>
  <c r="AT120" i="29" s="1"/>
  <c r="R120" i="29"/>
  <c r="V120" i="29" s="1"/>
  <c r="AZ119" i="29"/>
  <c r="AP119" i="29"/>
  <c r="AO119" i="29"/>
  <c r="AF119" i="29"/>
  <c r="AW119" i="29" s="1"/>
  <c r="Z119" i="29"/>
  <c r="AT119" i="29" s="1"/>
  <c r="R119" i="29"/>
  <c r="V119" i="29" s="1"/>
  <c r="AZ118" i="29"/>
  <c r="AW118" i="29"/>
  <c r="AQ118" i="29"/>
  <c r="AX118" i="29" s="1"/>
  <c r="AP118" i="29"/>
  <c r="AO118" i="29"/>
  <c r="AY118" i="29" s="1"/>
  <c r="AF118" i="29"/>
  <c r="Z118" i="29"/>
  <c r="AT118" i="29" s="1"/>
  <c r="R118" i="29"/>
  <c r="V118" i="29" s="1"/>
  <c r="AZ117" i="29"/>
  <c r="AQ117" i="29"/>
  <c r="AP117" i="29"/>
  <c r="AO117" i="29"/>
  <c r="AO122" i="29" s="1"/>
  <c r="AF117" i="29"/>
  <c r="Z117" i="29"/>
  <c r="R117" i="29"/>
  <c r="AO116" i="29"/>
  <c r="AN116" i="29"/>
  <c r="AM116" i="29"/>
  <c r="AL116" i="29"/>
  <c r="AK116" i="29"/>
  <c r="AJ116" i="29"/>
  <c r="AI116" i="29"/>
  <c r="AH116" i="29"/>
  <c r="AE116" i="29"/>
  <c r="AD116" i="29"/>
  <c r="Y116" i="29"/>
  <c r="X116" i="29"/>
  <c r="W116" i="29"/>
  <c r="U116" i="29"/>
  <c r="T116" i="29"/>
  <c r="S116" i="29"/>
  <c r="AY115" i="29"/>
  <c r="AP115" i="29"/>
  <c r="AQ115" i="29" s="1"/>
  <c r="AX115" i="29" s="1"/>
  <c r="AO115" i="29"/>
  <c r="AF115" i="29"/>
  <c r="AW115" i="29" s="1"/>
  <c r="AC115" i="29"/>
  <c r="AV115" i="29" s="1"/>
  <c r="Z115" i="29"/>
  <c r="AA115" i="29" s="1"/>
  <c r="V115" i="29"/>
  <c r="R115" i="29"/>
  <c r="AY114" i="29"/>
  <c r="AT114" i="29"/>
  <c r="AP114" i="29"/>
  <c r="AQ114" i="29" s="1"/>
  <c r="AX114" i="29" s="1"/>
  <c r="AO114" i="29"/>
  <c r="AF114" i="29"/>
  <c r="AW114" i="29" s="1"/>
  <c r="AC114" i="29"/>
  <c r="AV114" i="29" s="1"/>
  <c r="AA114" i="29"/>
  <c r="Z114" i="29"/>
  <c r="V114" i="29"/>
  <c r="R114" i="29"/>
  <c r="AY113" i="29"/>
  <c r="AP113" i="29"/>
  <c r="AZ113" i="29" s="1"/>
  <c r="AO113" i="29"/>
  <c r="AF113" i="29"/>
  <c r="AW113" i="29" s="1"/>
  <c r="Z113" i="29"/>
  <c r="AT113" i="29" s="1"/>
  <c r="V113" i="29"/>
  <c r="R113" i="29"/>
  <c r="AY112" i="29"/>
  <c r="AX112" i="29"/>
  <c r="AQ112" i="29"/>
  <c r="AP112" i="29"/>
  <c r="AZ112" i="29" s="1"/>
  <c r="AO112" i="29"/>
  <c r="AF112" i="29"/>
  <c r="Z112" i="29"/>
  <c r="AT112" i="29" s="1"/>
  <c r="V112" i="29"/>
  <c r="R112" i="29"/>
  <c r="AY111" i="29"/>
  <c r="AP111" i="29"/>
  <c r="AO111" i="29"/>
  <c r="AF111" i="29"/>
  <c r="AW111" i="29" s="1"/>
  <c r="AC111" i="29"/>
  <c r="Z111" i="29"/>
  <c r="Z116" i="29" s="1"/>
  <c r="V111" i="29"/>
  <c r="R111" i="29"/>
  <c r="R116" i="29" s="1"/>
  <c r="AN110" i="29"/>
  <c r="AM110" i="29"/>
  <c r="AL110" i="29"/>
  <c r="AK110" i="29"/>
  <c r="AJ110" i="29"/>
  <c r="AI110" i="29"/>
  <c r="AH110" i="29"/>
  <c r="AE110" i="29"/>
  <c r="AD110" i="29"/>
  <c r="Y110" i="29"/>
  <c r="X110" i="29"/>
  <c r="W110" i="29"/>
  <c r="U110" i="29"/>
  <c r="T110" i="29"/>
  <c r="S110" i="29"/>
  <c r="AW109" i="29"/>
  <c r="AP109" i="29"/>
  <c r="AZ109" i="29" s="1"/>
  <c r="AO109" i="29"/>
  <c r="AY109" i="29" s="1"/>
  <c r="AF109" i="29"/>
  <c r="Z109" i="29"/>
  <c r="AT109" i="29" s="1"/>
  <c r="R109" i="29"/>
  <c r="V109" i="29" s="1"/>
  <c r="AW108" i="29"/>
  <c r="AT108" i="29"/>
  <c r="AP108" i="29"/>
  <c r="AZ108" i="29" s="1"/>
  <c r="AO108" i="29"/>
  <c r="AQ108" i="29" s="1"/>
  <c r="AX108" i="29" s="1"/>
  <c r="AF108" i="29"/>
  <c r="AB108" i="29"/>
  <c r="AU108" i="29" s="1"/>
  <c r="Z108" i="29"/>
  <c r="R108" i="29"/>
  <c r="V108" i="29" s="1"/>
  <c r="AP107" i="29"/>
  <c r="AZ107" i="29" s="1"/>
  <c r="AO107" i="29"/>
  <c r="AF107" i="29"/>
  <c r="AW107" i="29" s="1"/>
  <c r="Z107" i="29"/>
  <c r="AT107" i="29" s="1"/>
  <c r="V107" i="29"/>
  <c r="AS107" i="29" s="1"/>
  <c r="R107" i="29"/>
  <c r="AQ106" i="29"/>
  <c r="AX106" i="29" s="1"/>
  <c r="AP106" i="29"/>
  <c r="AZ106" i="29" s="1"/>
  <c r="AO106" i="29"/>
  <c r="AY106" i="29" s="1"/>
  <c r="AF106" i="29"/>
  <c r="AF110" i="29" s="1"/>
  <c r="Z106" i="29"/>
  <c r="AT106" i="29" s="1"/>
  <c r="R106" i="29"/>
  <c r="AW105" i="29"/>
  <c r="AP105" i="29"/>
  <c r="AZ105" i="29" s="1"/>
  <c r="AZ110" i="29" s="1"/>
  <c r="AO105" i="29"/>
  <c r="AF105" i="29"/>
  <c r="AC105" i="29"/>
  <c r="AB105" i="29"/>
  <c r="Z105" i="29"/>
  <c r="AT105" i="29" s="1"/>
  <c r="R105" i="29"/>
  <c r="V105" i="29" s="1"/>
  <c r="AT104" i="29"/>
  <c r="AO104" i="29"/>
  <c r="AN104" i="29"/>
  <c r="AM104" i="29"/>
  <c r="AL104" i="29"/>
  <c r="AK104" i="29"/>
  <c r="AJ104" i="29"/>
  <c r="AI104" i="29"/>
  <c r="AH104" i="29"/>
  <c r="AE104" i="29"/>
  <c r="AD104" i="29"/>
  <c r="Z104" i="29"/>
  <c r="Y104" i="29"/>
  <c r="X104" i="29"/>
  <c r="W104" i="29"/>
  <c r="U104" i="29"/>
  <c r="T104" i="29"/>
  <c r="S104" i="29"/>
  <c r="AZ103" i="29"/>
  <c r="AW103" i="29"/>
  <c r="AT103" i="29"/>
  <c r="AP103" i="29"/>
  <c r="AO103" i="29"/>
  <c r="AF103" i="29"/>
  <c r="AA103" i="29"/>
  <c r="Z103" i="29"/>
  <c r="R103" i="29"/>
  <c r="V103" i="29" s="1"/>
  <c r="AZ102" i="29"/>
  <c r="AW102" i="29"/>
  <c r="AT102" i="29"/>
  <c r="AP102" i="29"/>
  <c r="AO102" i="29"/>
  <c r="AF102" i="29"/>
  <c r="AB102" i="29"/>
  <c r="AU102" i="29" s="1"/>
  <c r="Z102" i="29"/>
  <c r="R102" i="29"/>
  <c r="V102" i="29" s="1"/>
  <c r="AC102" i="29" s="1"/>
  <c r="AV102" i="29" s="1"/>
  <c r="AZ101" i="29"/>
  <c r="AW101" i="29"/>
  <c r="AT101" i="29"/>
  <c r="AP101" i="29"/>
  <c r="AO101" i="29"/>
  <c r="AF101" i="29"/>
  <c r="Z101" i="29"/>
  <c r="R101" i="29"/>
  <c r="V101" i="29" s="1"/>
  <c r="AB101" i="29" s="1"/>
  <c r="AU101" i="29" s="1"/>
  <c r="AW100" i="29"/>
  <c r="AT100" i="29"/>
  <c r="AP100" i="29"/>
  <c r="AO100" i="29"/>
  <c r="AF100" i="29"/>
  <c r="AC100" i="29"/>
  <c r="AV100" i="29" s="1"/>
  <c r="Z100" i="29"/>
  <c r="V100" i="29"/>
  <c r="R100" i="29"/>
  <c r="AZ99" i="29"/>
  <c r="AW99" i="29"/>
  <c r="AT99" i="29"/>
  <c r="AP99" i="29"/>
  <c r="AO99" i="29"/>
  <c r="AF99" i="29"/>
  <c r="AF104" i="29" s="1"/>
  <c r="Z99" i="29"/>
  <c r="R99" i="29"/>
  <c r="R104" i="29" s="1"/>
  <c r="AZ98" i="29"/>
  <c r="AP98" i="29"/>
  <c r="AO98" i="29"/>
  <c r="AN98" i="29"/>
  <c r="AM98" i="29"/>
  <c r="AL98" i="29"/>
  <c r="AK98" i="29"/>
  <c r="AJ98" i="29"/>
  <c r="AI98" i="29"/>
  <c r="AH98" i="29"/>
  <c r="AE98" i="29"/>
  <c r="AD98" i="29"/>
  <c r="Y98" i="29"/>
  <c r="X98" i="29"/>
  <c r="W98" i="29"/>
  <c r="U98" i="29"/>
  <c r="T98" i="29"/>
  <c r="S98" i="29"/>
  <c r="AZ97" i="29"/>
  <c r="AY97" i="29"/>
  <c r="AQ97" i="29"/>
  <c r="AX97" i="29" s="1"/>
  <c r="AP97" i="29"/>
  <c r="AO97" i="29"/>
  <c r="AF97" i="29"/>
  <c r="AW97" i="29" s="1"/>
  <c r="Z97" i="29"/>
  <c r="R97" i="29"/>
  <c r="V97" i="29" s="1"/>
  <c r="AZ96" i="29"/>
  <c r="AY96" i="29"/>
  <c r="AQ96" i="29"/>
  <c r="AX96" i="29" s="1"/>
  <c r="AP96" i="29"/>
  <c r="AO96" i="29"/>
  <c r="AF96" i="29"/>
  <c r="AW96" i="29" s="1"/>
  <c r="AA96" i="29"/>
  <c r="Z96" i="29"/>
  <c r="AT96" i="29" s="1"/>
  <c r="R96" i="29"/>
  <c r="V96" i="29" s="1"/>
  <c r="AZ95" i="29"/>
  <c r="AY95" i="29"/>
  <c r="AQ95" i="29"/>
  <c r="AX95" i="29" s="1"/>
  <c r="AP95" i="29"/>
  <c r="AO95" i="29"/>
  <c r="AF95" i="29"/>
  <c r="AW95" i="29" s="1"/>
  <c r="Z95" i="29"/>
  <c r="AT95" i="29" s="1"/>
  <c r="R95" i="29"/>
  <c r="V95" i="29" s="1"/>
  <c r="AZ94" i="29"/>
  <c r="AY94" i="29"/>
  <c r="AQ94" i="29"/>
  <c r="AX94" i="29" s="1"/>
  <c r="AP94" i="29"/>
  <c r="AO94" i="29"/>
  <c r="AF94" i="29"/>
  <c r="AW94" i="29" s="1"/>
  <c r="Z94" i="29"/>
  <c r="AT94" i="29" s="1"/>
  <c r="R94" i="29"/>
  <c r="V94" i="29" s="1"/>
  <c r="AZ93" i="29"/>
  <c r="AY93" i="29"/>
  <c r="AQ93" i="29"/>
  <c r="AP93" i="29"/>
  <c r="AO93" i="29"/>
  <c r="AF93" i="29"/>
  <c r="AW93" i="29" s="1"/>
  <c r="Z93" i="29"/>
  <c r="R93" i="29"/>
  <c r="V93" i="29" s="1"/>
  <c r="AO92" i="29"/>
  <c r="AN92" i="29"/>
  <c r="AM92" i="29"/>
  <c r="AL92" i="29"/>
  <c r="AK92" i="29"/>
  <c r="AJ92" i="29"/>
  <c r="AI92" i="29"/>
  <c r="AH92" i="29"/>
  <c r="AE92" i="29"/>
  <c r="AD92" i="29"/>
  <c r="Y92" i="29"/>
  <c r="X92" i="29"/>
  <c r="W92" i="29"/>
  <c r="U92" i="29"/>
  <c r="T92" i="29"/>
  <c r="S92" i="29"/>
  <c r="AY91" i="29"/>
  <c r="AP91" i="29"/>
  <c r="AZ91" i="29" s="1"/>
  <c r="AO91" i="29"/>
  <c r="AF91" i="29"/>
  <c r="AW91" i="29" s="1"/>
  <c r="AC91" i="29"/>
  <c r="AV91" i="29" s="1"/>
  <c r="Z91" i="29"/>
  <c r="V91" i="29"/>
  <c r="R91" i="29"/>
  <c r="AY90" i="29"/>
  <c r="AT90" i="29"/>
  <c r="AP90" i="29"/>
  <c r="AQ90" i="29" s="1"/>
  <c r="AX90" i="29" s="1"/>
  <c r="AO90" i="29"/>
  <c r="AF90" i="29"/>
  <c r="AW90" i="29" s="1"/>
  <c r="AC90" i="29"/>
  <c r="AV90" i="29" s="1"/>
  <c r="AA90" i="29"/>
  <c r="Z90" i="29"/>
  <c r="V90" i="29"/>
  <c r="R90" i="29"/>
  <c r="AZ89" i="29"/>
  <c r="AY89" i="29"/>
  <c r="AP89" i="29"/>
  <c r="AQ89" i="29" s="1"/>
  <c r="AX89" i="29" s="1"/>
  <c r="AO89" i="29"/>
  <c r="AF89" i="29"/>
  <c r="AW89" i="29" s="1"/>
  <c r="AC89" i="29"/>
  <c r="AV89" i="29" s="1"/>
  <c r="Z89" i="29"/>
  <c r="AT89" i="29" s="1"/>
  <c r="V89" i="29"/>
  <c r="R89" i="29"/>
  <c r="AY88" i="29"/>
  <c r="AQ88" i="29"/>
  <c r="AX88" i="29" s="1"/>
  <c r="AP88" i="29"/>
  <c r="AZ88" i="29" s="1"/>
  <c r="AO88" i="29"/>
  <c r="AF88" i="29"/>
  <c r="AW88" i="29" s="1"/>
  <c r="Z88" i="29"/>
  <c r="AT88" i="29" s="1"/>
  <c r="V88" i="29"/>
  <c r="R88" i="29"/>
  <c r="AY87" i="29"/>
  <c r="AY92" i="29" s="1"/>
  <c r="AP87" i="29"/>
  <c r="AO87" i="29"/>
  <c r="AF87" i="29"/>
  <c r="AW87" i="29" s="1"/>
  <c r="AC87" i="29"/>
  <c r="Z87" i="29"/>
  <c r="V87" i="29"/>
  <c r="R87" i="29"/>
  <c r="R92" i="29" s="1"/>
  <c r="AN86" i="29"/>
  <c r="AM86" i="29"/>
  <c r="AL86" i="29"/>
  <c r="AK86" i="29"/>
  <c r="AJ86" i="29"/>
  <c r="AI86" i="29"/>
  <c r="AH86" i="29"/>
  <c r="AE86" i="29"/>
  <c r="AD86" i="29"/>
  <c r="Y86" i="29"/>
  <c r="X86" i="29"/>
  <c r="W86" i="29"/>
  <c r="U86" i="29"/>
  <c r="T86" i="29"/>
  <c r="S86" i="29"/>
  <c r="AW85" i="29"/>
  <c r="AP85" i="29"/>
  <c r="AO85" i="29"/>
  <c r="AY85" i="29" s="1"/>
  <c r="AF85" i="29"/>
  <c r="AB85" i="29"/>
  <c r="AU85" i="29" s="1"/>
  <c r="Z85" i="29"/>
  <c r="AT85" i="29" s="1"/>
  <c r="R85" i="29"/>
  <c r="V85" i="29" s="1"/>
  <c r="AW84" i="29"/>
  <c r="AP84" i="29"/>
  <c r="AO84" i="29"/>
  <c r="AF84" i="29"/>
  <c r="Z84" i="29"/>
  <c r="Z199" i="29" s="1"/>
  <c r="R84" i="29"/>
  <c r="AX83" i="29"/>
  <c r="AP83" i="29"/>
  <c r="AZ83" i="29" s="1"/>
  <c r="AO83" i="29"/>
  <c r="AQ83" i="29" s="1"/>
  <c r="AF83" i="29"/>
  <c r="AW83" i="29" s="1"/>
  <c r="Z83" i="29"/>
  <c r="AT83" i="29" s="1"/>
  <c r="V83" i="29"/>
  <c r="R83" i="29"/>
  <c r="AW82" i="29"/>
  <c r="AQ82" i="29"/>
  <c r="AX82" i="29" s="1"/>
  <c r="AP82" i="29"/>
  <c r="AZ82" i="29" s="1"/>
  <c r="AO82" i="29"/>
  <c r="AY82" i="29" s="1"/>
  <c r="AF82" i="29"/>
  <c r="AF86" i="29" s="1"/>
  <c r="AC82" i="29"/>
  <c r="AV82" i="29" s="1"/>
  <c r="Z82" i="29"/>
  <c r="AT82" i="29" s="1"/>
  <c r="R82" i="29"/>
  <c r="V82" i="29" s="1"/>
  <c r="AW81" i="29"/>
  <c r="AP81" i="29"/>
  <c r="AO81" i="29"/>
  <c r="AF81" i="29"/>
  <c r="Z81" i="29"/>
  <c r="R81" i="29"/>
  <c r="AT80" i="29"/>
  <c r="AN80" i="29"/>
  <c r="AM80" i="29"/>
  <c r="AL80" i="29"/>
  <c r="AK80" i="29"/>
  <c r="AJ80" i="29"/>
  <c r="AI80" i="29"/>
  <c r="AH80" i="29"/>
  <c r="AE80" i="29"/>
  <c r="AD80" i="29"/>
  <c r="Z80" i="29"/>
  <c r="Y80" i="29"/>
  <c r="X80" i="29"/>
  <c r="W80" i="29"/>
  <c r="U80" i="29"/>
  <c r="T80" i="29"/>
  <c r="S80" i="29"/>
  <c r="AZ79" i="29"/>
  <c r="AW79" i="29"/>
  <c r="AT79" i="29"/>
  <c r="AP79" i="29"/>
  <c r="AO79" i="29"/>
  <c r="AF79" i="29"/>
  <c r="Z79" i="29"/>
  <c r="R79" i="29"/>
  <c r="V79" i="29" s="1"/>
  <c r="AZ78" i="29"/>
  <c r="AW78" i="29"/>
  <c r="AT78" i="29"/>
  <c r="AS78" i="29"/>
  <c r="AP78" i="29"/>
  <c r="AO78" i="29"/>
  <c r="AF78" i="29"/>
  <c r="Z78" i="29"/>
  <c r="R78" i="29"/>
  <c r="V78" i="29" s="1"/>
  <c r="AZ77" i="29"/>
  <c r="AW77" i="29"/>
  <c r="AT77" i="29"/>
  <c r="AP77" i="29"/>
  <c r="AO77" i="29"/>
  <c r="AO80" i="29" s="1"/>
  <c r="AF77" i="29"/>
  <c r="Z77" i="29"/>
  <c r="R77" i="29"/>
  <c r="V77" i="29" s="1"/>
  <c r="AW76" i="29"/>
  <c r="AT76" i="29"/>
  <c r="AP76" i="29"/>
  <c r="AO76" i="29"/>
  <c r="AF76" i="29"/>
  <c r="AF80" i="29" s="1"/>
  <c r="AC76" i="29"/>
  <c r="Z76" i="29"/>
  <c r="V76" i="29"/>
  <c r="R76" i="29"/>
  <c r="AZ75" i="29"/>
  <c r="AP75" i="29"/>
  <c r="AN75" i="29"/>
  <c r="AM75" i="29"/>
  <c r="AL75" i="29"/>
  <c r="AK75" i="29"/>
  <c r="AJ75" i="29"/>
  <c r="AI75" i="29"/>
  <c r="AH75" i="29"/>
  <c r="AE75" i="29"/>
  <c r="AD75" i="29"/>
  <c r="Y75" i="29"/>
  <c r="X75" i="29"/>
  <c r="W75" i="29"/>
  <c r="U75" i="29"/>
  <c r="T75" i="29"/>
  <c r="S75" i="29"/>
  <c r="AZ74" i="29"/>
  <c r="AW74" i="29"/>
  <c r="AQ74" i="29"/>
  <c r="AX74" i="29" s="1"/>
  <c r="AP74" i="29"/>
  <c r="AO74" i="29"/>
  <c r="AY74" i="29" s="1"/>
  <c r="AF74" i="29"/>
  <c r="Z74" i="29"/>
  <c r="AT74" i="29" s="1"/>
  <c r="R74" i="29"/>
  <c r="V74" i="29" s="1"/>
  <c r="AZ73" i="29"/>
  <c r="AW73" i="29"/>
  <c r="AQ73" i="29"/>
  <c r="AX73" i="29" s="1"/>
  <c r="AP73" i="29"/>
  <c r="AO73" i="29"/>
  <c r="AY73" i="29" s="1"/>
  <c r="AF73" i="29"/>
  <c r="Z73" i="29"/>
  <c r="AT73" i="29" s="1"/>
  <c r="R73" i="29"/>
  <c r="V73" i="29" s="1"/>
  <c r="AZ72" i="29"/>
  <c r="AQ72" i="29"/>
  <c r="AP72" i="29"/>
  <c r="AO72" i="29"/>
  <c r="AO75" i="29" s="1"/>
  <c r="AF72" i="29"/>
  <c r="AF75" i="29" s="1"/>
  <c r="Z72" i="29"/>
  <c r="AT72" i="29" s="1"/>
  <c r="R72" i="29"/>
  <c r="V72" i="29" s="1"/>
  <c r="AO71" i="29"/>
  <c r="AN71" i="29"/>
  <c r="AM71" i="29"/>
  <c r="AL71" i="29"/>
  <c r="AK71" i="29"/>
  <c r="AJ71" i="29"/>
  <c r="AI71" i="29"/>
  <c r="AH71" i="29"/>
  <c r="AE71" i="29"/>
  <c r="AD71" i="29"/>
  <c r="Y71" i="29"/>
  <c r="X71" i="29"/>
  <c r="W71" i="29"/>
  <c r="U71" i="29"/>
  <c r="T71" i="29"/>
  <c r="S71" i="29"/>
  <c r="AY70" i="29"/>
  <c r="AP70" i="29"/>
  <c r="AQ70" i="29" s="1"/>
  <c r="AX70" i="29" s="1"/>
  <c r="AO70" i="29"/>
  <c r="AF70" i="29"/>
  <c r="AW70" i="29" s="1"/>
  <c r="AC70" i="29"/>
  <c r="AV70" i="29" s="1"/>
  <c r="Z70" i="29"/>
  <c r="AA70" i="29" s="1"/>
  <c r="V70" i="29"/>
  <c r="R70" i="29"/>
  <c r="AY69" i="29"/>
  <c r="AT69" i="29"/>
  <c r="AP69" i="29"/>
  <c r="AQ69" i="29" s="1"/>
  <c r="AX69" i="29" s="1"/>
  <c r="AO69" i="29"/>
  <c r="AF69" i="29"/>
  <c r="AW69" i="29" s="1"/>
  <c r="AC69" i="29"/>
  <c r="AV69" i="29" s="1"/>
  <c r="AA69" i="29"/>
  <c r="Z69" i="29"/>
  <c r="V69" i="29"/>
  <c r="R69" i="29"/>
  <c r="AY68" i="29"/>
  <c r="AP68" i="29"/>
  <c r="AP71" i="29" s="1"/>
  <c r="AO68" i="29"/>
  <c r="AF68" i="29"/>
  <c r="Z68" i="29"/>
  <c r="V68" i="29"/>
  <c r="R68" i="29"/>
  <c r="R71" i="29" s="1"/>
  <c r="AN67" i="29"/>
  <c r="AM67" i="29"/>
  <c r="AL67" i="29"/>
  <c r="AK67" i="29"/>
  <c r="AJ67" i="29"/>
  <c r="AI67" i="29"/>
  <c r="AH67" i="29"/>
  <c r="AE67" i="29"/>
  <c r="AD67" i="29"/>
  <c r="Y67" i="29"/>
  <c r="X67" i="29"/>
  <c r="W67" i="29"/>
  <c r="U67" i="29"/>
  <c r="T67" i="29"/>
  <c r="S67" i="29"/>
  <c r="AS66" i="29"/>
  <c r="AP66" i="29"/>
  <c r="AZ66" i="29" s="1"/>
  <c r="AO66" i="29"/>
  <c r="AQ66" i="29" s="1"/>
  <c r="AX66" i="29" s="1"/>
  <c r="AF66" i="29"/>
  <c r="AW66" i="29" s="1"/>
  <c r="Z66" i="29"/>
  <c r="AT66" i="29" s="1"/>
  <c r="V66" i="29"/>
  <c r="R66" i="29"/>
  <c r="AX65" i="29"/>
  <c r="AW65" i="29"/>
  <c r="AQ65" i="29"/>
  <c r="AP65" i="29"/>
  <c r="AZ65" i="29" s="1"/>
  <c r="AO65" i="29"/>
  <c r="AY65" i="29" s="1"/>
  <c r="AF65" i="29"/>
  <c r="Z65" i="29"/>
  <c r="V65" i="29"/>
  <c r="R65" i="29"/>
  <c r="AW64" i="29"/>
  <c r="AQ64" i="29"/>
  <c r="AX64" i="29" s="1"/>
  <c r="AX67" i="29" s="1"/>
  <c r="AP64" i="29"/>
  <c r="AO64" i="29"/>
  <c r="AF64" i="29"/>
  <c r="AF67" i="29" s="1"/>
  <c r="Z64" i="29"/>
  <c r="AT64" i="29" s="1"/>
  <c r="R64" i="29"/>
  <c r="AP63" i="29"/>
  <c r="AO63" i="29"/>
  <c r="AN63" i="29"/>
  <c r="AM63" i="29"/>
  <c r="AL63" i="29"/>
  <c r="AK63" i="29"/>
  <c r="AJ63" i="29"/>
  <c r="AI63" i="29"/>
  <c r="AH63" i="29"/>
  <c r="AE63" i="29"/>
  <c r="AD63" i="29"/>
  <c r="Z63" i="29"/>
  <c r="Y63" i="29"/>
  <c r="X63" i="29"/>
  <c r="W63" i="29"/>
  <c r="U63" i="29"/>
  <c r="T63" i="29"/>
  <c r="S63" i="29"/>
  <c r="AZ62" i="29"/>
  <c r="AW62" i="29"/>
  <c r="AT62" i="29"/>
  <c r="AP62" i="29"/>
  <c r="AO62" i="29"/>
  <c r="AF62" i="29"/>
  <c r="Z62" i="29"/>
  <c r="R62" i="29"/>
  <c r="V62" i="29" s="1"/>
  <c r="AZ61" i="29"/>
  <c r="AW61" i="29"/>
  <c r="AT61" i="29"/>
  <c r="AT63" i="29" s="1"/>
  <c r="AP61" i="29"/>
  <c r="AO61" i="29"/>
  <c r="AG61" i="29"/>
  <c r="AR61" i="29" s="1"/>
  <c r="AF61" i="29"/>
  <c r="AB61" i="29"/>
  <c r="AU61" i="29" s="1"/>
  <c r="AA61" i="29"/>
  <c r="Z61" i="29"/>
  <c r="R61" i="29"/>
  <c r="V61" i="29" s="1"/>
  <c r="AC61" i="29" s="1"/>
  <c r="AV61" i="29" s="1"/>
  <c r="AW60" i="29"/>
  <c r="AW63" i="29" s="1"/>
  <c r="AT60" i="29"/>
  <c r="AP60" i="29"/>
  <c r="AZ60" i="29" s="1"/>
  <c r="AZ63" i="29" s="1"/>
  <c r="AO60" i="29"/>
  <c r="AF60" i="29"/>
  <c r="AF63" i="29" s="1"/>
  <c r="Z60" i="29"/>
  <c r="V60" i="29"/>
  <c r="R60" i="29"/>
  <c r="R63" i="29" s="1"/>
  <c r="AP59" i="29"/>
  <c r="AN59" i="29"/>
  <c r="AM59" i="29"/>
  <c r="AL59" i="29"/>
  <c r="AK59" i="29"/>
  <c r="AJ59" i="29"/>
  <c r="AI59" i="29"/>
  <c r="AH59" i="29"/>
  <c r="AE59" i="29"/>
  <c r="AD59" i="29"/>
  <c r="Z59" i="29"/>
  <c r="Y59" i="29"/>
  <c r="X59" i="29"/>
  <c r="W59" i="29"/>
  <c r="U59" i="29"/>
  <c r="T59" i="29"/>
  <c r="S59" i="29"/>
  <c r="AZ58" i="29"/>
  <c r="AQ58" i="29"/>
  <c r="AX58" i="29" s="1"/>
  <c r="AP58" i="29"/>
  <c r="AO58" i="29"/>
  <c r="AY58" i="29" s="1"/>
  <c r="AF58" i="29"/>
  <c r="AW58" i="29" s="1"/>
  <c r="AB58" i="29"/>
  <c r="AU58" i="29" s="1"/>
  <c r="Z58" i="29"/>
  <c r="AT58" i="29" s="1"/>
  <c r="R58" i="29"/>
  <c r="V58" i="29" s="1"/>
  <c r="AZ57" i="29"/>
  <c r="AQ57" i="29"/>
  <c r="AX57" i="29" s="1"/>
  <c r="AP57" i="29"/>
  <c r="AO57" i="29"/>
  <c r="AY57" i="29" s="1"/>
  <c r="AF57" i="29"/>
  <c r="AW57" i="29" s="1"/>
  <c r="Z57" i="29"/>
  <c r="AT57" i="29" s="1"/>
  <c r="R57" i="29"/>
  <c r="V57" i="29" s="1"/>
  <c r="AZ56" i="29"/>
  <c r="AZ59" i="29" s="1"/>
  <c r="AQ56" i="29"/>
  <c r="AP56" i="29"/>
  <c r="AO56" i="29"/>
  <c r="AO59" i="29" s="1"/>
  <c r="AF56" i="29"/>
  <c r="AB56" i="29"/>
  <c r="Z56" i="29"/>
  <c r="AT56" i="29" s="1"/>
  <c r="AT59" i="29" s="1"/>
  <c r="R56" i="29"/>
  <c r="V56" i="29" s="1"/>
  <c r="AO55" i="29"/>
  <c r="AN55" i="29"/>
  <c r="AM55" i="29"/>
  <c r="AL55" i="29"/>
  <c r="AK55" i="29"/>
  <c r="AJ55" i="29"/>
  <c r="AI55" i="29"/>
  <c r="AH55" i="29"/>
  <c r="AE55" i="29"/>
  <c r="AD55" i="29"/>
  <c r="Y55" i="29"/>
  <c r="X55" i="29"/>
  <c r="W55" i="29"/>
  <c r="U55" i="29"/>
  <c r="T55" i="29"/>
  <c r="S55" i="29"/>
  <c r="AY54" i="29"/>
  <c r="AQ54" i="29"/>
  <c r="AX54" i="29" s="1"/>
  <c r="AP54" i="29"/>
  <c r="AZ54" i="29" s="1"/>
  <c r="AO54" i="29"/>
  <c r="AF54" i="29"/>
  <c r="AW54" i="29" s="1"/>
  <c r="AW55" i="29" s="1"/>
  <c r="Z54" i="29"/>
  <c r="AT54" i="29" s="1"/>
  <c r="V54" i="29"/>
  <c r="R54" i="29"/>
  <c r="AY53" i="29"/>
  <c r="AY55" i="29" s="1"/>
  <c r="AP53" i="29"/>
  <c r="AP55" i="29" s="1"/>
  <c r="AO53" i="29"/>
  <c r="AF53" i="29"/>
  <c r="AW53" i="29" s="1"/>
  <c r="AC53" i="29"/>
  <c r="AV53" i="29" s="1"/>
  <c r="Z53" i="29"/>
  <c r="Z55" i="29" s="1"/>
  <c r="V53" i="29"/>
  <c r="R53" i="29"/>
  <c r="R55" i="29" s="1"/>
  <c r="AN52" i="29"/>
  <c r="AM52" i="29"/>
  <c r="AL52" i="29"/>
  <c r="AK52" i="29"/>
  <c r="AJ52" i="29"/>
  <c r="AI52" i="29"/>
  <c r="AH52" i="29"/>
  <c r="AE52" i="29"/>
  <c r="AD52" i="29"/>
  <c r="Y52" i="29"/>
  <c r="X52" i="29"/>
  <c r="W52" i="29"/>
  <c r="U52" i="29"/>
  <c r="T52" i="29"/>
  <c r="S52" i="29"/>
  <c r="AW51" i="29"/>
  <c r="AQ51" i="29"/>
  <c r="AX51" i="29" s="1"/>
  <c r="AP51" i="29"/>
  <c r="AZ51" i="29" s="1"/>
  <c r="AO51" i="29"/>
  <c r="AY51" i="29" s="1"/>
  <c r="AF51" i="29"/>
  <c r="AC51" i="29"/>
  <c r="AV51" i="29" s="1"/>
  <c r="Z51" i="29"/>
  <c r="AT51" i="29" s="1"/>
  <c r="R51" i="29"/>
  <c r="V51" i="29" s="1"/>
  <c r="AY50" i="29"/>
  <c r="AW50" i="29"/>
  <c r="AP50" i="29"/>
  <c r="AZ50" i="29" s="1"/>
  <c r="AZ52" i="29" s="1"/>
  <c r="AO50" i="29"/>
  <c r="AF50" i="29"/>
  <c r="AB50" i="29"/>
  <c r="AU50" i="29" s="1"/>
  <c r="Z50" i="29"/>
  <c r="AT50" i="29" s="1"/>
  <c r="R50" i="29"/>
  <c r="V50" i="29" s="1"/>
  <c r="AT49" i="29"/>
  <c r="AP49" i="29"/>
  <c r="AZ49" i="29" s="1"/>
  <c r="AO49" i="29"/>
  <c r="AY49" i="29" s="1"/>
  <c r="AY52" i="29" s="1"/>
  <c r="AF49" i="29"/>
  <c r="AW49" i="29" s="1"/>
  <c r="AW52" i="29" s="1"/>
  <c r="Z49" i="29"/>
  <c r="Z52" i="29" s="1"/>
  <c r="V49" i="29"/>
  <c r="R49" i="29"/>
  <c r="AN48" i="29"/>
  <c r="AM48" i="29"/>
  <c r="AL48" i="29"/>
  <c r="AK48" i="29"/>
  <c r="AJ48" i="29"/>
  <c r="AI48" i="29"/>
  <c r="AH48" i="29"/>
  <c r="AE48" i="29"/>
  <c r="AD48" i="29"/>
  <c r="Z48" i="29"/>
  <c r="Y48" i="29"/>
  <c r="X48" i="29"/>
  <c r="W48" i="29"/>
  <c r="U48" i="29"/>
  <c r="T48" i="29"/>
  <c r="S48" i="29"/>
  <c r="AW47" i="29"/>
  <c r="AT47" i="29"/>
  <c r="AP47" i="29"/>
  <c r="AZ47" i="29" s="1"/>
  <c r="AO47" i="29"/>
  <c r="AF47" i="29"/>
  <c r="Z47" i="29"/>
  <c r="V47" i="29"/>
  <c r="AB47" i="29" s="1"/>
  <c r="AU47" i="29" s="1"/>
  <c r="R47" i="29"/>
  <c r="R48" i="29" s="1"/>
  <c r="AW46" i="29"/>
  <c r="AT46" i="29"/>
  <c r="AP46" i="29"/>
  <c r="AZ46" i="29" s="1"/>
  <c r="AO46" i="29"/>
  <c r="AF46" i="29"/>
  <c r="Z46" i="29"/>
  <c r="V46" i="29"/>
  <c r="R46" i="29"/>
  <c r="AZ45" i="29"/>
  <c r="AW45" i="29"/>
  <c r="AW48" i="29" s="1"/>
  <c r="AT45" i="29"/>
  <c r="AT48" i="29" s="1"/>
  <c r="AP45" i="29"/>
  <c r="AP48" i="29" s="1"/>
  <c r="AO45" i="29"/>
  <c r="AF45" i="29"/>
  <c r="AF48" i="29" s="1"/>
  <c r="AA45" i="29"/>
  <c r="Z45" i="29"/>
  <c r="R45" i="29"/>
  <c r="V45" i="29" s="1"/>
  <c r="AZ44" i="29"/>
  <c r="AP44" i="29"/>
  <c r="AN44" i="29"/>
  <c r="AM44" i="29"/>
  <c r="AL44" i="29"/>
  <c r="AK44" i="29"/>
  <c r="AJ44" i="29"/>
  <c r="AI44" i="29"/>
  <c r="AH44" i="29"/>
  <c r="AF44" i="29"/>
  <c r="AE44" i="29"/>
  <c r="AD44" i="29"/>
  <c r="AC44" i="29"/>
  <c r="AB44" i="29"/>
  <c r="Y44" i="29"/>
  <c r="X44" i="29"/>
  <c r="W44" i="29"/>
  <c r="U44" i="29"/>
  <c r="T44" i="29"/>
  <c r="S44" i="29"/>
  <c r="AZ43" i="29"/>
  <c r="AY43" i="29"/>
  <c r="AW43" i="29"/>
  <c r="AS43" i="29"/>
  <c r="AP43" i="29"/>
  <c r="AO43" i="29"/>
  <c r="AQ43" i="29" s="1"/>
  <c r="AX43" i="29" s="1"/>
  <c r="AF43" i="29"/>
  <c r="AB43" i="29"/>
  <c r="AU43" i="29" s="1"/>
  <c r="Z43" i="29"/>
  <c r="AT43" i="29" s="1"/>
  <c r="R43" i="29"/>
  <c r="V43" i="29" s="1"/>
  <c r="AC43" i="29" s="1"/>
  <c r="AV43" i="29" s="1"/>
  <c r="AZ42" i="29"/>
  <c r="AW42" i="29"/>
  <c r="AS42" i="29"/>
  <c r="AP42" i="29"/>
  <c r="AO42" i="29"/>
  <c r="AQ42" i="29" s="1"/>
  <c r="AX42" i="29" s="1"/>
  <c r="AF42" i="29"/>
  <c r="AB42" i="29"/>
  <c r="AU42" i="29" s="1"/>
  <c r="Z42" i="29"/>
  <c r="AT42" i="29" s="1"/>
  <c r="R42" i="29"/>
  <c r="V42" i="29" s="1"/>
  <c r="AC42" i="29" s="1"/>
  <c r="AV42" i="29" s="1"/>
  <c r="AZ41" i="29"/>
  <c r="AW41" i="29"/>
  <c r="AW44" i="29" s="1"/>
  <c r="AS41" i="29"/>
  <c r="AS44" i="29" s="1"/>
  <c r="AP41" i="29"/>
  <c r="AO41" i="29"/>
  <c r="AQ41" i="29" s="1"/>
  <c r="AF41" i="29"/>
  <c r="AB41" i="29"/>
  <c r="AU41" i="29" s="1"/>
  <c r="Z41" i="29"/>
  <c r="R41" i="29"/>
  <c r="V41" i="29" s="1"/>
  <c r="AC41" i="29" s="1"/>
  <c r="AV41" i="29" s="1"/>
  <c r="AO40" i="29"/>
  <c r="AN40" i="29"/>
  <c r="AM40" i="29"/>
  <c r="AL40" i="29"/>
  <c r="AK40" i="29"/>
  <c r="AJ40" i="29"/>
  <c r="AI40" i="29"/>
  <c r="AH40" i="29"/>
  <c r="AE40" i="29"/>
  <c r="AD40" i="29"/>
  <c r="Y40" i="29"/>
  <c r="X40" i="29"/>
  <c r="W40" i="29"/>
  <c r="U40" i="29"/>
  <c r="T40" i="29"/>
  <c r="S40" i="29"/>
  <c r="AY39" i="29"/>
  <c r="AY40" i="29" s="1"/>
  <c r="AT39" i="29"/>
  <c r="AP39" i="29"/>
  <c r="AQ39" i="29" s="1"/>
  <c r="AX39" i="29" s="1"/>
  <c r="AO39" i="29"/>
  <c r="AF39" i="29"/>
  <c r="AW39" i="29" s="1"/>
  <c r="AC39" i="29"/>
  <c r="AV39" i="29" s="1"/>
  <c r="AA39" i="29"/>
  <c r="Z39" i="29"/>
  <c r="V39" i="29"/>
  <c r="R39" i="29"/>
  <c r="AY38" i="29"/>
  <c r="AP38" i="29"/>
  <c r="AZ38" i="29" s="1"/>
  <c r="AO38" i="29"/>
  <c r="AF38" i="29"/>
  <c r="Z38" i="29"/>
  <c r="AT38" i="29" s="1"/>
  <c r="V38" i="29"/>
  <c r="R38" i="29"/>
  <c r="AY37" i="29"/>
  <c r="AX37" i="29"/>
  <c r="AQ37" i="29"/>
  <c r="AP37" i="29"/>
  <c r="AO37" i="29"/>
  <c r="AF37" i="29"/>
  <c r="AW37" i="29" s="1"/>
  <c r="Z37" i="29"/>
  <c r="V37" i="29"/>
  <c r="R37" i="29"/>
  <c r="R40" i="29" s="1"/>
  <c r="AN36" i="29"/>
  <c r="AM36" i="29"/>
  <c r="AL36" i="29"/>
  <c r="AK36" i="29"/>
  <c r="AJ36" i="29"/>
  <c r="AI36" i="29"/>
  <c r="AH36" i="29"/>
  <c r="AE36" i="29"/>
  <c r="AD36" i="29"/>
  <c r="Y36" i="29"/>
  <c r="X36" i="29"/>
  <c r="W36" i="29"/>
  <c r="U36" i="29"/>
  <c r="T36" i="29"/>
  <c r="S36" i="29"/>
  <c r="R36" i="29"/>
  <c r="AW35" i="29"/>
  <c r="AP35" i="29"/>
  <c r="AZ35" i="29" s="1"/>
  <c r="AO35" i="29"/>
  <c r="AF35" i="29"/>
  <c r="Z35" i="29"/>
  <c r="AT35" i="29" s="1"/>
  <c r="R35" i="29"/>
  <c r="V35" i="29" s="1"/>
  <c r="AS34" i="29"/>
  <c r="AP34" i="29"/>
  <c r="AZ34" i="29" s="1"/>
  <c r="AO34" i="29"/>
  <c r="AF34" i="29"/>
  <c r="Z34" i="29"/>
  <c r="V34" i="29"/>
  <c r="R34" i="29"/>
  <c r="AW33" i="29"/>
  <c r="AN33" i="29"/>
  <c r="AM33" i="29"/>
  <c r="AL33" i="29"/>
  <c r="AK33" i="29"/>
  <c r="AJ33" i="29"/>
  <c r="AI33" i="29"/>
  <c r="AH33" i="29"/>
  <c r="AE33" i="29"/>
  <c r="AD33" i="29"/>
  <c r="Z33" i="29"/>
  <c r="Y33" i="29"/>
  <c r="X33" i="29"/>
  <c r="W33" i="29"/>
  <c r="U33" i="29"/>
  <c r="T33" i="29"/>
  <c r="S33" i="29"/>
  <c r="AW32" i="29"/>
  <c r="AT32" i="29"/>
  <c r="AP32" i="29"/>
  <c r="AZ32" i="29" s="1"/>
  <c r="AO32" i="29"/>
  <c r="AF32" i="29"/>
  <c r="Z32" i="29"/>
  <c r="R32" i="29"/>
  <c r="V32" i="29" s="1"/>
  <c r="AW31" i="29"/>
  <c r="AT31" i="29"/>
  <c r="AP31" i="29"/>
  <c r="AZ31" i="29" s="1"/>
  <c r="AO31" i="29"/>
  <c r="AF31" i="29"/>
  <c r="AC31" i="29"/>
  <c r="AV31" i="29" s="1"/>
  <c r="Z31" i="29"/>
  <c r="V31" i="29"/>
  <c r="R31" i="29"/>
  <c r="AZ30" i="29"/>
  <c r="AW30" i="29"/>
  <c r="AT30" i="29"/>
  <c r="AP30" i="29"/>
  <c r="AP33" i="29" s="1"/>
  <c r="AO30" i="29"/>
  <c r="AF30" i="29"/>
  <c r="AF33" i="29" s="1"/>
  <c r="Z30" i="29"/>
  <c r="R30" i="29"/>
  <c r="V30" i="29" s="1"/>
  <c r="AZ29" i="29"/>
  <c r="AS29" i="29"/>
  <c r="AP29" i="29"/>
  <c r="AN29" i="29"/>
  <c r="AM29" i="29"/>
  <c r="AL29" i="29"/>
  <c r="AK29" i="29"/>
  <c r="AJ29" i="29"/>
  <c r="AI29" i="29"/>
  <c r="AH29" i="29"/>
  <c r="AF29" i="29"/>
  <c r="AE29" i="29"/>
  <c r="AD29" i="29"/>
  <c r="AC29" i="29"/>
  <c r="AB29" i="29"/>
  <c r="Y29" i="29"/>
  <c r="X29" i="29"/>
  <c r="W29" i="29"/>
  <c r="U29" i="29"/>
  <c r="T29" i="29"/>
  <c r="S29" i="29"/>
  <c r="AZ28" i="29"/>
  <c r="AW28" i="29"/>
  <c r="AS28" i="29"/>
  <c r="AP28" i="29"/>
  <c r="AO28" i="29"/>
  <c r="AF28" i="29"/>
  <c r="AB28" i="29"/>
  <c r="AU28" i="29" s="1"/>
  <c r="AA28" i="29"/>
  <c r="AG28" i="29" s="1"/>
  <c r="AR28" i="29" s="1"/>
  <c r="Z28" i="29"/>
  <c r="AT28" i="29" s="1"/>
  <c r="R28" i="29"/>
  <c r="V28" i="29" s="1"/>
  <c r="AC28" i="29" s="1"/>
  <c r="AV28" i="29" s="1"/>
  <c r="AZ27" i="29"/>
  <c r="AY27" i="29"/>
  <c r="AW27" i="29"/>
  <c r="AS27" i="29"/>
  <c r="AP27" i="29"/>
  <c r="AO27" i="29"/>
  <c r="AQ27" i="29" s="1"/>
  <c r="AF27" i="29"/>
  <c r="AB27" i="29"/>
  <c r="AU27" i="29" s="1"/>
  <c r="AU29" i="29" s="1"/>
  <c r="Z27" i="29"/>
  <c r="R27" i="29"/>
  <c r="V27" i="29" s="1"/>
  <c r="AC27" i="29" s="1"/>
  <c r="AV27" i="29" s="1"/>
  <c r="AV29" i="29" s="1"/>
  <c r="AO26" i="29"/>
  <c r="AN26" i="29"/>
  <c r="AM26" i="29"/>
  <c r="AL26" i="29"/>
  <c r="AK26" i="29"/>
  <c r="AJ26" i="29"/>
  <c r="AI26" i="29"/>
  <c r="AH26" i="29"/>
  <c r="AF26" i="29"/>
  <c r="AE26" i="29"/>
  <c r="AD26" i="29"/>
  <c r="Y26" i="29"/>
  <c r="X26" i="29"/>
  <c r="W26" i="29"/>
  <c r="U26" i="29"/>
  <c r="T26" i="29"/>
  <c r="S26" i="29"/>
  <c r="AY25" i="29"/>
  <c r="AY26" i="29" s="1"/>
  <c r="AT25" i="29"/>
  <c r="AP25" i="29"/>
  <c r="AQ25" i="29" s="1"/>
  <c r="AX25" i="29" s="1"/>
  <c r="AO25" i="29"/>
  <c r="AF25" i="29"/>
  <c r="AW25" i="29" s="1"/>
  <c r="AC25" i="29"/>
  <c r="AV25" i="29" s="1"/>
  <c r="AA25" i="29"/>
  <c r="Z25" i="29"/>
  <c r="V25" i="29"/>
  <c r="R25" i="29"/>
  <c r="AY24" i="29"/>
  <c r="AP24" i="29"/>
  <c r="AO24" i="29"/>
  <c r="AF24" i="29"/>
  <c r="AW24" i="29" s="1"/>
  <c r="AW26" i="29" s="1"/>
  <c r="AC24" i="29"/>
  <c r="AC26" i="29" s="1"/>
  <c r="Z24" i="29"/>
  <c r="Z26" i="29" s="1"/>
  <c r="V24" i="29"/>
  <c r="R24" i="29"/>
  <c r="R26" i="29" s="1"/>
  <c r="AN23" i="29"/>
  <c r="AM23" i="29"/>
  <c r="AL23" i="29"/>
  <c r="AK23" i="29"/>
  <c r="AJ23" i="29"/>
  <c r="AI23" i="29"/>
  <c r="AH23" i="29"/>
  <c r="AE23" i="29"/>
  <c r="AD23" i="29"/>
  <c r="Y23" i="29"/>
  <c r="X23" i="29"/>
  <c r="W23" i="29"/>
  <c r="U23" i="29"/>
  <c r="T23" i="29"/>
  <c r="S23" i="29"/>
  <c r="AP22" i="29"/>
  <c r="AZ22" i="29" s="1"/>
  <c r="AO22" i="29"/>
  <c r="AF22" i="29"/>
  <c r="AW22" i="29" s="1"/>
  <c r="Z22" i="29"/>
  <c r="AT22" i="29" s="1"/>
  <c r="V22" i="29"/>
  <c r="AS22" i="29" s="1"/>
  <c r="R22" i="29"/>
  <c r="AQ21" i="29"/>
  <c r="AX21" i="29" s="1"/>
  <c r="AP21" i="29"/>
  <c r="AZ21" i="29" s="1"/>
  <c r="AO21" i="29"/>
  <c r="AY21" i="29" s="1"/>
  <c r="AF21" i="29"/>
  <c r="AW21" i="29" s="1"/>
  <c r="Z21" i="29"/>
  <c r="R21" i="29"/>
  <c r="V21" i="29" s="1"/>
  <c r="AW20" i="29"/>
  <c r="AW23" i="29" s="1"/>
  <c r="AP20" i="29"/>
  <c r="AQ20" i="29" s="1"/>
  <c r="AO20" i="29"/>
  <c r="AF20" i="29"/>
  <c r="Z20" i="29"/>
  <c r="AT20" i="29" s="1"/>
  <c r="R20" i="29"/>
  <c r="AT19" i="29"/>
  <c r="AP19" i="29"/>
  <c r="AN19" i="29"/>
  <c r="AM19" i="29"/>
  <c r="AL19" i="29"/>
  <c r="AK19" i="29"/>
  <c r="AJ19" i="29"/>
  <c r="AI19" i="29"/>
  <c r="AH19" i="29"/>
  <c r="AE19" i="29"/>
  <c r="AD19" i="29"/>
  <c r="Z19" i="29"/>
  <c r="Y19" i="29"/>
  <c r="X19" i="29"/>
  <c r="W19" i="29"/>
  <c r="U19" i="29"/>
  <c r="T19" i="29"/>
  <c r="S19" i="29"/>
  <c r="AZ18" i="29"/>
  <c r="AW18" i="29"/>
  <c r="AT18" i="29"/>
  <c r="AP18" i="29"/>
  <c r="AO18" i="29"/>
  <c r="AF18" i="29"/>
  <c r="Z18" i="29"/>
  <c r="R18" i="29"/>
  <c r="V18" i="29" s="1"/>
  <c r="AZ17" i="29"/>
  <c r="AW17" i="29"/>
  <c r="AV17" i="29"/>
  <c r="AT17" i="29"/>
  <c r="AP17" i="29"/>
  <c r="AO17" i="29"/>
  <c r="AF17" i="29"/>
  <c r="AF19" i="29" s="1"/>
  <c r="AB17" i="29"/>
  <c r="AA17" i="29"/>
  <c r="Z17" i="29"/>
  <c r="R17" i="29"/>
  <c r="V17" i="29" s="1"/>
  <c r="AC17" i="29" s="1"/>
  <c r="AZ16" i="29"/>
  <c r="AP16" i="29"/>
  <c r="AO16" i="29"/>
  <c r="AN16" i="29"/>
  <c r="AM16" i="29"/>
  <c r="AL16" i="29"/>
  <c r="AK16" i="29"/>
  <c r="AJ16" i="29"/>
  <c r="AI16" i="29"/>
  <c r="AH16" i="29"/>
  <c r="AE16" i="29"/>
  <c r="AD16" i="29"/>
  <c r="Y16" i="29"/>
  <c r="X16" i="29"/>
  <c r="W16" i="29"/>
  <c r="U16" i="29"/>
  <c r="T16" i="29"/>
  <c r="S16" i="29"/>
  <c r="AZ15" i="29"/>
  <c r="AY15" i="29"/>
  <c r="AQ15" i="29"/>
  <c r="AP15" i="29"/>
  <c r="AO15" i="29"/>
  <c r="AF15" i="29"/>
  <c r="Z15" i="29"/>
  <c r="R15" i="29"/>
  <c r="AZ14" i="29"/>
  <c r="AY14" i="29"/>
  <c r="AQ14" i="29"/>
  <c r="AP14" i="29"/>
  <c r="AO14" i="29"/>
  <c r="AF14" i="29"/>
  <c r="Z14" i="29"/>
  <c r="R14" i="29"/>
  <c r="AY13" i="29"/>
  <c r="AO13" i="29"/>
  <c r="AN13" i="29"/>
  <c r="AM13" i="29"/>
  <c r="AL13" i="29"/>
  <c r="AK13" i="29"/>
  <c r="AJ13" i="29"/>
  <c r="AI13" i="29"/>
  <c r="AH13" i="29"/>
  <c r="AE13" i="29"/>
  <c r="AD13" i="29"/>
  <c r="Y13" i="29"/>
  <c r="X13" i="29"/>
  <c r="W13" i="29"/>
  <c r="W188" i="29" s="1"/>
  <c r="U13" i="29"/>
  <c r="T13" i="29"/>
  <c r="S13" i="29"/>
  <c r="AY12" i="29"/>
  <c r="AY201" i="29" s="1"/>
  <c r="AT12" i="29"/>
  <c r="AQ12" i="29"/>
  <c r="AP12" i="29"/>
  <c r="AO12" i="29"/>
  <c r="AO201" i="29" s="1"/>
  <c r="AF12" i="29"/>
  <c r="AC12" i="29"/>
  <c r="Z12" i="29"/>
  <c r="V12" i="29"/>
  <c r="R12" i="29"/>
  <c r="R201" i="29" s="1"/>
  <c r="AC13" i="32" l="1"/>
  <c r="AV12" i="32"/>
  <c r="AP312" i="32"/>
  <c r="AP13" i="32"/>
  <c r="AZ12" i="32"/>
  <c r="AY17" i="32"/>
  <c r="AC32" i="32"/>
  <c r="V34" i="32"/>
  <c r="AS32" i="32"/>
  <c r="AB32" i="32"/>
  <c r="AA32" i="32"/>
  <c r="AZ34" i="32"/>
  <c r="AQ38" i="32"/>
  <c r="AX35" i="32"/>
  <c r="AX38" i="32" s="1"/>
  <c r="AS40" i="32"/>
  <c r="AB40" i="32"/>
  <c r="AU40" i="32" s="1"/>
  <c r="AA40" i="32"/>
  <c r="AC40" i="32"/>
  <c r="AV40" i="32" s="1"/>
  <c r="AC47" i="32"/>
  <c r="AV47" i="32" s="1"/>
  <c r="AS47" i="32"/>
  <c r="AB47" i="32"/>
  <c r="AU47" i="32" s="1"/>
  <c r="AA47" i="32"/>
  <c r="AW57" i="32"/>
  <c r="AT312" i="32"/>
  <c r="AT13" i="32"/>
  <c r="AC15" i="32"/>
  <c r="AV15" i="32" s="1"/>
  <c r="AS15" i="32"/>
  <c r="AB15" i="32"/>
  <c r="AU15" i="32" s="1"/>
  <c r="AA15" i="32"/>
  <c r="AZ17" i="32"/>
  <c r="AQ22" i="32"/>
  <c r="AX18" i="32"/>
  <c r="AX22" i="32" s="1"/>
  <c r="AT27" i="32"/>
  <c r="AS26" i="32"/>
  <c r="AB26" i="32"/>
  <c r="AU26" i="32" s="1"/>
  <c r="AA26" i="32"/>
  <c r="AC26" i="32"/>
  <c r="AV26" i="32" s="1"/>
  <c r="AC44" i="32"/>
  <c r="AV43" i="32"/>
  <c r="AV44" i="32" s="1"/>
  <c r="AC50" i="32"/>
  <c r="AV50" i="32" s="1"/>
  <c r="AS50" i="32"/>
  <c r="AB50" i="32"/>
  <c r="AU50" i="32" s="1"/>
  <c r="AA50" i="32"/>
  <c r="AG50" i="32" s="1"/>
  <c r="AR50" i="32" s="1"/>
  <c r="AV52" i="32"/>
  <c r="AV57" i="32" s="1"/>
  <c r="AC57" i="32"/>
  <c r="AA67" i="32"/>
  <c r="AS67" i="32"/>
  <c r="AC67" i="32"/>
  <c r="AV67" i="32" s="1"/>
  <c r="AB67" i="32"/>
  <c r="AU67" i="32" s="1"/>
  <c r="AC77" i="32"/>
  <c r="Z303" i="32"/>
  <c r="AT14" i="32"/>
  <c r="Z17" i="32"/>
  <c r="AQ17" i="32"/>
  <c r="AX14" i="32"/>
  <c r="Z309" i="32"/>
  <c r="AT16" i="32"/>
  <c r="AT309" i="32" s="1"/>
  <c r="AX16" i="32"/>
  <c r="AG20" i="32"/>
  <c r="AR20" i="32" s="1"/>
  <c r="AS25" i="32"/>
  <c r="AB25" i="32"/>
  <c r="AU25" i="32" s="1"/>
  <c r="AA25" i="32"/>
  <c r="AC25" i="32"/>
  <c r="AV25" i="32" s="1"/>
  <c r="AC45" i="32"/>
  <c r="AS45" i="32"/>
  <c r="AB45" i="32"/>
  <c r="AA45" i="32"/>
  <c r="AX52" i="32"/>
  <c r="AC60" i="32"/>
  <c r="AV60" i="32" s="1"/>
  <c r="AB60" i="32"/>
  <c r="AU60" i="32" s="1"/>
  <c r="AS60" i="32"/>
  <c r="AA60" i="32"/>
  <c r="AB62" i="32"/>
  <c r="AU62" i="32" s="1"/>
  <c r="AS62" i="32"/>
  <c r="AA62" i="32"/>
  <c r="AG62" i="32" s="1"/>
  <c r="AR62" i="32" s="1"/>
  <c r="AC62" i="32"/>
  <c r="AV62" i="32" s="1"/>
  <c r="AA69" i="32"/>
  <c r="AC69" i="32"/>
  <c r="AV69" i="32" s="1"/>
  <c r="AB69" i="32"/>
  <c r="AU69" i="32" s="1"/>
  <c r="AS69" i="32"/>
  <c r="V312" i="32"/>
  <c r="V13" i="32"/>
  <c r="AS12" i="32"/>
  <c r="AB12" i="32"/>
  <c r="AA12" i="32"/>
  <c r="R300" i="32"/>
  <c r="AF303" i="32"/>
  <c r="AW14" i="32"/>
  <c r="AF309" i="32"/>
  <c r="AW16" i="32"/>
  <c r="AW309" i="32" s="1"/>
  <c r="AC22" i="32"/>
  <c r="AV18" i="32"/>
  <c r="AV22" i="32" s="1"/>
  <c r="AS24" i="32"/>
  <c r="AB24" i="32"/>
  <c r="AU24" i="32" s="1"/>
  <c r="AA24" i="32"/>
  <c r="AC24" i="32"/>
  <c r="AV24" i="32" s="1"/>
  <c r="AC31" i="32"/>
  <c r="AV28" i="32"/>
  <c r="AV31" i="32" s="1"/>
  <c r="AC33" i="32"/>
  <c r="AV33" i="32" s="1"/>
  <c r="AS33" i="32"/>
  <c r="AB33" i="32"/>
  <c r="AU33" i="32" s="1"/>
  <c r="AA33" i="32"/>
  <c r="AG33" i="32" s="1"/>
  <c r="AR33" i="32" s="1"/>
  <c r="AC38" i="32"/>
  <c r="AV35" i="32"/>
  <c r="AV38" i="32" s="1"/>
  <c r="AS41" i="32"/>
  <c r="AB41" i="32"/>
  <c r="AU41" i="32" s="1"/>
  <c r="AA41" i="32"/>
  <c r="AG41" i="32" s="1"/>
  <c r="AR41" i="32" s="1"/>
  <c r="AC41" i="32"/>
  <c r="AV41" i="32" s="1"/>
  <c r="AC48" i="32"/>
  <c r="AV48" i="32" s="1"/>
  <c r="AS48" i="32"/>
  <c r="AB48" i="32"/>
  <c r="AU48" i="32" s="1"/>
  <c r="AA48" i="32"/>
  <c r="AG48" i="32" s="1"/>
  <c r="AR48" i="32" s="1"/>
  <c r="AG79" i="32"/>
  <c r="AR79" i="32" s="1"/>
  <c r="AG83" i="32"/>
  <c r="AR83" i="32" s="1"/>
  <c r="AC86" i="32"/>
  <c r="AV86" i="32" s="1"/>
  <c r="AB86" i="32"/>
  <c r="AU86" i="32" s="1"/>
  <c r="AS86" i="32"/>
  <c r="AA86" i="32"/>
  <c r="AG86" i="32" s="1"/>
  <c r="AR86" i="32" s="1"/>
  <c r="AB88" i="32"/>
  <c r="AU88" i="32" s="1"/>
  <c r="AS88" i="32"/>
  <c r="AA88" i="32"/>
  <c r="AC88" i="32"/>
  <c r="AV88" i="32" s="1"/>
  <c r="AQ12" i="32"/>
  <c r="AY12" i="32"/>
  <c r="T299" i="32"/>
  <c r="X299" i="32"/>
  <c r="Z300" i="32" s="1"/>
  <c r="AF13" i="32"/>
  <c r="AJ299" i="32"/>
  <c r="AN299" i="32"/>
  <c r="AP300" i="32" s="1"/>
  <c r="AB18" i="32"/>
  <c r="AS18" i="32"/>
  <c r="AW18" i="32"/>
  <c r="AW22" i="32" s="1"/>
  <c r="AB19" i="32"/>
  <c r="AU19" i="32" s="1"/>
  <c r="AS19" i="32"/>
  <c r="AB20" i="32"/>
  <c r="AU20" i="32" s="1"/>
  <c r="AS20" i="32"/>
  <c r="AB21" i="32"/>
  <c r="AU21" i="32" s="1"/>
  <c r="AS21" i="32"/>
  <c r="V22" i="32"/>
  <c r="AP22" i="32"/>
  <c r="V23" i="32"/>
  <c r="AQ28" i="32"/>
  <c r="AQ29" i="32"/>
  <c r="AX29" i="32" s="1"/>
  <c r="AQ30" i="32"/>
  <c r="AX30" i="32" s="1"/>
  <c r="AB35" i="32"/>
  <c r="AS35" i="32"/>
  <c r="AS38" i="32" s="1"/>
  <c r="AW35" i="32"/>
  <c r="AW38" i="32" s="1"/>
  <c r="AB36" i="32"/>
  <c r="AU36" i="32" s="1"/>
  <c r="AS36" i="32"/>
  <c r="AB37" i="32"/>
  <c r="AU37" i="32" s="1"/>
  <c r="AS37" i="32"/>
  <c r="V38" i="32"/>
  <c r="AP38" i="32"/>
  <c r="V39" i="32"/>
  <c r="AQ43" i="32"/>
  <c r="AB52" i="32"/>
  <c r="AS52" i="32"/>
  <c r="AB53" i="32"/>
  <c r="AU53" i="32" s="1"/>
  <c r="AS53" i="32"/>
  <c r="AB54" i="32"/>
  <c r="AU54" i="32" s="1"/>
  <c r="AS54" i="32"/>
  <c r="AQ55" i="32"/>
  <c r="AX55" i="32" s="1"/>
  <c r="AX310" i="32" s="1"/>
  <c r="AQ56" i="32"/>
  <c r="AX56" i="32" s="1"/>
  <c r="V57" i="32"/>
  <c r="V58" i="32"/>
  <c r="AB59" i="32"/>
  <c r="AU59" i="32" s="1"/>
  <c r="AY59" i="32"/>
  <c r="AQ59" i="32"/>
  <c r="AX59" i="32" s="1"/>
  <c r="AB63" i="32"/>
  <c r="AU63" i="32" s="1"/>
  <c r="AY63" i="32"/>
  <c r="AQ63" i="32"/>
  <c r="AX63" i="32" s="1"/>
  <c r="V65" i="32"/>
  <c r="AX65" i="32"/>
  <c r="AC68" i="32"/>
  <c r="AV68" i="32" s="1"/>
  <c r="AQ68" i="32"/>
  <c r="AX68" i="32" s="1"/>
  <c r="V77" i="32"/>
  <c r="AS72" i="32"/>
  <c r="AB72" i="32"/>
  <c r="AQ72" i="32"/>
  <c r="AV72" i="32"/>
  <c r="AV77" i="32" s="1"/>
  <c r="AS76" i="32"/>
  <c r="AB76" i="32"/>
  <c r="AU76" i="32" s="1"/>
  <c r="AQ76" i="32"/>
  <c r="AX76" i="32" s="1"/>
  <c r="AB78" i="32"/>
  <c r="AB79" i="32"/>
  <c r="AU79" i="32" s="1"/>
  <c r="AB80" i="32"/>
  <c r="AU80" i="32" s="1"/>
  <c r="AB81" i="32"/>
  <c r="AU81" i="32" s="1"/>
  <c r="AB82" i="32"/>
  <c r="AU82" i="32" s="1"/>
  <c r="AB83" i="32"/>
  <c r="AU83" i="32" s="1"/>
  <c r="AB85" i="32"/>
  <c r="AO90" i="32"/>
  <c r="AY85" i="32"/>
  <c r="AQ85" i="32"/>
  <c r="AZ85" i="32"/>
  <c r="AZ90" i="32" s="1"/>
  <c r="V96" i="32"/>
  <c r="AS91" i="32"/>
  <c r="AB91" i="32"/>
  <c r="AA91" i="32"/>
  <c r="AS93" i="32"/>
  <c r="AB93" i="32"/>
  <c r="AU93" i="32" s="1"/>
  <c r="AA93" i="32"/>
  <c r="AS95" i="32"/>
  <c r="AB95" i="32"/>
  <c r="AU95" i="32" s="1"/>
  <c r="AA95" i="32"/>
  <c r="AG95" i="32" s="1"/>
  <c r="AR95" i="32" s="1"/>
  <c r="AC120" i="32"/>
  <c r="V123" i="32"/>
  <c r="AS120" i="32"/>
  <c r="AB120" i="32"/>
  <c r="AA120" i="32"/>
  <c r="AS131" i="32"/>
  <c r="AB131" i="32"/>
  <c r="AU131" i="32" s="1"/>
  <c r="AA131" i="32"/>
  <c r="AG131" i="32" s="1"/>
  <c r="AR131" i="32" s="1"/>
  <c r="AC131" i="32"/>
  <c r="AV131" i="32" s="1"/>
  <c r="AS133" i="32"/>
  <c r="AB133" i="32"/>
  <c r="AU133" i="32" s="1"/>
  <c r="AA133" i="32"/>
  <c r="AG133" i="32" s="1"/>
  <c r="AR133" i="32" s="1"/>
  <c r="AC133" i="32"/>
  <c r="AV133" i="32" s="1"/>
  <c r="AS135" i="32"/>
  <c r="AB135" i="32"/>
  <c r="AU135" i="32" s="1"/>
  <c r="AA135" i="32"/>
  <c r="AG135" i="32" s="1"/>
  <c r="AR135" i="32" s="1"/>
  <c r="AC135" i="32"/>
  <c r="AV135" i="32" s="1"/>
  <c r="AV149" i="32"/>
  <c r="U299" i="32"/>
  <c r="Y299" i="32"/>
  <c r="AK299" i="32"/>
  <c r="R303" i="32"/>
  <c r="AO303" i="32"/>
  <c r="R309" i="32"/>
  <c r="AO309" i="32"/>
  <c r="R17" i="32"/>
  <c r="AQ23" i="32"/>
  <c r="AY23" i="32"/>
  <c r="AY27" i="32" s="1"/>
  <c r="AQ24" i="32"/>
  <c r="AX24" i="32" s="1"/>
  <c r="AQ25" i="32"/>
  <c r="AX25" i="32" s="1"/>
  <c r="AQ26" i="32"/>
  <c r="AX26" i="32" s="1"/>
  <c r="AA28" i="32"/>
  <c r="AZ28" i="32"/>
  <c r="AZ31" i="32" s="1"/>
  <c r="AA29" i="32"/>
  <c r="AA30" i="32"/>
  <c r="AW32" i="32"/>
  <c r="AW34" i="32" s="1"/>
  <c r="R34" i="32"/>
  <c r="Z34" i="32"/>
  <c r="AA38" i="32"/>
  <c r="AQ39" i="32"/>
  <c r="AY39" i="32"/>
  <c r="AY42" i="32" s="1"/>
  <c r="AQ40" i="32"/>
  <c r="AX40" i="32" s="1"/>
  <c r="AQ41" i="32"/>
  <c r="AX41" i="32" s="1"/>
  <c r="AA43" i="32"/>
  <c r="AZ43" i="32"/>
  <c r="AZ44" i="32" s="1"/>
  <c r="AW45" i="32"/>
  <c r="AW51" i="32" s="1"/>
  <c r="R304" i="32"/>
  <c r="AO304" i="32"/>
  <c r="AW46" i="32"/>
  <c r="R310" i="32"/>
  <c r="AO310" i="32"/>
  <c r="AW49" i="32"/>
  <c r="AW310" i="32" s="1"/>
  <c r="R51" i="32"/>
  <c r="Z51" i="32"/>
  <c r="AY60" i="32"/>
  <c r="AY309" i="32" s="1"/>
  <c r="AQ60" i="32"/>
  <c r="AX60" i="32" s="1"/>
  <c r="AA61" i="32"/>
  <c r="AS61" i="32"/>
  <c r="AO71" i="32"/>
  <c r="AO299" i="32" s="1"/>
  <c r="AT65" i="32"/>
  <c r="AT71" i="32" s="1"/>
  <c r="AY65" i="32"/>
  <c r="AY71" i="32" s="1"/>
  <c r="AB66" i="32"/>
  <c r="AU66" i="32" s="1"/>
  <c r="AQ67" i="32"/>
  <c r="AX67" i="32" s="1"/>
  <c r="AG68" i="32"/>
  <c r="AR68" i="32" s="1"/>
  <c r="AS68" i="32"/>
  <c r="AB70" i="32"/>
  <c r="AU70" i="32" s="1"/>
  <c r="Z77" i="32"/>
  <c r="AS73" i="32"/>
  <c r="AB73" i="32"/>
  <c r="AU73" i="32" s="1"/>
  <c r="AZ74" i="32"/>
  <c r="AA75" i="32"/>
  <c r="AQ78" i="32"/>
  <c r="AQ79" i="32"/>
  <c r="AX79" i="32" s="1"/>
  <c r="AQ80" i="32"/>
  <c r="AX80" i="32" s="1"/>
  <c r="AQ81" i="32"/>
  <c r="AX81" i="32" s="1"/>
  <c r="AQ82" i="32"/>
  <c r="AX82" i="32" s="1"/>
  <c r="AQ83" i="32"/>
  <c r="AX83" i="32" s="1"/>
  <c r="R84" i="32"/>
  <c r="V84" i="32"/>
  <c r="AC85" i="32"/>
  <c r="AY86" i="32"/>
  <c r="AQ86" i="32"/>
  <c r="AX86" i="32" s="1"/>
  <c r="AA87" i="32"/>
  <c r="AS87" i="32"/>
  <c r="AA89" i="32"/>
  <c r="AC89" i="32"/>
  <c r="AV89" i="32" s="1"/>
  <c r="AY89" i="32"/>
  <c r="AQ89" i="32"/>
  <c r="AX89" i="32" s="1"/>
  <c r="AP96" i="32"/>
  <c r="AZ91" i="32"/>
  <c r="AZ96" i="32" s="1"/>
  <c r="AV97" i="32"/>
  <c r="AT123" i="32"/>
  <c r="R13" i="32"/>
  <c r="Z13" i="32"/>
  <c r="AD299" i="32"/>
  <c r="AF300" i="32" s="1"/>
  <c r="AH299" i="32"/>
  <c r="AO300" i="32" s="1"/>
  <c r="AL299" i="32"/>
  <c r="V14" i="32"/>
  <c r="AP303" i="32"/>
  <c r="V16" i="32"/>
  <c r="AP309" i="32"/>
  <c r="AB28" i="32"/>
  <c r="AS28" i="32"/>
  <c r="AB29" i="32"/>
  <c r="AU29" i="32" s="1"/>
  <c r="AS29" i="32"/>
  <c r="AB30" i="32"/>
  <c r="AU30" i="32" s="1"/>
  <c r="AS30" i="32"/>
  <c r="V31" i="32"/>
  <c r="AX32" i="32"/>
  <c r="AX34" i="32" s="1"/>
  <c r="AB43" i="32"/>
  <c r="AS43" i="32"/>
  <c r="AS44" i="32" s="1"/>
  <c r="V44" i="32"/>
  <c r="AX45" i="32"/>
  <c r="AX51" i="32" s="1"/>
  <c r="V46" i="32"/>
  <c r="V51" i="32" s="1"/>
  <c r="AP304" i="32"/>
  <c r="AT46" i="32"/>
  <c r="V49" i="32"/>
  <c r="AP310" i="32"/>
  <c r="AT49" i="32"/>
  <c r="AT310" i="32" s="1"/>
  <c r="AY57" i="32"/>
  <c r="AA55" i="32"/>
  <c r="AG55" i="32" s="1"/>
  <c r="AR55" i="32" s="1"/>
  <c r="AA56" i="32"/>
  <c r="AG56" i="32" s="1"/>
  <c r="AR56" i="32" s="1"/>
  <c r="AB61" i="32"/>
  <c r="AU61" i="32" s="1"/>
  <c r="AY61" i="32"/>
  <c r="AQ61" i="32"/>
  <c r="AX61" i="32" s="1"/>
  <c r="AZ61" i="32"/>
  <c r="AZ64" i="32" s="1"/>
  <c r="AC66" i="32"/>
  <c r="AV66" i="32" s="1"/>
  <c r="AQ66" i="32"/>
  <c r="AX66" i="32" s="1"/>
  <c r="AC70" i="32"/>
  <c r="AV70" i="32" s="1"/>
  <c r="AQ70" i="32"/>
  <c r="AX70" i="32" s="1"/>
  <c r="AP71" i="32"/>
  <c r="AA72" i="32"/>
  <c r="AT72" i="32"/>
  <c r="AT77" i="32" s="1"/>
  <c r="AS74" i="32"/>
  <c r="AB74" i="32"/>
  <c r="AU74" i="32" s="1"/>
  <c r="AA76" i="32"/>
  <c r="AG76" i="32" s="1"/>
  <c r="AR76" i="32" s="1"/>
  <c r="AG78" i="32"/>
  <c r="AW78" i="32"/>
  <c r="AW84" i="32" s="1"/>
  <c r="AW90" i="32"/>
  <c r="AB87" i="32"/>
  <c r="AU87" i="32" s="1"/>
  <c r="AY87" i="32"/>
  <c r="AQ87" i="32"/>
  <c r="AX87" i="32" s="1"/>
  <c r="AC96" i="32"/>
  <c r="AV91" i="32"/>
  <c r="AV96" i="32" s="1"/>
  <c r="AS92" i="32"/>
  <c r="AB92" i="32"/>
  <c r="AU92" i="32" s="1"/>
  <c r="AA92" i="32"/>
  <c r="AG92" i="32" s="1"/>
  <c r="AR92" i="32" s="1"/>
  <c r="AS94" i="32"/>
  <c r="AB94" i="32"/>
  <c r="AU94" i="32" s="1"/>
  <c r="AA94" i="32"/>
  <c r="AG94" i="32" s="1"/>
  <c r="AR94" i="32" s="1"/>
  <c r="AT97" i="32"/>
  <c r="Z106" i="32"/>
  <c r="AQ106" i="32"/>
  <c r="AX97" i="32"/>
  <c r="AC122" i="32"/>
  <c r="AV122" i="32" s="1"/>
  <c r="AS122" i="32"/>
  <c r="AB122" i="32"/>
  <c r="AU122" i="32" s="1"/>
  <c r="AA122" i="32"/>
  <c r="AS132" i="32"/>
  <c r="AB132" i="32"/>
  <c r="AU132" i="32" s="1"/>
  <c r="AA132" i="32"/>
  <c r="AC132" i="32"/>
  <c r="AV132" i="32" s="1"/>
  <c r="AS134" i="32"/>
  <c r="AB134" i="32"/>
  <c r="AU134" i="32" s="1"/>
  <c r="AA134" i="32"/>
  <c r="AC134" i="32"/>
  <c r="AV134" i="32" s="1"/>
  <c r="AY310" i="32"/>
  <c r="AG52" i="32"/>
  <c r="AY58" i="32"/>
  <c r="AY64" i="32" s="1"/>
  <c r="AQ58" i="32"/>
  <c r="AQ304" i="32" s="1"/>
  <c r="AY62" i="32"/>
  <c r="AQ62" i="32"/>
  <c r="AX62" i="32" s="1"/>
  <c r="AW71" i="32"/>
  <c r="AS66" i="32"/>
  <c r="AG70" i="32"/>
  <c r="AR70" i="32" s="1"/>
  <c r="AS70" i="32"/>
  <c r="AZ72" i="32"/>
  <c r="AZ77" i="32" s="1"/>
  <c r="AS75" i="32"/>
  <c r="AB75" i="32"/>
  <c r="AU75" i="32" s="1"/>
  <c r="AF77" i="32"/>
  <c r="AY78" i="32"/>
  <c r="AY84" i="32" s="1"/>
  <c r="AA90" i="32"/>
  <c r="AG85" i="32"/>
  <c r="AS90" i="32"/>
  <c r="AY88" i="32"/>
  <c r="AQ88" i="32"/>
  <c r="AX88" i="32" s="1"/>
  <c r="AF106" i="32"/>
  <c r="AW97" i="32"/>
  <c r="AW106" i="32" s="1"/>
  <c r="Z305" i="32"/>
  <c r="AT98" i="32"/>
  <c r="AT305" i="32" s="1"/>
  <c r="AA98" i="32"/>
  <c r="AG102" i="32"/>
  <c r="AR102" i="32" s="1"/>
  <c r="AV113" i="32"/>
  <c r="AC121" i="32"/>
  <c r="AV121" i="32" s="1"/>
  <c r="AS121" i="32"/>
  <c r="AB121" i="32"/>
  <c r="AU121" i="32" s="1"/>
  <c r="AA121" i="32"/>
  <c r="AG121" i="32" s="1"/>
  <c r="AR121" i="32" s="1"/>
  <c r="AA129" i="32"/>
  <c r="AG126" i="32"/>
  <c r="AR126" i="32" s="1"/>
  <c r="AQ91" i="32"/>
  <c r="AY91" i="32"/>
  <c r="AY96" i="32" s="1"/>
  <c r="AQ92" i="32"/>
  <c r="AX92" i="32" s="1"/>
  <c r="AQ93" i="32"/>
  <c r="AX93" i="32" s="1"/>
  <c r="AQ94" i="32"/>
  <c r="AX94" i="32" s="1"/>
  <c r="AQ95" i="32"/>
  <c r="AX95" i="32" s="1"/>
  <c r="AA97" i="32"/>
  <c r="AZ97" i="32"/>
  <c r="AZ106" i="32" s="1"/>
  <c r="AW311" i="32"/>
  <c r="R108" i="32"/>
  <c r="Z108" i="32"/>
  <c r="AC109" i="32"/>
  <c r="AC110" i="32"/>
  <c r="AV110" i="32" s="1"/>
  <c r="AC111" i="32"/>
  <c r="AV111" i="32" s="1"/>
  <c r="AQ114" i="32"/>
  <c r="AY306" i="32"/>
  <c r="AQ115" i="32"/>
  <c r="AX115" i="32" s="1"/>
  <c r="AQ116" i="32"/>
  <c r="AX116" i="32" s="1"/>
  <c r="AQ117" i="32"/>
  <c r="AX117" i="32" s="1"/>
  <c r="AQ118" i="32"/>
  <c r="AX118" i="32" s="1"/>
  <c r="AF119" i="32"/>
  <c r="AO123" i="32"/>
  <c r="AB124" i="32"/>
  <c r="AS124" i="32"/>
  <c r="AB125" i="32"/>
  <c r="AU125" i="32" s="1"/>
  <c r="AS125" i="32"/>
  <c r="AB126" i="32"/>
  <c r="AU126" i="32" s="1"/>
  <c r="AS126" i="32"/>
  <c r="AB127" i="32"/>
  <c r="AU127" i="32" s="1"/>
  <c r="AS127" i="32"/>
  <c r="AB128" i="32"/>
  <c r="AU128" i="32" s="1"/>
  <c r="AS128" i="32"/>
  <c r="V129" i="32"/>
  <c r="AP129" i="32"/>
  <c r="V130" i="32"/>
  <c r="AT130" i="32"/>
  <c r="AT136" i="32" s="1"/>
  <c r="AQ137" i="32"/>
  <c r="AQ138" i="32"/>
  <c r="AX138" i="32" s="1"/>
  <c r="AQ139" i="32"/>
  <c r="AX139" i="32" s="1"/>
  <c r="AQ145" i="32"/>
  <c r="AX144" i="32"/>
  <c r="AX145" i="32" s="1"/>
  <c r="V149" i="32"/>
  <c r="AS146" i="32"/>
  <c r="AB146" i="32"/>
  <c r="AZ146" i="32"/>
  <c r="AZ149" i="32" s="1"/>
  <c r="AS148" i="32"/>
  <c r="AB148" i="32"/>
  <c r="AU148" i="32" s="1"/>
  <c r="AC149" i="32"/>
  <c r="AA151" i="32"/>
  <c r="AC151" i="32"/>
  <c r="AV151" i="32" s="1"/>
  <c r="AY151" i="32"/>
  <c r="AQ151" i="32"/>
  <c r="AX151" i="32" s="1"/>
  <c r="AA152" i="32"/>
  <c r="AG152" i="32" s="1"/>
  <c r="AR152" i="32" s="1"/>
  <c r="AC152" i="32"/>
  <c r="AV152" i="32" s="1"/>
  <c r="AY152" i="32"/>
  <c r="AQ152" i="32"/>
  <c r="AX152" i="32" s="1"/>
  <c r="AA153" i="32"/>
  <c r="AC153" i="32"/>
  <c r="AV153" i="32" s="1"/>
  <c r="AY153" i="32"/>
  <c r="AQ153" i="32"/>
  <c r="AX153" i="32" s="1"/>
  <c r="AA154" i="32"/>
  <c r="AG154" i="32" s="1"/>
  <c r="AR154" i="32" s="1"/>
  <c r="AC154" i="32"/>
  <c r="AV154" i="32" s="1"/>
  <c r="AY154" i="32"/>
  <c r="AQ154" i="32"/>
  <c r="AX154" i="32" s="1"/>
  <c r="AA155" i="32"/>
  <c r="AC155" i="32"/>
  <c r="AV155" i="32" s="1"/>
  <c r="AY155" i="32"/>
  <c r="AQ155" i="32"/>
  <c r="AX155" i="32" s="1"/>
  <c r="R156" i="32"/>
  <c r="AW163" i="32"/>
  <c r="AT170" i="32"/>
  <c r="AC167" i="32"/>
  <c r="AV167" i="32" s="1"/>
  <c r="AS167" i="32"/>
  <c r="AB167" i="32"/>
  <c r="AU167" i="32" s="1"/>
  <c r="AA167" i="32"/>
  <c r="AT183" i="32"/>
  <c r="AB97" i="32"/>
  <c r="AS97" i="32"/>
  <c r="AB98" i="32"/>
  <c r="AS98" i="32"/>
  <c r="AW98" i="32"/>
  <c r="AW305" i="32" s="1"/>
  <c r="AB99" i="32"/>
  <c r="AU99" i="32" s="1"/>
  <c r="AS99" i="32"/>
  <c r="AB100" i="32"/>
  <c r="AS100" i="32"/>
  <c r="AW100" i="32"/>
  <c r="AW308" i="32" s="1"/>
  <c r="AB101" i="32"/>
  <c r="AU101" i="32" s="1"/>
  <c r="AS101" i="32"/>
  <c r="AB102" i="32"/>
  <c r="AU102" i="32" s="1"/>
  <c r="AS102" i="32"/>
  <c r="AB103" i="32"/>
  <c r="AU103" i="32" s="1"/>
  <c r="AS103" i="32"/>
  <c r="AB104" i="32"/>
  <c r="AU104" i="32" s="1"/>
  <c r="AS104" i="32"/>
  <c r="AB105" i="32"/>
  <c r="AU105" i="32" s="1"/>
  <c r="AS105" i="32"/>
  <c r="V106" i="32"/>
  <c r="V107" i="32"/>
  <c r="AT107" i="32"/>
  <c r="AQ109" i="32"/>
  <c r="AY109" i="32"/>
  <c r="AY112" i="32" s="1"/>
  <c r="AQ110" i="32"/>
  <c r="AX110" i="32" s="1"/>
  <c r="AQ111" i="32"/>
  <c r="AX111" i="32" s="1"/>
  <c r="AA113" i="32"/>
  <c r="AZ113" i="32"/>
  <c r="AA114" i="32"/>
  <c r="AZ114" i="32"/>
  <c r="AZ306" i="32" s="1"/>
  <c r="AA115" i="32"/>
  <c r="AA116" i="32"/>
  <c r="AA117" i="32"/>
  <c r="AG117" i="32" s="1"/>
  <c r="AR117" i="32" s="1"/>
  <c r="AA118" i="32"/>
  <c r="AG118" i="32" s="1"/>
  <c r="AR118" i="32" s="1"/>
  <c r="R123" i="32"/>
  <c r="Z123" i="32"/>
  <c r="AC124" i="32"/>
  <c r="AG124" i="32" s="1"/>
  <c r="AC125" i="32"/>
  <c r="AV125" i="32" s="1"/>
  <c r="AC126" i="32"/>
  <c r="AV126" i="32" s="1"/>
  <c r="AC127" i="32"/>
  <c r="AV127" i="32" s="1"/>
  <c r="AC128" i="32"/>
  <c r="AV128" i="32" s="1"/>
  <c r="AQ130" i="32"/>
  <c r="AY130" i="32"/>
  <c r="AY136" i="32" s="1"/>
  <c r="AQ131" i="32"/>
  <c r="AX131" i="32" s="1"/>
  <c r="AQ132" i="32"/>
  <c r="AX132" i="32" s="1"/>
  <c r="AQ133" i="32"/>
  <c r="AX133" i="32" s="1"/>
  <c r="AQ134" i="32"/>
  <c r="AX134" i="32" s="1"/>
  <c r="AQ135" i="32"/>
  <c r="AX135" i="32" s="1"/>
  <c r="AF136" i="32"/>
  <c r="AA137" i="32"/>
  <c r="AZ137" i="32"/>
  <c r="AZ143" i="32" s="1"/>
  <c r="AA138" i="32"/>
  <c r="AA139" i="32"/>
  <c r="AG139" i="32" s="1"/>
  <c r="AR139" i="32" s="1"/>
  <c r="AS142" i="32"/>
  <c r="AB142" i="32"/>
  <c r="AU142" i="32" s="1"/>
  <c r="Z145" i="32"/>
  <c r="AF145" i="32"/>
  <c r="V156" i="32"/>
  <c r="AA150" i="32"/>
  <c r="AC150" i="32"/>
  <c r="AC166" i="32"/>
  <c r="AV166" i="32" s="1"/>
  <c r="AS166" i="32"/>
  <c r="AB166" i="32"/>
  <c r="AU166" i="32" s="1"/>
  <c r="AA166" i="32"/>
  <c r="AG176" i="32"/>
  <c r="AR176" i="32" s="1"/>
  <c r="AS179" i="32"/>
  <c r="AB179" i="32"/>
  <c r="AU179" i="32" s="1"/>
  <c r="AC179" i="32"/>
  <c r="AV179" i="32" s="1"/>
  <c r="AA179" i="32"/>
  <c r="AG179" i="32" s="1"/>
  <c r="AR179" i="32" s="1"/>
  <c r="AC98" i="32"/>
  <c r="AX98" i="32"/>
  <c r="AX305" i="32" s="1"/>
  <c r="AC100" i="32"/>
  <c r="AT100" i="32"/>
  <c r="AT308" i="32" s="1"/>
  <c r="AQ107" i="32"/>
  <c r="AY107" i="32"/>
  <c r="AF108" i="32"/>
  <c r="AA109" i="32"/>
  <c r="AZ109" i="32"/>
  <c r="AZ112" i="32" s="1"/>
  <c r="AA110" i="32"/>
  <c r="AA111" i="32"/>
  <c r="AB113" i="32"/>
  <c r="AS113" i="32"/>
  <c r="AB114" i="32"/>
  <c r="AW114" i="32"/>
  <c r="AW306" i="32" s="1"/>
  <c r="AB115" i="32"/>
  <c r="AU115" i="32" s="1"/>
  <c r="AS115" i="32"/>
  <c r="AB116" i="32"/>
  <c r="AU116" i="32" s="1"/>
  <c r="AS116" i="32"/>
  <c r="AB117" i="32"/>
  <c r="AU117" i="32" s="1"/>
  <c r="AS117" i="32"/>
  <c r="AB118" i="32"/>
  <c r="AU118" i="32" s="1"/>
  <c r="AS118" i="32"/>
  <c r="V119" i="32"/>
  <c r="Z119" i="32"/>
  <c r="AQ124" i="32"/>
  <c r="AQ125" i="32"/>
  <c r="AX125" i="32" s="1"/>
  <c r="AQ126" i="32"/>
  <c r="AX126" i="32" s="1"/>
  <c r="AQ127" i="32"/>
  <c r="AX127" i="32" s="1"/>
  <c r="AQ128" i="32"/>
  <c r="AX128" i="32" s="1"/>
  <c r="AB137" i="32"/>
  <c r="AS137" i="32"/>
  <c r="AW137" i="32"/>
  <c r="AW143" i="32" s="1"/>
  <c r="AB138" i="32"/>
  <c r="AU138" i="32" s="1"/>
  <c r="AS138" i="32"/>
  <c r="AB139" i="32"/>
  <c r="AU139" i="32" s="1"/>
  <c r="AS139" i="32"/>
  <c r="AB140" i="32"/>
  <c r="AU140" i="32" s="1"/>
  <c r="AC144" i="32"/>
  <c r="AA144" i="32"/>
  <c r="AU144" i="32"/>
  <c r="AU145" i="32" s="1"/>
  <c r="AA146" i="32"/>
  <c r="AS147" i="32"/>
  <c r="AB147" i="32"/>
  <c r="AA148" i="32"/>
  <c r="AG148" i="32" s="1"/>
  <c r="AR148" i="32" s="1"/>
  <c r="Z156" i="32"/>
  <c r="AT150" i="32"/>
  <c r="AT156" i="32" s="1"/>
  <c r="AZ156" i="32"/>
  <c r="AW150" i="32"/>
  <c r="AW156" i="32" s="1"/>
  <c r="AB151" i="32"/>
  <c r="AU151" i="32" s="1"/>
  <c r="AS151" i="32"/>
  <c r="AS156" i="32" s="1"/>
  <c r="AB152" i="32"/>
  <c r="AU152" i="32" s="1"/>
  <c r="AS152" i="32"/>
  <c r="AB153" i="32"/>
  <c r="AU153" i="32" s="1"/>
  <c r="AS153" i="32"/>
  <c r="AB154" i="32"/>
  <c r="AU154" i="32" s="1"/>
  <c r="AS154" i="32"/>
  <c r="AB155" i="32"/>
  <c r="AU155" i="32" s="1"/>
  <c r="AS155" i="32"/>
  <c r="AC163" i="32"/>
  <c r="AV157" i="32"/>
  <c r="AV163" i="32" s="1"/>
  <c r="AC165" i="32"/>
  <c r="AV165" i="32" s="1"/>
  <c r="AS165" i="32"/>
  <c r="AB165" i="32"/>
  <c r="AU165" i="32" s="1"/>
  <c r="AA165" i="32"/>
  <c r="AC169" i="32"/>
  <c r="AV169" i="32" s="1"/>
  <c r="AS169" i="32"/>
  <c r="AB169" i="32"/>
  <c r="AU169" i="32" s="1"/>
  <c r="AA169" i="32"/>
  <c r="AC177" i="32"/>
  <c r="AV171" i="32"/>
  <c r="AV177" i="32" s="1"/>
  <c r="AY177" i="32"/>
  <c r="AQ308" i="32"/>
  <c r="AO108" i="32"/>
  <c r="AW108" i="32"/>
  <c r="AB109" i="32"/>
  <c r="AS109" i="32"/>
  <c r="AS112" i="32" s="1"/>
  <c r="AB110" i="32"/>
  <c r="AU110" i="32" s="1"/>
  <c r="AB111" i="32"/>
  <c r="AU111" i="32" s="1"/>
  <c r="AX113" i="32"/>
  <c r="V306" i="32"/>
  <c r="AC114" i="32"/>
  <c r="AC119" i="32" s="1"/>
  <c r="AT114" i="32"/>
  <c r="AT306" i="32" s="1"/>
  <c r="AQ120" i="32"/>
  <c r="AQ121" i="32"/>
  <c r="AX121" i="32" s="1"/>
  <c r="AQ122" i="32"/>
  <c r="AX122" i="32" s="1"/>
  <c r="AC137" i="32"/>
  <c r="AT143" i="32"/>
  <c r="AC140" i="32"/>
  <c r="AV140" i="32" s="1"/>
  <c r="AS141" i="32"/>
  <c r="AB141" i="32"/>
  <c r="AU141" i="32" s="1"/>
  <c r="AA142" i="32"/>
  <c r="AG142" i="32" s="1"/>
  <c r="AR142" i="32" s="1"/>
  <c r="AB150" i="32"/>
  <c r="AQ150" i="32"/>
  <c r="AY150" i="32"/>
  <c r="AY156" i="32" s="1"/>
  <c r="AC164" i="32"/>
  <c r="V170" i="32"/>
  <c r="AS164" i="32"/>
  <c r="AB164" i="32"/>
  <c r="AA164" i="32"/>
  <c r="AC168" i="32"/>
  <c r="AV168" i="32" s="1"/>
  <c r="AS168" i="32"/>
  <c r="AB168" i="32"/>
  <c r="AU168" i="32" s="1"/>
  <c r="AA168" i="32"/>
  <c r="AX171" i="32"/>
  <c r="AG174" i="32"/>
  <c r="AR174" i="32" s="1"/>
  <c r="AQ141" i="32"/>
  <c r="AX141" i="32" s="1"/>
  <c r="AQ142" i="32"/>
  <c r="AX142" i="32" s="1"/>
  <c r="AW146" i="32"/>
  <c r="AW149" i="32" s="1"/>
  <c r="AQ157" i="32"/>
  <c r="AQ158" i="32"/>
  <c r="AX158" i="32" s="1"/>
  <c r="AQ159" i="32"/>
  <c r="AX159" i="32" s="1"/>
  <c r="AQ160" i="32"/>
  <c r="AX160" i="32" s="1"/>
  <c r="AQ161" i="32"/>
  <c r="AX161" i="32" s="1"/>
  <c r="AQ162" i="32"/>
  <c r="AX162" i="32" s="1"/>
  <c r="AF163" i="32"/>
  <c r="AB171" i="32"/>
  <c r="AS171" i="32"/>
  <c r="AS177" i="32" s="1"/>
  <c r="AW171" i="32"/>
  <c r="AW177" i="32" s="1"/>
  <c r="AB172" i="32"/>
  <c r="AU172" i="32" s="1"/>
  <c r="AS172" i="32"/>
  <c r="AB173" i="32"/>
  <c r="AU173" i="32" s="1"/>
  <c r="AS173" i="32"/>
  <c r="AB174" i="32"/>
  <c r="AU174" i="32" s="1"/>
  <c r="AS174" i="32"/>
  <c r="AB175" i="32"/>
  <c r="AU175" i="32" s="1"/>
  <c r="AS175" i="32"/>
  <c r="AB176" i="32"/>
  <c r="AU176" i="32" s="1"/>
  <c r="AS176" i="32"/>
  <c r="V177" i="32"/>
  <c r="AP177" i="32"/>
  <c r="V178" i="32"/>
  <c r="AP183" i="32"/>
  <c r="AQ179" i="32"/>
  <c r="AX179" i="32" s="1"/>
  <c r="AW184" i="32"/>
  <c r="AW187" i="32" s="1"/>
  <c r="AS196" i="32"/>
  <c r="AB196" i="32"/>
  <c r="AU196" i="32" s="1"/>
  <c r="AA196" i="32"/>
  <c r="AG196" i="32" s="1"/>
  <c r="AR196" i="32" s="1"/>
  <c r="AC196" i="32"/>
  <c r="AV196" i="32" s="1"/>
  <c r="AC207" i="32"/>
  <c r="AV207" i="32" s="1"/>
  <c r="AS207" i="32"/>
  <c r="AB207" i="32"/>
  <c r="AU207" i="32" s="1"/>
  <c r="AA207" i="32"/>
  <c r="AC211" i="32"/>
  <c r="AV211" i="32" s="1"/>
  <c r="AS211" i="32"/>
  <c r="AB211" i="32"/>
  <c r="AU211" i="32" s="1"/>
  <c r="AA211" i="32"/>
  <c r="AS228" i="32"/>
  <c r="AA228" i="32"/>
  <c r="AC228" i="32"/>
  <c r="AV228" i="32" s="1"/>
  <c r="AB228" i="32"/>
  <c r="AU228" i="32" s="1"/>
  <c r="AA157" i="32"/>
  <c r="AZ157" i="32"/>
  <c r="AZ163" i="32" s="1"/>
  <c r="AA158" i="32"/>
  <c r="AA159" i="32"/>
  <c r="AG159" i="32" s="1"/>
  <c r="AR159" i="32" s="1"/>
  <c r="AA160" i="32"/>
  <c r="AG160" i="32" s="1"/>
  <c r="AR160" i="32" s="1"/>
  <c r="AA161" i="32"/>
  <c r="AA162" i="32"/>
  <c r="AW164" i="32"/>
  <c r="AW170" i="32" s="1"/>
  <c r="R170" i="32"/>
  <c r="Z170" i="32"/>
  <c r="AA177" i="32"/>
  <c r="Z183" i="32"/>
  <c r="AQ178" i="32"/>
  <c r="AY178" i="32"/>
  <c r="AY183" i="32" s="1"/>
  <c r="AS180" i="32"/>
  <c r="AB180" i="32"/>
  <c r="AU180" i="32" s="1"/>
  <c r="AS182" i="32"/>
  <c r="AB182" i="32"/>
  <c r="AU182" i="32" s="1"/>
  <c r="AB184" i="32"/>
  <c r="AQ184" i="32"/>
  <c r="AY184" i="32"/>
  <c r="AY187" i="32" s="1"/>
  <c r="AB185" i="32"/>
  <c r="AU185" i="32" s="1"/>
  <c r="AQ185" i="32"/>
  <c r="AX185" i="32" s="1"/>
  <c r="AB186" i="32"/>
  <c r="AU186" i="32" s="1"/>
  <c r="AQ186" i="32"/>
  <c r="AX186" i="32" s="1"/>
  <c r="AW198" i="32"/>
  <c r="AS197" i="32"/>
  <c r="AB197" i="32"/>
  <c r="AU197" i="32" s="1"/>
  <c r="AA197" i="32"/>
  <c r="AG197" i="32" s="1"/>
  <c r="AR197" i="32" s="1"/>
  <c r="AC197" i="32"/>
  <c r="AV197" i="32" s="1"/>
  <c r="AW204" i="32"/>
  <c r="AY213" i="32"/>
  <c r="AC206" i="32"/>
  <c r="AV206" i="32" s="1"/>
  <c r="AS206" i="32"/>
  <c r="AB206" i="32"/>
  <c r="AU206" i="32" s="1"/>
  <c r="AA206" i="32"/>
  <c r="AG206" i="32" s="1"/>
  <c r="AR206" i="32" s="1"/>
  <c r="AC210" i="32"/>
  <c r="AV210" i="32" s="1"/>
  <c r="AS210" i="32"/>
  <c r="AB210" i="32"/>
  <c r="AU210" i="32" s="1"/>
  <c r="AA210" i="32"/>
  <c r="AG210" i="32" s="1"/>
  <c r="AR210" i="32" s="1"/>
  <c r="AQ146" i="32"/>
  <c r="AQ147" i="32"/>
  <c r="AX147" i="32" s="1"/>
  <c r="AQ148" i="32"/>
  <c r="AX148" i="32" s="1"/>
  <c r="AB157" i="32"/>
  <c r="AS157" i="32"/>
  <c r="AB158" i="32"/>
  <c r="AU158" i="32" s="1"/>
  <c r="AS158" i="32"/>
  <c r="AS306" i="32" s="1"/>
  <c r="AB159" i="32"/>
  <c r="AU159" i="32" s="1"/>
  <c r="AS159" i="32"/>
  <c r="AB160" i="32"/>
  <c r="AU160" i="32" s="1"/>
  <c r="AS160" i="32"/>
  <c r="AB161" i="32"/>
  <c r="AU161" i="32" s="1"/>
  <c r="AS161" i="32"/>
  <c r="AB162" i="32"/>
  <c r="AU162" i="32" s="1"/>
  <c r="AS162" i="32"/>
  <c r="V163" i="32"/>
  <c r="AX164" i="32"/>
  <c r="AX170" i="32" s="1"/>
  <c r="AQ174" i="32"/>
  <c r="AX174" i="32" s="1"/>
  <c r="AQ175" i="32"/>
  <c r="AX175" i="32" s="1"/>
  <c r="AQ176" i="32"/>
  <c r="AX176" i="32" s="1"/>
  <c r="AZ178" i="32"/>
  <c r="AZ183" i="32" s="1"/>
  <c r="AS181" i="32"/>
  <c r="AB181" i="32"/>
  <c r="AU181" i="32" s="1"/>
  <c r="AS184" i="32"/>
  <c r="AS187" i="32" s="1"/>
  <c r="R187" i="32"/>
  <c r="Z187" i="32"/>
  <c r="AG201" i="32"/>
  <c r="AR201" i="32" s="1"/>
  <c r="AC205" i="32"/>
  <c r="V213" i="32"/>
  <c r="AS205" i="32"/>
  <c r="AB205" i="32"/>
  <c r="AA205" i="32"/>
  <c r="AC209" i="32"/>
  <c r="AV209" i="32" s="1"/>
  <c r="AS209" i="32"/>
  <c r="AB209" i="32"/>
  <c r="AU209" i="32" s="1"/>
  <c r="AA209" i="32"/>
  <c r="AA222" i="32"/>
  <c r="AC184" i="32"/>
  <c r="AA184" i="32"/>
  <c r="AC185" i="32"/>
  <c r="AV185" i="32" s="1"/>
  <c r="AA185" i="32"/>
  <c r="AG185" i="32" s="1"/>
  <c r="AR185" i="32" s="1"/>
  <c r="AC186" i="32"/>
  <c r="AV186" i="32" s="1"/>
  <c r="AA186" i="32"/>
  <c r="AA194" i="32"/>
  <c r="AG192" i="32"/>
  <c r="AR192" i="32" s="1"/>
  <c r="AC204" i="32"/>
  <c r="AV199" i="32"/>
  <c r="AV204" i="32" s="1"/>
  <c r="AC208" i="32"/>
  <c r="AV208" i="32" s="1"/>
  <c r="AS208" i="32"/>
  <c r="AB208" i="32"/>
  <c r="AU208" i="32" s="1"/>
  <c r="AA208" i="32"/>
  <c r="AC212" i="32"/>
  <c r="AV212" i="32" s="1"/>
  <c r="AS212" i="32"/>
  <c r="AB212" i="32"/>
  <c r="AU212" i="32" s="1"/>
  <c r="AA212" i="32"/>
  <c r="AA220" i="32"/>
  <c r="AG217" i="32"/>
  <c r="AR217" i="32" s="1"/>
  <c r="AB188" i="32"/>
  <c r="AS188" i="32"/>
  <c r="AB189" i="32"/>
  <c r="AU189" i="32" s="1"/>
  <c r="AS189" i="32"/>
  <c r="AB190" i="32"/>
  <c r="AU190" i="32" s="1"/>
  <c r="AS190" i="32"/>
  <c r="AB191" i="32"/>
  <c r="AU191" i="32" s="1"/>
  <c r="AS191" i="32"/>
  <c r="AB192" i="32"/>
  <c r="AU192" i="32" s="1"/>
  <c r="AS192" i="32"/>
  <c r="AB193" i="32"/>
  <c r="AU193" i="32" s="1"/>
  <c r="AS193" i="32"/>
  <c r="V194" i="32"/>
  <c r="AP194" i="32"/>
  <c r="V195" i="32"/>
  <c r="AT195" i="32"/>
  <c r="AT198" i="32" s="1"/>
  <c r="AQ199" i="32"/>
  <c r="AQ200" i="32"/>
  <c r="AX200" i="32" s="1"/>
  <c r="AF204" i="32"/>
  <c r="AO213" i="32"/>
  <c r="AB214" i="32"/>
  <c r="AS214" i="32"/>
  <c r="AB215" i="32"/>
  <c r="AU215" i="32" s="1"/>
  <c r="AS215" i="32"/>
  <c r="AB216" i="32"/>
  <c r="AU216" i="32" s="1"/>
  <c r="AS216" i="32"/>
  <c r="AB217" i="32"/>
  <c r="AU217" i="32" s="1"/>
  <c r="AS217" i="32"/>
  <c r="AB218" i="32"/>
  <c r="AU218" i="32" s="1"/>
  <c r="AS218" i="32"/>
  <c r="AB219" i="32"/>
  <c r="AU219" i="32" s="1"/>
  <c r="AS219" i="32"/>
  <c r="V220" i="32"/>
  <c r="AZ226" i="32"/>
  <c r="AB224" i="32"/>
  <c r="AU224" i="32" s="1"/>
  <c r="AY225" i="32"/>
  <c r="AQ225" i="32"/>
  <c r="AX225" i="32" s="1"/>
  <c r="AC226" i="32"/>
  <c r="AP233" i="32"/>
  <c r="AZ227" i="32"/>
  <c r="AZ233" i="32" s="1"/>
  <c r="AC240" i="32"/>
  <c r="AV234" i="32"/>
  <c r="AV240" i="32" s="1"/>
  <c r="AT251" i="32"/>
  <c r="AS248" i="32"/>
  <c r="AB248" i="32"/>
  <c r="AU248" i="32" s="1"/>
  <c r="AA248" i="32"/>
  <c r="AG248" i="32" s="1"/>
  <c r="AR248" i="32" s="1"/>
  <c r="AC248" i="32"/>
  <c r="AV248" i="32" s="1"/>
  <c r="AG266" i="32"/>
  <c r="AR266" i="32" s="1"/>
  <c r="AC188" i="32"/>
  <c r="AC189" i="32"/>
  <c r="AV189" i="32" s="1"/>
  <c r="AC190" i="32"/>
  <c r="AV190" i="32" s="1"/>
  <c r="AC191" i="32"/>
  <c r="AV191" i="32" s="1"/>
  <c r="AC192" i="32"/>
  <c r="AV192" i="32" s="1"/>
  <c r="AC193" i="32"/>
  <c r="AV193" i="32" s="1"/>
  <c r="AQ195" i="32"/>
  <c r="AY195" i="32"/>
  <c r="AY198" i="32" s="1"/>
  <c r="AQ196" i="32"/>
  <c r="AX196" i="32" s="1"/>
  <c r="AQ197" i="32"/>
  <c r="AX197" i="32" s="1"/>
  <c r="AF198" i="32"/>
  <c r="AA199" i="32"/>
  <c r="AZ199" i="32"/>
  <c r="AZ204" i="32" s="1"/>
  <c r="R213" i="32"/>
  <c r="Z213" i="32"/>
  <c r="AC214" i="32"/>
  <c r="AC215" i="32"/>
  <c r="AV215" i="32" s="1"/>
  <c r="AC216" i="32"/>
  <c r="AV216" i="32" s="1"/>
  <c r="AC217" i="32"/>
  <c r="AV217" i="32" s="1"/>
  <c r="AC218" i="32"/>
  <c r="AV218" i="32" s="1"/>
  <c r="AC219" i="32"/>
  <c r="AV219" i="32" s="1"/>
  <c r="AQ222" i="32"/>
  <c r="AX221" i="32"/>
  <c r="AX222" i="32" s="1"/>
  <c r="AF222" i="32"/>
  <c r="AS247" i="32"/>
  <c r="AB247" i="32"/>
  <c r="AU247" i="32" s="1"/>
  <c r="AA247" i="32"/>
  <c r="AC247" i="32"/>
  <c r="AV247" i="32" s="1"/>
  <c r="AC253" i="32"/>
  <c r="AV253" i="32" s="1"/>
  <c r="AS253" i="32"/>
  <c r="AB253" i="32"/>
  <c r="AU253" i="32" s="1"/>
  <c r="AA253" i="32"/>
  <c r="AG253" i="32" s="1"/>
  <c r="AR253" i="32" s="1"/>
  <c r="AC261" i="32"/>
  <c r="AV255" i="32"/>
  <c r="AV261" i="32" s="1"/>
  <c r="AQ188" i="32"/>
  <c r="AQ189" i="32"/>
  <c r="AX189" i="32" s="1"/>
  <c r="AQ190" i="32"/>
  <c r="AX190" i="32" s="1"/>
  <c r="AQ191" i="32"/>
  <c r="AX191" i="32" s="1"/>
  <c r="AQ192" i="32"/>
  <c r="AX192" i="32" s="1"/>
  <c r="AQ193" i="32"/>
  <c r="AX193" i="32" s="1"/>
  <c r="AB199" i="32"/>
  <c r="AS199" i="32"/>
  <c r="AB200" i="32"/>
  <c r="AU200" i="32" s="1"/>
  <c r="AS200" i="32"/>
  <c r="AB201" i="32"/>
  <c r="AU201" i="32" s="1"/>
  <c r="AS201" i="32"/>
  <c r="AB202" i="32"/>
  <c r="AU202" i="32" s="1"/>
  <c r="AS202" i="32"/>
  <c r="AB203" i="32"/>
  <c r="AU203" i="32" s="1"/>
  <c r="AS203" i="32"/>
  <c r="V204" i="32"/>
  <c r="AQ214" i="32"/>
  <c r="AY214" i="32"/>
  <c r="AY220" i="32" s="1"/>
  <c r="AQ215" i="32"/>
  <c r="AX215" i="32" s="1"/>
  <c r="AQ216" i="32"/>
  <c r="AX216" i="32" s="1"/>
  <c r="AQ217" i="32"/>
  <c r="AX217" i="32" s="1"/>
  <c r="AQ218" i="32"/>
  <c r="AX218" i="32" s="1"/>
  <c r="AQ219" i="32"/>
  <c r="AX219" i="32" s="1"/>
  <c r="AC221" i="32"/>
  <c r="V222" i="32"/>
  <c r="AS221" i="32"/>
  <c r="AS222" i="32" s="1"/>
  <c r="AB221" i="32"/>
  <c r="AA223" i="32"/>
  <c r="AY223" i="32"/>
  <c r="AQ223" i="32"/>
  <c r="AS224" i="32"/>
  <c r="AS226" i="32" s="1"/>
  <c r="V227" i="32"/>
  <c r="AS246" i="32"/>
  <c r="AB246" i="32"/>
  <c r="AU246" i="32" s="1"/>
  <c r="AA246" i="32"/>
  <c r="AC246" i="32"/>
  <c r="AV246" i="32" s="1"/>
  <c r="AS250" i="32"/>
  <c r="AB250" i="32"/>
  <c r="AU250" i="32" s="1"/>
  <c r="AA250" i="32"/>
  <c r="AC250" i="32"/>
  <c r="AV250" i="32" s="1"/>
  <c r="AC252" i="32"/>
  <c r="V254" i="32"/>
  <c r="AS252" i="32"/>
  <c r="AS254" i="32" s="1"/>
  <c r="AB252" i="32"/>
  <c r="AA252" i="32"/>
  <c r="AQ205" i="32"/>
  <c r="AQ206" i="32"/>
  <c r="AX206" i="32" s="1"/>
  <c r="AQ207" i="32"/>
  <c r="AX207" i="32" s="1"/>
  <c r="AQ208" i="32"/>
  <c r="AX208" i="32" s="1"/>
  <c r="AQ209" i="32"/>
  <c r="AX209" i="32" s="1"/>
  <c r="AQ210" i="32"/>
  <c r="AX210" i="32" s="1"/>
  <c r="AQ211" i="32"/>
  <c r="AX211" i="32" s="1"/>
  <c r="AQ212" i="32"/>
  <c r="AX212" i="32" s="1"/>
  <c r="AZ214" i="32"/>
  <c r="AZ220" i="32" s="1"/>
  <c r="AT221" i="32"/>
  <c r="AT222" i="32" s="1"/>
  <c r="Z222" i="32"/>
  <c r="AB226" i="32"/>
  <c r="AU223" i="32"/>
  <c r="AU226" i="32" s="1"/>
  <c r="AY224" i="32"/>
  <c r="AQ224" i="32"/>
  <c r="AX224" i="32" s="1"/>
  <c r="R226" i="32"/>
  <c r="V226" i="32"/>
  <c r="AO226" i="32"/>
  <c r="AO233" i="32"/>
  <c r="AY227" i="32"/>
  <c r="AY233" i="32" s="1"/>
  <c r="AQ227" i="32"/>
  <c r="AA241" i="32"/>
  <c r="AC241" i="32"/>
  <c r="V244" i="32"/>
  <c r="AS241" i="32"/>
  <c r="AB241" i="32"/>
  <c r="AA242" i="32"/>
  <c r="AC242" i="32"/>
  <c r="AV242" i="32" s="1"/>
  <c r="AS242" i="32"/>
  <c r="AB242" i="32"/>
  <c r="AU242" i="32" s="1"/>
  <c r="AA243" i="32"/>
  <c r="AC243" i="32"/>
  <c r="AV243" i="32" s="1"/>
  <c r="AS243" i="32"/>
  <c r="AB243" i="32"/>
  <c r="AU243" i="32" s="1"/>
  <c r="AS249" i="32"/>
  <c r="AB249" i="32"/>
  <c r="AU249" i="32" s="1"/>
  <c r="AA249" i="32"/>
  <c r="AC249" i="32"/>
  <c r="AV249" i="32" s="1"/>
  <c r="R222" i="32"/>
  <c r="AQ228" i="32"/>
  <c r="AX228" i="32" s="1"/>
  <c r="AQ229" i="32"/>
  <c r="AX229" i="32" s="1"/>
  <c r="AQ230" i="32"/>
  <c r="AX230" i="32" s="1"/>
  <c r="AQ231" i="32"/>
  <c r="AX231" i="32" s="1"/>
  <c r="AQ232" i="32"/>
  <c r="AX232" i="32" s="1"/>
  <c r="AA234" i="32"/>
  <c r="AZ234" i="32"/>
  <c r="AA235" i="32"/>
  <c r="AA236" i="32"/>
  <c r="AG236" i="32" s="1"/>
  <c r="AR236" i="32" s="1"/>
  <c r="AA237" i="32"/>
  <c r="AZ237" i="32"/>
  <c r="AA238" i="32"/>
  <c r="AG238" i="32" s="1"/>
  <c r="AR238" i="32" s="1"/>
  <c r="AZ238" i="32"/>
  <c r="AA239" i="32"/>
  <c r="AZ239" i="32"/>
  <c r="AW241" i="32"/>
  <c r="AW244" i="32" s="1"/>
  <c r="R244" i="32"/>
  <c r="Z244" i="32"/>
  <c r="V245" i="32"/>
  <c r="AQ252" i="32"/>
  <c r="AY252" i="32"/>
  <c r="AY254" i="32" s="1"/>
  <c r="AQ253" i="32"/>
  <c r="AX253" i="32" s="1"/>
  <c r="Z261" i="32"/>
  <c r="AS256" i="32"/>
  <c r="AB256" i="32"/>
  <c r="AU256" i="32" s="1"/>
  <c r="AQ256" i="32"/>
  <c r="AX256" i="32" s="1"/>
  <c r="AA258" i="32"/>
  <c r="AS260" i="32"/>
  <c r="AB260" i="32"/>
  <c r="AU260" i="32" s="1"/>
  <c r="AA260" i="32"/>
  <c r="AT262" i="32"/>
  <c r="AT268" i="32" s="1"/>
  <c r="Z268" i="32"/>
  <c r="AC263" i="32"/>
  <c r="AV263" i="32" s="1"/>
  <c r="AS263" i="32"/>
  <c r="AB263" i="32"/>
  <c r="AU263" i="32" s="1"/>
  <c r="AT276" i="32"/>
  <c r="AT282" i="32" s="1"/>
  <c r="Z282" i="32"/>
  <c r="AA229" i="32"/>
  <c r="AG229" i="32" s="1"/>
  <c r="AR229" i="32" s="1"/>
  <c r="AA230" i="32"/>
  <c r="AA231" i="32"/>
  <c r="AG231" i="32" s="1"/>
  <c r="AR231" i="32" s="1"/>
  <c r="AA232" i="32"/>
  <c r="AB234" i="32"/>
  <c r="AS234" i="32"/>
  <c r="AW234" i="32"/>
  <c r="AW240" i="32" s="1"/>
  <c r="AB235" i="32"/>
  <c r="AU235" i="32" s="1"/>
  <c r="AS235" i="32"/>
  <c r="AB236" i="32"/>
  <c r="AU236" i="32" s="1"/>
  <c r="AS236" i="32"/>
  <c r="AB237" i="32"/>
  <c r="AU237" i="32" s="1"/>
  <c r="AS237" i="32"/>
  <c r="AB238" i="32"/>
  <c r="AU238" i="32" s="1"/>
  <c r="AS238" i="32"/>
  <c r="AB239" i="32"/>
  <c r="AU239" i="32" s="1"/>
  <c r="AS239" i="32"/>
  <c r="V240" i="32"/>
  <c r="Z240" i="32"/>
  <c r="AX241" i="32"/>
  <c r="AX244" i="32" s="1"/>
  <c r="AQ245" i="32"/>
  <c r="AY245" i="32"/>
  <c r="AY251" i="32" s="1"/>
  <c r="AQ246" i="32"/>
  <c r="AX246" i="32" s="1"/>
  <c r="AQ247" i="32"/>
  <c r="AX247" i="32" s="1"/>
  <c r="AQ248" i="32"/>
  <c r="AX248" i="32" s="1"/>
  <c r="AQ249" i="32"/>
  <c r="AX249" i="32" s="1"/>
  <c r="AQ250" i="32"/>
  <c r="AX250" i="32" s="1"/>
  <c r="AZ252" i="32"/>
  <c r="AZ254" i="32" s="1"/>
  <c r="AA255" i="32"/>
  <c r="AT261" i="32"/>
  <c r="AS257" i="32"/>
  <c r="AB257" i="32"/>
  <c r="AU257" i="32" s="1"/>
  <c r="AA259" i="32"/>
  <c r="AF261" i="32"/>
  <c r="AC264" i="32"/>
  <c r="AV264" i="32" s="1"/>
  <c r="AS264" i="32"/>
  <c r="AB264" i="32"/>
  <c r="AU264" i="32" s="1"/>
  <c r="AC265" i="32"/>
  <c r="AV265" i="32" s="1"/>
  <c r="AS265" i="32"/>
  <c r="AB265" i="32"/>
  <c r="AU265" i="32" s="1"/>
  <c r="AC266" i="32"/>
  <c r="AV266" i="32" s="1"/>
  <c r="AS266" i="32"/>
  <c r="AB266" i="32"/>
  <c r="AU266" i="32" s="1"/>
  <c r="AC267" i="32"/>
  <c r="AV267" i="32" s="1"/>
  <c r="AS267" i="32"/>
  <c r="AB267" i="32"/>
  <c r="AU267" i="32" s="1"/>
  <c r="R275" i="32"/>
  <c r="V269" i="32"/>
  <c r="AO275" i="32"/>
  <c r="AY269" i="32"/>
  <c r="AY275" i="32" s="1"/>
  <c r="AQ269" i="32"/>
  <c r="AF282" i="32"/>
  <c r="AB229" i="32"/>
  <c r="AU229" i="32" s="1"/>
  <c r="AS229" i="32"/>
  <c r="AB230" i="32"/>
  <c r="AU230" i="32" s="1"/>
  <c r="AS230" i="32"/>
  <c r="AB231" i="32"/>
  <c r="AU231" i="32" s="1"/>
  <c r="AS231" i="32"/>
  <c r="AB232" i="32"/>
  <c r="AU232" i="32" s="1"/>
  <c r="AS232" i="32"/>
  <c r="AX234" i="32"/>
  <c r="AX240" i="32" s="1"/>
  <c r="R254" i="32"/>
  <c r="AZ255" i="32"/>
  <c r="AZ261" i="32" s="1"/>
  <c r="AS258" i="32"/>
  <c r="AB258" i="32"/>
  <c r="AU258" i="32" s="1"/>
  <c r="AZ259" i="32"/>
  <c r="AF268" i="32"/>
  <c r="AW262" i="32"/>
  <c r="AW268" i="32" s="1"/>
  <c r="AQ268" i="32"/>
  <c r="AX262" i="32"/>
  <c r="AX268" i="32" s="1"/>
  <c r="AZ275" i="32"/>
  <c r="AG273" i="32"/>
  <c r="AR273" i="32" s="1"/>
  <c r="AZ273" i="32"/>
  <c r="V261" i="32"/>
  <c r="AS255" i="32"/>
  <c r="AB255" i="32"/>
  <c r="AQ255" i="32"/>
  <c r="AA257" i="32"/>
  <c r="AS259" i="32"/>
  <c r="AB259" i="32"/>
  <c r="AU259" i="32" s="1"/>
  <c r="AC262" i="32"/>
  <c r="V268" i="32"/>
  <c r="AS262" i="32"/>
  <c r="AB262" i="32"/>
  <c r="AA264" i="32"/>
  <c r="AG264" i="32" s="1"/>
  <c r="AR264" i="32" s="1"/>
  <c r="AS270" i="32"/>
  <c r="AA270" i="32"/>
  <c r="AC270" i="32"/>
  <c r="AV270" i="32" s="1"/>
  <c r="AS272" i="32"/>
  <c r="AB272" i="32"/>
  <c r="AU272" i="32" s="1"/>
  <c r="AC272" i="32"/>
  <c r="AV272" i="32" s="1"/>
  <c r="AA272" i="32"/>
  <c r="AG272" i="32" s="1"/>
  <c r="AR272" i="32" s="1"/>
  <c r="AW282" i="32"/>
  <c r="R268" i="32"/>
  <c r="AP275" i="32"/>
  <c r="AT275" i="32"/>
  <c r="AA271" i="32"/>
  <c r="AG271" i="32" s="1"/>
  <c r="AR271" i="32" s="1"/>
  <c r="AS273" i="32"/>
  <c r="AB273" i="32"/>
  <c r="AU273" i="32" s="1"/>
  <c r="AZ274" i="32"/>
  <c r="AF275" i="32"/>
  <c r="AY276" i="32"/>
  <c r="AY282" i="32" s="1"/>
  <c r="AA277" i="32"/>
  <c r="AS277" i="32"/>
  <c r="AA278" i="32"/>
  <c r="AG278" i="32" s="1"/>
  <c r="AR278" i="32" s="1"/>
  <c r="AS278" i="32"/>
  <c r="AA279" i="32"/>
  <c r="AC280" i="32"/>
  <c r="AV280" i="32" s="1"/>
  <c r="AS280" i="32"/>
  <c r="AB280" i="32"/>
  <c r="AU280" i="32" s="1"/>
  <c r="R289" i="32"/>
  <c r="V283" i="32"/>
  <c r="AW289" i="32"/>
  <c r="AA284" i="32"/>
  <c r="AG284" i="32" s="1"/>
  <c r="AR284" i="32" s="1"/>
  <c r="AZ284" i="32"/>
  <c r="AQ284" i="32"/>
  <c r="AX284" i="32" s="1"/>
  <c r="AA288" i="32"/>
  <c r="AG288" i="32" s="1"/>
  <c r="AR288" i="32" s="1"/>
  <c r="AS288" i="32"/>
  <c r="AB288" i="32"/>
  <c r="AU288" i="32" s="1"/>
  <c r="AC288" i="32"/>
  <c r="AV288" i="32" s="1"/>
  <c r="AS291" i="32"/>
  <c r="AB291" i="32"/>
  <c r="AU291" i="32" s="1"/>
  <c r="AC291" i="32"/>
  <c r="AV291" i="32" s="1"/>
  <c r="AA291" i="32"/>
  <c r="AG291" i="32" s="1"/>
  <c r="AR291" i="32" s="1"/>
  <c r="AG292" i="32"/>
  <c r="AR292" i="32" s="1"/>
  <c r="Z275" i="32"/>
  <c r="AS274" i="32"/>
  <c r="AB274" i="32"/>
  <c r="AU274" i="32" s="1"/>
  <c r="AB277" i="32"/>
  <c r="AU277" i="32" s="1"/>
  <c r="AB278" i="32"/>
  <c r="AU278" i="32" s="1"/>
  <c r="AC281" i="32"/>
  <c r="AV281" i="32" s="1"/>
  <c r="AS281" i="32"/>
  <c r="AB281" i="32"/>
  <c r="AU281" i="32" s="1"/>
  <c r="AZ289" i="32"/>
  <c r="AA285" i="32"/>
  <c r="AS285" i="32"/>
  <c r="AB285" i="32"/>
  <c r="AU285" i="32" s="1"/>
  <c r="AC285" i="32"/>
  <c r="AV285" i="32" s="1"/>
  <c r="AS271" i="32"/>
  <c r="AB271" i="32"/>
  <c r="AU271" i="32" s="1"/>
  <c r="V276" i="32"/>
  <c r="R282" i="32"/>
  <c r="AQ282" i="32"/>
  <c r="AX276" i="32"/>
  <c r="AX282" i="32" s="1"/>
  <c r="AC279" i="32"/>
  <c r="AV279" i="32" s="1"/>
  <c r="AS279" i="32"/>
  <c r="AO289" i="32"/>
  <c r="AY283" i="32"/>
  <c r="AY289" i="32" s="1"/>
  <c r="AQ283" i="32"/>
  <c r="AS284" i="32"/>
  <c r="AB284" i="32"/>
  <c r="AU284" i="32" s="1"/>
  <c r="AA286" i="32"/>
  <c r="AG286" i="32" s="1"/>
  <c r="AR286" i="32" s="1"/>
  <c r="AS286" i="32"/>
  <c r="AB286" i="32"/>
  <c r="AU286" i="32" s="1"/>
  <c r="AC286" i="32"/>
  <c r="AV286" i="32" s="1"/>
  <c r="Z296" i="32"/>
  <c r="AT290" i="32"/>
  <c r="AT296" i="32" s="1"/>
  <c r="AS295" i="32"/>
  <c r="AB295" i="32"/>
  <c r="AU295" i="32" s="1"/>
  <c r="AC295" i="32"/>
  <c r="AV295" i="32" s="1"/>
  <c r="AA295" i="32"/>
  <c r="AF296" i="32"/>
  <c r="AP298" i="32"/>
  <c r="AZ297" i="32"/>
  <c r="AZ298" i="32" s="1"/>
  <c r="AA287" i="32"/>
  <c r="AS287" i="32"/>
  <c r="AB287" i="32"/>
  <c r="AU287" i="32" s="1"/>
  <c r="AC287" i="32"/>
  <c r="AV287" i="32" s="1"/>
  <c r="AS294" i="32"/>
  <c r="AB294" i="32"/>
  <c r="AU294" i="32" s="1"/>
  <c r="AC294" i="32"/>
  <c r="AV294" i="32" s="1"/>
  <c r="AA294" i="32"/>
  <c r="AG294" i="32" s="1"/>
  <c r="AR294" i="32" s="1"/>
  <c r="AP289" i="32"/>
  <c r="AT289" i="32"/>
  <c r="AF289" i="32"/>
  <c r="AS292" i="32"/>
  <c r="AB292" i="32"/>
  <c r="AU292" i="32" s="1"/>
  <c r="AC292" i="32"/>
  <c r="AV292" i="32" s="1"/>
  <c r="Z289" i="32"/>
  <c r="AQ285" i="32"/>
  <c r="AX285" i="32" s="1"/>
  <c r="AQ286" i="32"/>
  <c r="AX286" i="32" s="1"/>
  <c r="AQ287" i="32"/>
  <c r="AX287" i="32" s="1"/>
  <c r="AQ288" i="32"/>
  <c r="AX288" i="32" s="1"/>
  <c r="AQ296" i="32"/>
  <c r="AX290" i="32"/>
  <c r="AX296" i="32" s="1"/>
  <c r="AY296" i="32"/>
  <c r="AS293" i="32"/>
  <c r="AB293" i="32"/>
  <c r="AU293" i="32" s="1"/>
  <c r="AC293" i="32"/>
  <c r="AV293" i="32" s="1"/>
  <c r="AS297" i="32"/>
  <c r="AS298" i="32" s="1"/>
  <c r="AA297" i="32"/>
  <c r="AB297" i="32"/>
  <c r="AV297" i="32"/>
  <c r="AV298" i="32" s="1"/>
  <c r="O301" i="32"/>
  <c r="Z301" i="32"/>
  <c r="V290" i="32"/>
  <c r="AY297" i="32"/>
  <c r="AY298" i="32" s="1"/>
  <c r="AQ297" i="32"/>
  <c r="AF84" i="31"/>
  <c r="AW14" i="31"/>
  <c r="AW84" i="31" s="1"/>
  <c r="AT44" i="31"/>
  <c r="Z48" i="31"/>
  <c r="Z81" i="31"/>
  <c r="V84" i="31"/>
  <c r="AS14" i="31"/>
  <c r="AB14" i="31"/>
  <c r="AA14" i="31"/>
  <c r="T74" i="31"/>
  <c r="AI74" i="31"/>
  <c r="AP75" i="31" s="1"/>
  <c r="AQ19" i="31"/>
  <c r="AX16" i="31"/>
  <c r="AX19" i="31" s="1"/>
  <c r="AY16" i="31"/>
  <c r="AG17" i="31"/>
  <c r="AR17" i="31" s="1"/>
  <c r="AC21" i="31"/>
  <c r="AV21" i="31" s="1"/>
  <c r="AB21" i="31"/>
  <c r="AU21" i="31" s="1"/>
  <c r="AS21" i="31"/>
  <c r="R23" i="31"/>
  <c r="R74" i="31" s="1"/>
  <c r="V23" i="31"/>
  <c r="V32" i="31"/>
  <c r="AS26" i="31"/>
  <c r="AB26" i="31"/>
  <c r="AC26" i="31"/>
  <c r="AA26" i="31"/>
  <c r="V85" i="31"/>
  <c r="AS30" i="31"/>
  <c r="AB30" i="31"/>
  <c r="AC30" i="31"/>
  <c r="AA30" i="31"/>
  <c r="AA38" i="31"/>
  <c r="AG33" i="31"/>
  <c r="AY34" i="31"/>
  <c r="AY36" i="31"/>
  <c r="AS50" i="31"/>
  <c r="AC50" i="31"/>
  <c r="AV50" i="31" s="1"/>
  <c r="AB50" i="31"/>
  <c r="AU50" i="31" s="1"/>
  <c r="AA50" i="31"/>
  <c r="AG50" i="31" s="1"/>
  <c r="AR50" i="31" s="1"/>
  <c r="AZ55" i="31"/>
  <c r="AZ57" i="31" s="1"/>
  <c r="AP57" i="31"/>
  <c r="AA69" i="31"/>
  <c r="AB69" i="31"/>
  <c r="AU69" i="31" s="1"/>
  <c r="AS69" i="31"/>
  <c r="AC69" i="31"/>
  <c r="AV69" i="31" s="1"/>
  <c r="AZ72" i="31"/>
  <c r="AQ72" i="31"/>
  <c r="AX72" i="31" s="1"/>
  <c r="Z15" i="31"/>
  <c r="AT12" i="31"/>
  <c r="Z78" i="31"/>
  <c r="AC23" i="31"/>
  <c r="AV20" i="31"/>
  <c r="AV23" i="31" s="1"/>
  <c r="AT87" i="31"/>
  <c r="AT25" i="31"/>
  <c r="AF78" i="31"/>
  <c r="AW12" i="31"/>
  <c r="AX12" i="31"/>
  <c r="AQ15" i="31"/>
  <c r="AP84" i="31"/>
  <c r="AF15" i="31"/>
  <c r="AY15" i="31"/>
  <c r="AA19" i="31"/>
  <c r="AG16" i="31"/>
  <c r="AA20" i="31"/>
  <c r="AY20" i="31"/>
  <c r="AY23" i="31" s="1"/>
  <c r="AQ20" i="31"/>
  <c r="AQ78" i="31" s="1"/>
  <c r="AW23" i="31"/>
  <c r="AO87" i="31"/>
  <c r="AO25" i="31"/>
  <c r="AQ24" i="31"/>
  <c r="AQ79" i="31"/>
  <c r="AQ32" i="31"/>
  <c r="AX26" i="31"/>
  <c r="AX30" i="31"/>
  <c r="AS38" i="31"/>
  <c r="AP52" i="31"/>
  <c r="AZ49" i="31"/>
  <c r="AZ52" i="31" s="1"/>
  <c r="AA56" i="31"/>
  <c r="AS56" i="31"/>
  <c r="AC56" i="31"/>
  <c r="AV56" i="31" s="1"/>
  <c r="AB56" i="31"/>
  <c r="AU56" i="31" s="1"/>
  <c r="AO77" i="31"/>
  <c r="AS13" i="31"/>
  <c r="AC13" i="31"/>
  <c r="AV13" i="31" s="1"/>
  <c r="AB13" i="31"/>
  <c r="AU13" i="31" s="1"/>
  <c r="AU19" i="31"/>
  <c r="AY17" i="31"/>
  <c r="AY78" i="31" s="1"/>
  <c r="AS20" i="31"/>
  <c r="AQ38" i="31"/>
  <c r="AX33" i="31"/>
  <c r="AX38" i="31" s="1"/>
  <c r="AC45" i="31"/>
  <c r="AV45" i="31" s="1"/>
  <c r="AS45" i="31"/>
  <c r="AA45" i="31"/>
  <c r="AB45" i="31"/>
  <c r="AQ54" i="31"/>
  <c r="AX54" i="31" s="1"/>
  <c r="AY54" i="31"/>
  <c r="R67" i="31"/>
  <c r="V65" i="31"/>
  <c r="AQ84" i="31"/>
  <c r="AX14" i="31"/>
  <c r="R75" i="31"/>
  <c r="AZ15" i="31"/>
  <c r="AY18" i="31"/>
  <c r="AO19" i="31"/>
  <c r="AO74" i="31" s="1"/>
  <c r="AB20" i="31"/>
  <c r="AP23" i="31"/>
  <c r="AB22" i="31"/>
  <c r="AU22" i="31" s="1"/>
  <c r="AS22" i="31"/>
  <c r="AA22" i="31"/>
  <c r="Z87" i="31"/>
  <c r="Z25" i="31"/>
  <c r="AP87" i="31"/>
  <c r="AZ24" i="31"/>
  <c r="AP25" i="31"/>
  <c r="AY24" i="31"/>
  <c r="AF79" i="31"/>
  <c r="AW26" i="31"/>
  <c r="AT29" i="31"/>
  <c r="AA29" i="31"/>
  <c r="AF85" i="31"/>
  <c r="AW30" i="31"/>
  <c r="AW85" i="31" s="1"/>
  <c r="AY33" i="31"/>
  <c r="AY35" i="31"/>
  <c r="AY37" i="31"/>
  <c r="AO38" i="31"/>
  <c r="V81" i="31"/>
  <c r="AX53" i="31"/>
  <c r="AQ64" i="31"/>
  <c r="AZ73" i="31"/>
  <c r="AZ70" i="31"/>
  <c r="AP73" i="31"/>
  <c r="Z32" i="31"/>
  <c r="AS27" i="31"/>
  <c r="AB27" i="31"/>
  <c r="AU27" i="31" s="1"/>
  <c r="AZ28" i="31"/>
  <c r="Z85" i="31"/>
  <c r="AS31" i="31"/>
  <c r="AB31" i="31"/>
  <c r="AU31" i="31" s="1"/>
  <c r="AU33" i="31"/>
  <c r="AU38" i="31" s="1"/>
  <c r="AO86" i="31"/>
  <c r="AO40" i="31"/>
  <c r="AY39" i="31"/>
  <c r="AQ39" i="31"/>
  <c r="R40" i="31"/>
  <c r="AP43" i="31"/>
  <c r="AQ41" i="31"/>
  <c r="AS42" i="31"/>
  <c r="AB42" i="31"/>
  <c r="AU42" i="31" s="1"/>
  <c r="AC42" i="31"/>
  <c r="AV42" i="31" s="1"/>
  <c r="AV43" i="31" s="1"/>
  <c r="AC46" i="31"/>
  <c r="AV46" i="31" s="1"/>
  <c r="AS46" i="31"/>
  <c r="AA46" i="31"/>
  <c r="AY50" i="31"/>
  <c r="AQ50" i="31"/>
  <c r="AX50" i="31" s="1"/>
  <c r="AY51" i="31"/>
  <c r="AQ51" i="31"/>
  <c r="AX51" i="31" s="1"/>
  <c r="AA54" i="31"/>
  <c r="AC54" i="31"/>
  <c r="AV54" i="31" s="1"/>
  <c r="AB54" i="31"/>
  <c r="AU54" i="31" s="1"/>
  <c r="Z64" i="31"/>
  <c r="AT58" i="31"/>
  <c r="AT64" i="31" s="1"/>
  <c r="AS59" i="31"/>
  <c r="AB59" i="31"/>
  <c r="AU59" i="31" s="1"/>
  <c r="AC59" i="31"/>
  <c r="AA59" i="31"/>
  <c r="AS60" i="31"/>
  <c r="AB60" i="31"/>
  <c r="AU60" i="31" s="1"/>
  <c r="AA60" i="31"/>
  <c r="Z73" i="31"/>
  <c r="I77" i="31"/>
  <c r="M77" i="31"/>
  <c r="Q77" i="31"/>
  <c r="O76" i="31" s="1"/>
  <c r="U77" i="31"/>
  <c r="Y77" i="31"/>
  <c r="Z76" i="31" s="1"/>
  <c r="R79" i="31"/>
  <c r="Z79" i="31"/>
  <c r="Z84" i="31"/>
  <c r="Y74" i="31"/>
  <c r="Z75" i="31" s="1"/>
  <c r="AD74" i="31"/>
  <c r="AL74" i="31"/>
  <c r="R19" i="31"/>
  <c r="V19" i="31"/>
  <c r="AY21" i="31"/>
  <c r="AQ21" i="31"/>
  <c r="AX21" i="31" s="1"/>
  <c r="AW87" i="31"/>
  <c r="AW25" i="31"/>
  <c r="AT26" i="31"/>
  <c r="AS28" i="31"/>
  <c r="AB28" i="31"/>
  <c r="AU28" i="31" s="1"/>
  <c r="AZ29" i="31"/>
  <c r="AZ84" i="31" s="1"/>
  <c r="AO85" i="31"/>
  <c r="AT30" i="31"/>
  <c r="AT85" i="31" s="1"/>
  <c r="AY85" i="31"/>
  <c r="R38" i="31"/>
  <c r="V38" i="31"/>
  <c r="V39" i="31"/>
  <c r="AZ39" i="31"/>
  <c r="AP86" i="31"/>
  <c r="AP40" i="31"/>
  <c r="AY43" i="31"/>
  <c r="AF81" i="31"/>
  <c r="AQ81" i="31"/>
  <c r="AQ48" i="31"/>
  <c r="AX44" i="31"/>
  <c r="AW44" i="31"/>
  <c r="AC47" i="31"/>
  <c r="AV47" i="31" s="1"/>
  <c r="AS47" i="31"/>
  <c r="AA47" i="31"/>
  <c r="AG47" i="31" s="1"/>
  <c r="AR47" i="31" s="1"/>
  <c r="V49" i="31"/>
  <c r="AT52" i="31"/>
  <c r="V53" i="31"/>
  <c r="V79" i="31" s="1"/>
  <c r="AW53" i="31"/>
  <c r="AW57" i="31" s="1"/>
  <c r="AS54" i="31"/>
  <c r="Z57" i="31"/>
  <c r="AA58" i="31"/>
  <c r="AX64" i="31"/>
  <c r="AX65" i="31"/>
  <c r="AX67" i="31" s="1"/>
  <c r="AC66" i="31"/>
  <c r="AV66" i="31" s="1"/>
  <c r="AA66" i="31"/>
  <c r="AS66" i="31"/>
  <c r="R73" i="31"/>
  <c r="AW73" i="31"/>
  <c r="I76" i="31"/>
  <c r="R78" i="31"/>
  <c r="R81" i="31"/>
  <c r="V12" i="31"/>
  <c r="AP78" i="31"/>
  <c r="AP15" i="31"/>
  <c r="AO84" i="31"/>
  <c r="AT14" i="31"/>
  <c r="AT84" i="31" s="1"/>
  <c r="AY84" i="31"/>
  <c r="U74" i="31"/>
  <c r="AE74" i="31"/>
  <c r="AM74" i="31"/>
  <c r="AW16" i="31"/>
  <c r="AW19" i="31" s="1"/>
  <c r="AY22" i="31"/>
  <c r="AQ22" i="31"/>
  <c r="AX22" i="31" s="1"/>
  <c r="V24" i="31"/>
  <c r="AP79" i="31"/>
  <c r="AP32" i="31"/>
  <c r="AZ26" i="31"/>
  <c r="AA27" i="31"/>
  <c r="AG27" i="31" s="1"/>
  <c r="AR27" i="31" s="1"/>
  <c r="AS29" i="31"/>
  <c r="AB29" i="31"/>
  <c r="AU29" i="31" s="1"/>
  <c r="R85" i="31"/>
  <c r="AP85" i="31"/>
  <c r="AZ30" i="31"/>
  <c r="AZ85" i="31" s="1"/>
  <c r="AA31" i="31"/>
  <c r="AG31" i="31" s="1"/>
  <c r="AR31" i="31" s="1"/>
  <c r="AW33" i="31"/>
  <c r="AW38" i="31" s="1"/>
  <c r="AW86" i="31"/>
  <c r="AW40" i="31"/>
  <c r="Z43" i="31"/>
  <c r="AT41" i="31"/>
  <c r="AT43" i="31" s="1"/>
  <c r="AZ41" i="31"/>
  <c r="AZ43" i="31" s="1"/>
  <c r="AA42" i="31"/>
  <c r="AG42" i="31" s="1"/>
  <c r="AR42" i="31" s="1"/>
  <c r="AC44" i="31"/>
  <c r="AS44" i="31"/>
  <c r="AA44" i="31"/>
  <c r="AZ81" i="31"/>
  <c r="AZ48" i="31"/>
  <c r="AB46" i="31"/>
  <c r="AU46" i="31" s="1"/>
  <c r="R48" i="31"/>
  <c r="V48" i="31"/>
  <c r="AF48" i="31"/>
  <c r="AY49" i="31"/>
  <c r="AQ49" i="31"/>
  <c r="AO52" i="31"/>
  <c r="AS51" i="31"/>
  <c r="AQ55" i="31"/>
  <c r="AX55" i="31" s="1"/>
  <c r="AY55" i="31"/>
  <c r="AQ56" i="31"/>
  <c r="AX56" i="31" s="1"/>
  <c r="AW64" i="31"/>
  <c r="AY64" i="31"/>
  <c r="AC60" i="31"/>
  <c r="AV60" i="31" s="1"/>
  <c r="AS63" i="31"/>
  <c r="AB63" i="31"/>
  <c r="AU63" i="31" s="1"/>
  <c r="AC63" i="31"/>
  <c r="AV63" i="31" s="1"/>
  <c r="AA63" i="31"/>
  <c r="AF67" i="31"/>
  <c r="AW65" i="31"/>
  <c r="AW67" i="31" s="1"/>
  <c r="V68" i="31"/>
  <c r="AQ71" i="31"/>
  <c r="AX71" i="31" s="1"/>
  <c r="AH74" i="31"/>
  <c r="AO75" i="31" s="1"/>
  <c r="AO79" i="31"/>
  <c r="V43" i="31"/>
  <c r="AS41" i="31"/>
  <c r="AS43" i="31" s="1"/>
  <c r="AB41" i="31"/>
  <c r="AG41" i="31" s="1"/>
  <c r="AF43" i="31"/>
  <c r="AY44" i="31"/>
  <c r="AO48" i="31"/>
  <c r="AO57" i="31"/>
  <c r="AY53" i="31"/>
  <c r="AY79" i="31" s="1"/>
  <c r="AP64" i="31"/>
  <c r="AZ58" i="31"/>
  <c r="AZ64" i="31" s="1"/>
  <c r="AS61" i="31"/>
  <c r="AB61" i="31"/>
  <c r="AU61" i="31" s="1"/>
  <c r="Z67" i="31"/>
  <c r="AT65" i="31"/>
  <c r="AT67" i="31" s="1"/>
  <c r="AT69" i="31"/>
  <c r="AT73" i="31" s="1"/>
  <c r="AA71" i="31"/>
  <c r="AG71" i="31" s="1"/>
  <c r="AR71" i="31" s="1"/>
  <c r="AS71" i="31"/>
  <c r="AC72" i="31"/>
  <c r="AV72" i="31" s="1"/>
  <c r="AP81" i="31"/>
  <c r="AA55" i="31"/>
  <c r="AG55" i="31" s="1"/>
  <c r="AR55" i="31" s="1"/>
  <c r="AS55" i="31"/>
  <c r="V64" i="31"/>
  <c r="AS58" i="31"/>
  <c r="AS64" i="31" s="1"/>
  <c r="AB58" i="31"/>
  <c r="AS62" i="31"/>
  <c r="AB62" i="31"/>
  <c r="AU62" i="31" s="1"/>
  <c r="AF64" i="31"/>
  <c r="AY66" i="31"/>
  <c r="AY67" i="31" s="1"/>
  <c r="AQ66" i="31"/>
  <c r="AX66" i="31" s="1"/>
  <c r="AA70" i="31"/>
  <c r="AC70" i="31"/>
  <c r="AV70" i="31" s="1"/>
  <c r="AQ70" i="31"/>
  <c r="AX70" i="31" s="1"/>
  <c r="AX73" i="31" s="1"/>
  <c r="AG72" i="31"/>
  <c r="AR72" i="31" s="1"/>
  <c r="AS72" i="31"/>
  <c r="AO73" i="31"/>
  <c r="AY68" i="31"/>
  <c r="AY73" i="31" s="1"/>
  <c r="I75" i="31"/>
  <c r="AZ15" i="30"/>
  <c r="AV38" i="30"/>
  <c r="AA46" i="30"/>
  <c r="AS46" i="30"/>
  <c r="AB46" i="30"/>
  <c r="AU46" i="30" s="1"/>
  <c r="AU48" i="30" s="1"/>
  <c r="AC46" i="30"/>
  <c r="AV46" i="30" s="1"/>
  <c r="R101" i="30"/>
  <c r="AW113" i="30"/>
  <c r="AW17" i="30"/>
  <c r="V105" i="30"/>
  <c r="V23" i="30"/>
  <c r="AS18" i="30"/>
  <c r="AB18" i="30"/>
  <c r="AA18" i="30"/>
  <c r="AC24" i="30"/>
  <c r="V28" i="30"/>
  <c r="AS24" i="30"/>
  <c r="AB24" i="30"/>
  <c r="AA24" i="30"/>
  <c r="AZ28" i="30"/>
  <c r="AC41" i="30"/>
  <c r="AV41" i="30" s="1"/>
  <c r="AB41" i="30"/>
  <c r="AU41" i="30" s="1"/>
  <c r="AS41" i="30"/>
  <c r="AA41" i="30"/>
  <c r="AT15" i="30"/>
  <c r="R113" i="30"/>
  <c r="V16" i="30"/>
  <c r="AO113" i="30"/>
  <c r="AO17" i="30"/>
  <c r="AO100" i="30" s="1"/>
  <c r="AY16" i="30"/>
  <c r="AQ16" i="30"/>
  <c r="AP105" i="30"/>
  <c r="AP23" i="30"/>
  <c r="AZ18" i="30"/>
  <c r="AT28" i="30"/>
  <c r="AC27" i="30"/>
  <c r="AV27" i="30" s="1"/>
  <c r="AS27" i="30"/>
  <c r="AB27" i="30"/>
  <c r="AU27" i="30" s="1"/>
  <c r="AA27" i="30"/>
  <c r="AX45" i="30"/>
  <c r="AX48" i="30" s="1"/>
  <c r="AC25" i="30"/>
  <c r="AV25" i="30" s="1"/>
  <c r="AS25" i="30"/>
  <c r="AB25" i="30"/>
  <c r="AU25" i="30" s="1"/>
  <c r="AA25" i="30"/>
  <c r="AA15" i="30"/>
  <c r="R17" i="30"/>
  <c r="AV18" i="30"/>
  <c r="AT105" i="30"/>
  <c r="AC26" i="30"/>
  <c r="AV26" i="30" s="1"/>
  <c r="AS26" i="30"/>
  <c r="AB26" i="30"/>
  <c r="AU26" i="30" s="1"/>
  <c r="AA26" i="30"/>
  <c r="AT112" i="30"/>
  <c r="AT30" i="30"/>
  <c r="AS39" i="30"/>
  <c r="AA39" i="30"/>
  <c r="AC39" i="30"/>
  <c r="AV39" i="30" s="1"/>
  <c r="AB39" i="30"/>
  <c r="AU39" i="30" s="1"/>
  <c r="AC21" i="30"/>
  <c r="AV21" i="30" s="1"/>
  <c r="AC22" i="30"/>
  <c r="AV22" i="30" s="1"/>
  <c r="AQ37" i="30"/>
  <c r="AX31" i="30"/>
  <c r="AX37" i="30" s="1"/>
  <c r="AV31" i="30"/>
  <c r="R107" i="30"/>
  <c r="V32" i="30"/>
  <c r="V37" i="30" s="1"/>
  <c r="AX32" i="30"/>
  <c r="AC42" i="30"/>
  <c r="AV42" i="30" s="1"/>
  <c r="AY43" i="30"/>
  <c r="AQ43" i="30"/>
  <c r="AX43" i="30" s="1"/>
  <c r="Z54" i="30"/>
  <c r="AT49" i="30"/>
  <c r="AY56" i="30"/>
  <c r="AQ56" i="30"/>
  <c r="AX56" i="30" s="1"/>
  <c r="AA64" i="30"/>
  <c r="AG64" i="30" s="1"/>
  <c r="AR64" i="30" s="1"/>
  <c r="AS64" i="30"/>
  <c r="AC64" i="30"/>
  <c r="AV64" i="30" s="1"/>
  <c r="AB64" i="30"/>
  <c r="AU64" i="30" s="1"/>
  <c r="R104" i="30"/>
  <c r="AB12" i="30"/>
  <c r="AS12" i="30"/>
  <c r="AB13" i="30"/>
  <c r="AU13" i="30" s="1"/>
  <c r="AS13" i="30"/>
  <c r="R110" i="30"/>
  <c r="AB14" i="30"/>
  <c r="AO110" i="30"/>
  <c r="R15" i="30"/>
  <c r="Z15" i="30"/>
  <c r="AD100" i="30"/>
  <c r="AH100" i="30"/>
  <c r="AL100" i="30"/>
  <c r="AT16" i="30"/>
  <c r="Z105" i="30"/>
  <c r="AF105" i="30"/>
  <c r="AQ18" i="30"/>
  <c r="AY18" i="30"/>
  <c r="AQ19" i="30"/>
  <c r="AX19" i="30" s="1"/>
  <c r="Z111" i="30"/>
  <c r="AF111" i="30"/>
  <c r="AQ20" i="30"/>
  <c r="AQ21" i="30"/>
  <c r="AX21" i="30" s="1"/>
  <c r="AQ22" i="30"/>
  <c r="AX22" i="30" s="1"/>
  <c r="AF23" i="30"/>
  <c r="AB29" i="30"/>
  <c r="AS29" i="30"/>
  <c r="AW29" i="30"/>
  <c r="R30" i="30"/>
  <c r="V30" i="30"/>
  <c r="AA30" i="30"/>
  <c r="AW31" i="30"/>
  <c r="AW37" i="30" s="1"/>
  <c r="Z107" i="30"/>
  <c r="AT32" i="30"/>
  <c r="AW32" i="30"/>
  <c r="AB40" i="30"/>
  <c r="AU40" i="30" s="1"/>
  <c r="AY40" i="30"/>
  <c r="AQ40" i="30"/>
  <c r="AX40" i="30" s="1"/>
  <c r="AS42" i="30"/>
  <c r="AB43" i="30"/>
  <c r="AU43" i="30" s="1"/>
  <c r="AC45" i="30"/>
  <c r="AV49" i="30"/>
  <c r="AP54" i="30"/>
  <c r="AP100" i="30" s="1"/>
  <c r="AQ49" i="30"/>
  <c r="AC60" i="30"/>
  <c r="AV60" i="30" s="1"/>
  <c r="AB60" i="30"/>
  <c r="AU60" i="30" s="1"/>
  <c r="AA60" i="30"/>
  <c r="AS60" i="30"/>
  <c r="AF71" i="30"/>
  <c r="AW66" i="30"/>
  <c r="AW71" i="30" s="1"/>
  <c r="AA74" i="30"/>
  <c r="AB74" i="30"/>
  <c r="AU74" i="30" s="1"/>
  <c r="AC74" i="30"/>
  <c r="AV74" i="30" s="1"/>
  <c r="AT82" i="30"/>
  <c r="Z85" i="30"/>
  <c r="AA82" i="30"/>
  <c r="AT83" i="30"/>
  <c r="AA83" i="30"/>
  <c r="AT84" i="30"/>
  <c r="AA84" i="30"/>
  <c r="AA86" i="30"/>
  <c r="AB86" i="30"/>
  <c r="AS86" i="30"/>
  <c r="AC86" i="30"/>
  <c r="AA90" i="30"/>
  <c r="AB90" i="30"/>
  <c r="AU90" i="30" s="1"/>
  <c r="AS90" i="30"/>
  <c r="AC90" i="30"/>
  <c r="AV90" i="30" s="1"/>
  <c r="AC19" i="30"/>
  <c r="AV19" i="30" s="1"/>
  <c r="AT111" i="30"/>
  <c r="R37" i="30"/>
  <c r="V44" i="30"/>
  <c r="AW48" i="30"/>
  <c r="AS50" i="30"/>
  <c r="AB50" i="30"/>
  <c r="AU50" i="30" s="1"/>
  <c r="AC50" i="30"/>
  <c r="AV50" i="30" s="1"/>
  <c r="AS52" i="30"/>
  <c r="AB52" i="30"/>
  <c r="AU52" i="30" s="1"/>
  <c r="AC52" i="30"/>
  <c r="AV52" i="30" s="1"/>
  <c r="AT53" i="30"/>
  <c r="AA53" i="30"/>
  <c r="AC56" i="30"/>
  <c r="AB56" i="30"/>
  <c r="AU56" i="30" s="1"/>
  <c r="AS56" i="30"/>
  <c r="AS61" i="30" s="1"/>
  <c r="AA62" i="30"/>
  <c r="V65" i="30"/>
  <c r="AS62" i="30"/>
  <c r="AC62" i="30"/>
  <c r="AB62" i="30"/>
  <c r="AY67" i="30"/>
  <c r="AQ67" i="30"/>
  <c r="AX67" i="30" s="1"/>
  <c r="AO71" i="30"/>
  <c r="AA87" i="30"/>
  <c r="AG87" i="30" s="1"/>
  <c r="AR87" i="30" s="1"/>
  <c r="AB87" i="30"/>
  <c r="AU87" i="30" s="1"/>
  <c r="AS87" i="30"/>
  <c r="AC87" i="30"/>
  <c r="AV87" i="30" s="1"/>
  <c r="AA91" i="30"/>
  <c r="AG91" i="30" s="1"/>
  <c r="AR91" i="30" s="1"/>
  <c r="AB91" i="30"/>
  <c r="AU91" i="30" s="1"/>
  <c r="AS91" i="30"/>
  <c r="AC91" i="30"/>
  <c r="AV91" i="30" s="1"/>
  <c r="I102" i="30"/>
  <c r="AC12" i="30"/>
  <c r="AP104" i="30"/>
  <c r="AX12" i="30"/>
  <c r="V110" i="30"/>
  <c r="AC14" i="30"/>
  <c r="S100" i="30"/>
  <c r="AE100" i="30"/>
  <c r="AI100" i="30"/>
  <c r="AM100" i="30"/>
  <c r="AF17" i="30"/>
  <c r="AZ17" i="30"/>
  <c r="AA19" i="30"/>
  <c r="AZ20" i="30"/>
  <c r="AA21" i="30"/>
  <c r="AA22" i="30"/>
  <c r="AW24" i="30"/>
  <c r="AW28" i="30" s="1"/>
  <c r="R28" i="30"/>
  <c r="Z28" i="30"/>
  <c r="AC29" i="30"/>
  <c r="AP112" i="30"/>
  <c r="AP30" i="30"/>
  <c r="AA31" i="30"/>
  <c r="AS31" i="30"/>
  <c r="AY31" i="30"/>
  <c r="AY37" i="30" s="1"/>
  <c r="AO107" i="30"/>
  <c r="AY32" i="30"/>
  <c r="AA33" i="30"/>
  <c r="AG33" i="30" s="1"/>
  <c r="AR33" i="30" s="1"/>
  <c r="AS33" i="30"/>
  <c r="AA34" i="30"/>
  <c r="AS34" i="30"/>
  <c r="AA35" i="30"/>
  <c r="AG35" i="30" s="1"/>
  <c r="AR35" i="30" s="1"/>
  <c r="AS35" i="30"/>
  <c r="AA36" i="30"/>
  <c r="AS36" i="30"/>
  <c r="AA38" i="30"/>
  <c r="AS38" i="30"/>
  <c r="AY41" i="30"/>
  <c r="AQ41" i="30"/>
  <c r="AX41" i="30" s="1"/>
  <c r="AA42" i="30"/>
  <c r="AG42" i="30" s="1"/>
  <c r="AR42" i="30" s="1"/>
  <c r="AG45" i="30"/>
  <c r="AS45" i="30"/>
  <c r="AS48" i="30" s="1"/>
  <c r="AT46" i="30"/>
  <c r="AT104" i="30" s="1"/>
  <c r="AA47" i="30"/>
  <c r="AG47" i="30" s="1"/>
  <c r="AR47" i="30" s="1"/>
  <c r="AC47" i="30"/>
  <c r="AV47" i="30" s="1"/>
  <c r="AA50" i="30"/>
  <c r="AG50" i="30" s="1"/>
  <c r="AR50" i="30" s="1"/>
  <c r="AA52" i="30"/>
  <c r="AG52" i="30" s="1"/>
  <c r="AR52" i="30" s="1"/>
  <c r="AW61" i="30"/>
  <c r="AA56" i="30"/>
  <c r="AC58" i="30"/>
  <c r="AV58" i="30" s="1"/>
  <c r="AS58" i="30"/>
  <c r="AB58" i="30"/>
  <c r="AU58" i="30" s="1"/>
  <c r="AY58" i="30"/>
  <c r="AQ58" i="30"/>
  <c r="AX58" i="30" s="1"/>
  <c r="AX110" i="30" s="1"/>
  <c r="AS78" i="30"/>
  <c r="AB78" i="30"/>
  <c r="AU78" i="30" s="1"/>
  <c r="AC78" i="30"/>
  <c r="AV78" i="30" s="1"/>
  <c r="AA78" i="30"/>
  <c r="AA89" i="30"/>
  <c r="AB89" i="30"/>
  <c r="AU89" i="30" s="1"/>
  <c r="AS89" i="30"/>
  <c r="AC89" i="30"/>
  <c r="AV89" i="30" s="1"/>
  <c r="V111" i="30"/>
  <c r="AC20" i="30"/>
  <c r="AY39" i="30"/>
  <c r="AQ39" i="30"/>
  <c r="AX39" i="30" s="1"/>
  <c r="AZ45" i="30"/>
  <c r="AZ48" i="30" s="1"/>
  <c r="AP48" i="30"/>
  <c r="AT51" i="30"/>
  <c r="AT110" i="30" s="1"/>
  <c r="AA51" i="30"/>
  <c r="AB61" i="30"/>
  <c r="AU55" i="30"/>
  <c r="AA63" i="30"/>
  <c r="AS63" i="30"/>
  <c r="AC63" i="30"/>
  <c r="AV63" i="30" s="1"/>
  <c r="AB63" i="30"/>
  <c r="AU63" i="30" s="1"/>
  <c r="AY68" i="30"/>
  <c r="AQ68" i="30"/>
  <c r="AX68" i="30" s="1"/>
  <c r="Z104" i="30"/>
  <c r="AF104" i="30"/>
  <c r="Z110" i="30"/>
  <c r="AF110" i="30"/>
  <c r="T100" i="30"/>
  <c r="X100" i="30"/>
  <c r="Z101" i="30" s="1"/>
  <c r="AF15" i="30"/>
  <c r="AJ100" i="30"/>
  <c r="AN100" i="30"/>
  <c r="R105" i="30"/>
  <c r="AO105" i="30"/>
  <c r="AO103" i="30" s="1"/>
  <c r="AW105" i="30"/>
  <c r="AB19" i="30"/>
  <c r="AU19" i="30" s="1"/>
  <c r="R111" i="30"/>
  <c r="AB20" i="30"/>
  <c r="AO111" i="30"/>
  <c r="AS20" i="30"/>
  <c r="AW111" i="30"/>
  <c r="AB21" i="30"/>
  <c r="AU21" i="30" s="1"/>
  <c r="AB22" i="30"/>
  <c r="AU22" i="30" s="1"/>
  <c r="R23" i="30"/>
  <c r="Z23" i="30"/>
  <c r="AT23" i="30"/>
  <c r="AX24" i="30"/>
  <c r="AX28" i="30" s="1"/>
  <c r="Z112" i="30"/>
  <c r="Z30" i="30"/>
  <c r="AQ29" i="30"/>
  <c r="AZ30" i="30"/>
  <c r="AB31" i="30"/>
  <c r="AB33" i="30"/>
  <c r="AU33" i="30" s="1"/>
  <c r="AB34" i="30"/>
  <c r="AU34" i="30" s="1"/>
  <c r="AB35" i="30"/>
  <c r="AU35" i="30" s="1"/>
  <c r="AB36" i="30"/>
  <c r="AU36" i="30" s="1"/>
  <c r="R44" i="30"/>
  <c r="AB38" i="30"/>
  <c r="AY38" i="30"/>
  <c r="AQ38" i="30"/>
  <c r="AQ104" i="30" s="1"/>
  <c r="AZ38" i="30"/>
  <c r="AZ44" i="30" s="1"/>
  <c r="AY42" i="30"/>
  <c r="AY111" i="30" s="1"/>
  <c r="AQ42" i="30"/>
  <c r="AX42" i="30" s="1"/>
  <c r="AS43" i="30"/>
  <c r="V48" i="30"/>
  <c r="AA49" i="30"/>
  <c r="AG57" i="30"/>
  <c r="AR57" i="30" s="1"/>
  <c r="AZ73" i="30"/>
  <c r="AZ75" i="30" s="1"/>
  <c r="AQ73" i="30"/>
  <c r="AX73" i="30" s="1"/>
  <c r="AF75" i="30"/>
  <c r="AW74" i="30"/>
  <c r="AW75" i="30" s="1"/>
  <c r="AS74" i="30"/>
  <c r="AS79" i="30"/>
  <c r="AB79" i="30"/>
  <c r="AU79" i="30" s="1"/>
  <c r="AA79" i="30"/>
  <c r="AC79" i="30"/>
  <c r="AV79" i="30" s="1"/>
  <c r="AQ82" i="30"/>
  <c r="AO85" i="30"/>
  <c r="AY82" i="30"/>
  <c r="AQ83" i="30"/>
  <c r="AX83" i="30" s="1"/>
  <c r="AY83" i="30"/>
  <c r="AY84" i="30"/>
  <c r="AQ84" i="30"/>
  <c r="AX84" i="30" s="1"/>
  <c r="AA88" i="30"/>
  <c r="AB88" i="30"/>
  <c r="AU88" i="30" s="1"/>
  <c r="AS88" i="30"/>
  <c r="AC88" i="30"/>
  <c r="AV88" i="30" s="1"/>
  <c r="R92" i="30"/>
  <c r="V92" i="30"/>
  <c r="AO48" i="30"/>
  <c r="AY45" i="30"/>
  <c r="AY48" i="30" s="1"/>
  <c r="AQ47" i="30"/>
  <c r="AX47" i="30" s="1"/>
  <c r="AY54" i="30"/>
  <c r="AS51" i="30"/>
  <c r="AS110" i="30" s="1"/>
  <c r="AB51" i="30"/>
  <c r="AU51" i="30" s="1"/>
  <c r="AA55" i="30"/>
  <c r="AY55" i="30"/>
  <c r="AQ55" i="30"/>
  <c r="AA59" i="30"/>
  <c r="AG59" i="30" s="1"/>
  <c r="AR59" i="30" s="1"/>
  <c r="AY59" i="30"/>
  <c r="AQ59" i="30"/>
  <c r="AX59" i="30" s="1"/>
  <c r="R61" i="30"/>
  <c r="V61" i="30"/>
  <c r="AO61" i="30"/>
  <c r="AO65" i="30"/>
  <c r="AY62" i="30"/>
  <c r="AY65" i="30" s="1"/>
  <c r="AQ62" i="30"/>
  <c r="AY63" i="30"/>
  <c r="AQ63" i="30"/>
  <c r="AX63" i="30" s="1"/>
  <c r="AY64" i="30"/>
  <c r="AY110" i="30" s="1"/>
  <c r="AQ64" i="30"/>
  <c r="AX64" i="30" s="1"/>
  <c r="AB66" i="30"/>
  <c r="AS66" i="30"/>
  <c r="AA66" i="30"/>
  <c r="AB68" i="30"/>
  <c r="AU68" i="30" s="1"/>
  <c r="AB70" i="30"/>
  <c r="AU70" i="30" s="1"/>
  <c r="AS70" i="30"/>
  <c r="AA70" i="30"/>
  <c r="AG70" i="30" s="1"/>
  <c r="AR70" i="30" s="1"/>
  <c r="AV72" i="30"/>
  <c r="AO75" i="30"/>
  <c r="AQ72" i="30"/>
  <c r="AY72" i="30"/>
  <c r="AY75" i="30" s="1"/>
  <c r="AP75" i="30"/>
  <c r="AP81" i="30"/>
  <c r="AQ76" i="30"/>
  <c r="AZ76" i="30"/>
  <c r="AX93" i="30"/>
  <c r="AX99" i="30" s="1"/>
  <c r="AC98" i="30"/>
  <c r="AV98" i="30" s="1"/>
  <c r="AA98" i="30"/>
  <c r="AG98" i="30" s="1"/>
  <c r="AR98" i="30" s="1"/>
  <c r="AY60" i="30"/>
  <c r="AQ60" i="30"/>
  <c r="AX60" i="30" s="1"/>
  <c r="AP65" i="30"/>
  <c r="AZ66" i="30"/>
  <c r="AZ71" i="30" s="1"/>
  <c r="AP71" i="30"/>
  <c r="AS68" i="30"/>
  <c r="R75" i="30"/>
  <c r="V73" i="30"/>
  <c r="AC81" i="30"/>
  <c r="AV76" i="30"/>
  <c r="AV81" i="30" s="1"/>
  <c r="AT81" i="30"/>
  <c r="AF81" i="30"/>
  <c r="AF99" i="30"/>
  <c r="AW93" i="30"/>
  <c r="AW99" i="30" s="1"/>
  <c r="U103" i="30"/>
  <c r="V54" i="30"/>
  <c r="AS49" i="30"/>
  <c r="AS54" i="30" s="1"/>
  <c r="AB49" i="30"/>
  <c r="AZ61" i="30"/>
  <c r="AY57" i="30"/>
  <c r="AQ57" i="30"/>
  <c r="AX57" i="30" s="1"/>
  <c r="V67" i="30"/>
  <c r="Z71" i="30"/>
  <c r="AT72" i="30"/>
  <c r="AT75" i="30" s="1"/>
  <c r="AZ80" i="30"/>
  <c r="AC94" i="30"/>
  <c r="AB94" i="30"/>
  <c r="AU94" i="30" s="1"/>
  <c r="AA94" i="30"/>
  <c r="AS97" i="30"/>
  <c r="AA97" i="30"/>
  <c r="AG97" i="30" s="1"/>
  <c r="AR97" i="30" s="1"/>
  <c r="I103" i="30"/>
  <c r="M103" i="30"/>
  <c r="Q103" i="30"/>
  <c r="Z102" i="30"/>
  <c r="AB53" i="30"/>
  <c r="AU53" i="30" s="1"/>
  <c r="AS53" i="30"/>
  <c r="AB69" i="30"/>
  <c r="AY69" i="30"/>
  <c r="AQ69" i="30"/>
  <c r="AX69" i="30" s="1"/>
  <c r="V81" i="30"/>
  <c r="AS76" i="30"/>
  <c r="AB76" i="30"/>
  <c r="AS80" i="30"/>
  <c r="AB80" i="30"/>
  <c r="AU80" i="30" s="1"/>
  <c r="AB82" i="30"/>
  <c r="AZ85" i="30"/>
  <c r="AB83" i="30"/>
  <c r="AU83" i="30" s="1"/>
  <c r="AB84" i="30"/>
  <c r="AU84" i="30" s="1"/>
  <c r="R85" i="30"/>
  <c r="V85" i="30"/>
  <c r="AO92" i="30"/>
  <c r="AY86" i="30"/>
  <c r="AQ86" i="30"/>
  <c r="AY87" i="30"/>
  <c r="AQ87" i="30"/>
  <c r="AX87" i="30" s="1"/>
  <c r="AY88" i="30"/>
  <c r="AQ88" i="30"/>
  <c r="AX88" i="30" s="1"/>
  <c r="AY89" i="30"/>
  <c r="AQ89" i="30"/>
  <c r="AX89" i="30" s="1"/>
  <c r="AY90" i="30"/>
  <c r="AQ90" i="30"/>
  <c r="AX90" i="30" s="1"/>
  <c r="AY91" i="30"/>
  <c r="AQ91" i="30"/>
  <c r="AX91" i="30" s="1"/>
  <c r="AS93" i="30"/>
  <c r="AS99" i="30" s="1"/>
  <c r="AB93" i="30"/>
  <c r="V99" i="30"/>
  <c r="AA93" i="30"/>
  <c r="AY94" i="30"/>
  <c r="AQ94" i="30"/>
  <c r="AX94" i="30" s="1"/>
  <c r="AP99" i="30"/>
  <c r="AY66" i="30"/>
  <c r="AQ66" i="30"/>
  <c r="AY70" i="30"/>
  <c r="AQ70" i="30"/>
  <c r="AX70" i="30" s="1"/>
  <c r="AA72" i="30"/>
  <c r="AS72" i="30"/>
  <c r="V75" i="30"/>
  <c r="Z81" i="30"/>
  <c r="AS77" i="30"/>
  <c r="AB77" i="30"/>
  <c r="AU77" i="30" s="1"/>
  <c r="AV82" i="30"/>
  <c r="AV85" i="30" s="1"/>
  <c r="AP92" i="30"/>
  <c r="AB96" i="30"/>
  <c r="AU96" i="30" s="1"/>
  <c r="AS96" i="30"/>
  <c r="AA96" i="30"/>
  <c r="AY97" i="30"/>
  <c r="AQ97" i="30"/>
  <c r="AX97" i="30" s="1"/>
  <c r="AY98" i="30"/>
  <c r="AQ98" i="30"/>
  <c r="AX98" i="30" s="1"/>
  <c r="AB95" i="30"/>
  <c r="AU95" i="30" s="1"/>
  <c r="AY95" i="30"/>
  <c r="AY99" i="30" s="1"/>
  <c r="AQ95" i="30"/>
  <c r="AX95" i="30" s="1"/>
  <c r="O102" i="30"/>
  <c r="AY96" i="30"/>
  <c r="AQ96" i="30"/>
  <c r="AX96" i="30" s="1"/>
  <c r="AO99" i="30"/>
  <c r="AQ201" i="29"/>
  <c r="AX12" i="29"/>
  <c r="AA21" i="29"/>
  <c r="AB21" i="29"/>
  <c r="AU21" i="29" s="1"/>
  <c r="AS21" i="29"/>
  <c r="AW38" i="29"/>
  <c r="AW40" i="29" s="1"/>
  <c r="AF40" i="29"/>
  <c r="AP26" i="29"/>
  <c r="AZ24" i="29"/>
  <c r="AQ24" i="29"/>
  <c r="AC30" i="29"/>
  <c r="AB30" i="29"/>
  <c r="AA30" i="29"/>
  <c r="R33" i="29"/>
  <c r="Z189" i="29"/>
  <c r="R189" i="29"/>
  <c r="AG17" i="29"/>
  <c r="AX20" i="29"/>
  <c r="AX23" i="29" s="1"/>
  <c r="AC21" i="29"/>
  <c r="AV21" i="29" s="1"/>
  <c r="Z36" i="29"/>
  <c r="AT34" i="29"/>
  <c r="AT36" i="29" s="1"/>
  <c r="AQ35" i="29"/>
  <c r="AX35" i="29" s="1"/>
  <c r="AY35" i="29"/>
  <c r="AT52" i="29"/>
  <c r="AC201" i="29"/>
  <c r="AC13" i="29"/>
  <c r="AV12" i="29"/>
  <c r="AQ13" i="29"/>
  <c r="AC19" i="29"/>
  <c r="Z198" i="29"/>
  <c r="AT15" i="29"/>
  <c r="AY17" i="29"/>
  <c r="AQ17" i="29"/>
  <c r="AO19" i="29"/>
  <c r="AS32" i="29"/>
  <c r="AA32" i="29"/>
  <c r="AB32" i="29"/>
  <c r="AU32" i="29" s="1"/>
  <c r="V33" i="29"/>
  <c r="AC18" i="29"/>
  <c r="AV18" i="29" s="1"/>
  <c r="AB18" i="29"/>
  <c r="AU18" i="29" s="1"/>
  <c r="AA18" i="29"/>
  <c r="AG18" i="29" s="1"/>
  <c r="AR18" i="29" s="1"/>
  <c r="AS18" i="29"/>
  <c r="AQ22" i="29"/>
  <c r="AX22" i="29" s="1"/>
  <c r="AY22" i="29"/>
  <c r="AQ28" i="29"/>
  <c r="AX28" i="29" s="1"/>
  <c r="AO29" i="29"/>
  <c r="AY28" i="29"/>
  <c r="AY29" i="29" s="1"/>
  <c r="AS30" i="29"/>
  <c r="AS33" i="29" s="1"/>
  <c r="AC32" i="29"/>
  <c r="AV32" i="29" s="1"/>
  <c r="AA35" i="29"/>
  <c r="AS35" i="29"/>
  <c r="AS36" i="29" s="1"/>
  <c r="AC35" i="29"/>
  <c r="AV35" i="29" s="1"/>
  <c r="V36" i="29"/>
  <c r="AB35" i="29"/>
  <c r="AU35" i="29" s="1"/>
  <c r="V63" i="29"/>
  <c r="AS60" i="29"/>
  <c r="AA60" i="29"/>
  <c r="AC62" i="29"/>
  <c r="AV62" i="29" s="1"/>
  <c r="AB62" i="29"/>
  <c r="AU62" i="29" s="1"/>
  <c r="AS62" i="29"/>
  <c r="AQ67" i="29"/>
  <c r="AC74" i="29"/>
  <c r="AV74" i="29" s="1"/>
  <c r="AB74" i="29"/>
  <c r="AU74" i="29" s="1"/>
  <c r="AS74" i="29"/>
  <c r="AA74" i="29"/>
  <c r="AS77" i="29"/>
  <c r="AA77" i="29"/>
  <c r="AC77" i="29"/>
  <c r="AV77" i="29" s="1"/>
  <c r="AZ81" i="29"/>
  <c r="AP86" i="29"/>
  <c r="AP193" i="29"/>
  <c r="AQ81" i="29"/>
  <c r="AA83" i="29"/>
  <c r="AC83" i="29"/>
  <c r="AV83" i="29" s="1"/>
  <c r="AB83" i="29"/>
  <c r="AU83" i="29" s="1"/>
  <c r="AT84" i="29"/>
  <c r="AT199" i="29" s="1"/>
  <c r="AA109" i="29"/>
  <c r="AS109" i="29"/>
  <c r="AC109" i="29"/>
  <c r="AV109" i="29" s="1"/>
  <c r="AB109" i="29"/>
  <c r="AU109" i="29" s="1"/>
  <c r="AF122" i="29"/>
  <c r="AW117" i="29"/>
  <c r="AW122" i="29" s="1"/>
  <c r="AA132" i="29"/>
  <c r="AG132" i="29" s="1"/>
  <c r="AR132" i="29" s="1"/>
  <c r="AS132" i="29"/>
  <c r="AC132" i="29"/>
  <c r="AV132" i="29" s="1"/>
  <c r="AB132" i="29"/>
  <c r="AU132" i="29" s="1"/>
  <c r="AQ139" i="29"/>
  <c r="AX139" i="29" s="1"/>
  <c r="AY139" i="29"/>
  <c r="AF201" i="29"/>
  <c r="AW12" i="29"/>
  <c r="X188" i="29"/>
  <c r="AQ16" i="29"/>
  <c r="AX14" i="29"/>
  <c r="AV19" i="29"/>
  <c r="AG25" i="29"/>
  <c r="AR25" i="29" s="1"/>
  <c r="V40" i="29"/>
  <c r="AS37" i="29"/>
  <c r="AB37" i="29"/>
  <c r="AC37" i="29"/>
  <c r="AA37" i="29"/>
  <c r="AO44" i="29"/>
  <c r="AY47" i="29"/>
  <c r="AQ47" i="29"/>
  <c r="AX47" i="29" s="1"/>
  <c r="AC57" i="29"/>
  <c r="AV57" i="29" s="1"/>
  <c r="AS57" i="29"/>
  <c r="AA57" i="29"/>
  <c r="AG57" i="29" s="1"/>
  <c r="AR57" i="29" s="1"/>
  <c r="AY61" i="29"/>
  <c r="AQ61" i="29"/>
  <c r="AX61" i="29" s="1"/>
  <c r="AB78" i="29"/>
  <c r="AU78" i="29" s="1"/>
  <c r="AC78" i="29"/>
  <c r="AV78" i="29" s="1"/>
  <c r="AC79" i="29"/>
  <c r="AV79" i="29" s="1"/>
  <c r="AS79" i="29"/>
  <c r="AA79" i="29"/>
  <c r="AB79" i="29"/>
  <c r="AU79" i="29" s="1"/>
  <c r="AS83" i="29"/>
  <c r="Z92" i="29"/>
  <c r="AT87" i="29"/>
  <c r="AT92" i="29" s="1"/>
  <c r="AA87" i="29"/>
  <c r="AA91" i="29"/>
  <c r="AT91" i="29"/>
  <c r="AZ100" i="29"/>
  <c r="AP104" i="29"/>
  <c r="AQ107" i="29"/>
  <c r="AX107" i="29" s="1"/>
  <c r="AY107" i="29"/>
  <c r="AC120" i="29"/>
  <c r="AV120" i="29" s="1"/>
  <c r="AA120" i="29"/>
  <c r="AS120" i="29"/>
  <c r="AB120" i="29"/>
  <c r="AU120" i="29" s="1"/>
  <c r="AB125" i="29"/>
  <c r="AU125" i="29" s="1"/>
  <c r="AA125" i="29"/>
  <c r="AS125" i="29"/>
  <c r="AC125" i="29"/>
  <c r="AV125" i="29" s="1"/>
  <c r="AQ141" i="29"/>
  <c r="AX141" i="29" s="1"/>
  <c r="AY141" i="29"/>
  <c r="AS154" i="29"/>
  <c r="AA154" i="29"/>
  <c r="AG154" i="29" s="1"/>
  <c r="AR154" i="29" s="1"/>
  <c r="AB154" i="29"/>
  <c r="AU154" i="29" s="1"/>
  <c r="AC154" i="29"/>
  <c r="AV154" i="29" s="1"/>
  <c r="AA158" i="29"/>
  <c r="AB158" i="29"/>
  <c r="AU158" i="29" s="1"/>
  <c r="AC158" i="29"/>
  <c r="AV158" i="29" s="1"/>
  <c r="AS158" i="29"/>
  <c r="AS163" i="29"/>
  <c r="AB163" i="29"/>
  <c r="AU163" i="29" s="1"/>
  <c r="AC163" i="29"/>
  <c r="AV163" i="29" s="1"/>
  <c r="AA163" i="29"/>
  <c r="Z195" i="29"/>
  <c r="AT166" i="29"/>
  <c r="AT195" i="29" s="1"/>
  <c r="Z171" i="29"/>
  <c r="AT41" i="29"/>
  <c r="AT44" i="29" s="1"/>
  <c r="Z44" i="29"/>
  <c r="AA65" i="29"/>
  <c r="AG65" i="29" s="1"/>
  <c r="AR65" i="29" s="1"/>
  <c r="AB65" i="29"/>
  <c r="AU65" i="29" s="1"/>
  <c r="AW68" i="29"/>
  <c r="AW71" i="29" s="1"/>
  <c r="AF71" i="29"/>
  <c r="AQ75" i="29"/>
  <c r="AX72" i="29"/>
  <c r="AX75" i="29" s="1"/>
  <c r="AZ76" i="29"/>
  <c r="AZ80" i="29" s="1"/>
  <c r="AP80" i="29"/>
  <c r="AY77" i="29"/>
  <c r="AQ77" i="29"/>
  <c r="AX77" i="29" s="1"/>
  <c r="S188" i="29"/>
  <c r="AM188" i="29"/>
  <c r="AF192" i="29"/>
  <c r="AW14" i="29"/>
  <c r="AT33" i="29"/>
  <c r="AW34" i="29"/>
  <c r="AW36" i="29" s="1"/>
  <c r="AF36" i="29"/>
  <c r="AQ44" i="29"/>
  <c r="AX41" i="29"/>
  <c r="AX44" i="29" s="1"/>
  <c r="AB46" i="29"/>
  <c r="AU46" i="29" s="1"/>
  <c r="AS46" i="29"/>
  <c r="AA46" i="29"/>
  <c r="R59" i="29"/>
  <c r="R67" i="29"/>
  <c r="V64" i="29"/>
  <c r="Z67" i="29"/>
  <c r="AC73" i="29"/>
  <c r="AV73" i="29" s="1"/>
  <c r="AB73" i="29"/>
  <c r="AU73" i="29" s="1"/>
  <c r="AS73" i="29"/>
  <c r="AA73" i="29"/>
  <c r="V201" i="29"/>
  <c r="V13" i="29"/>
  <c r="AS12" i="29"/>
  <c r="AB12" i="29"/>
  <c r="AA12" i="29"/>
  <c r="T188" i="29"/>
  <c r="AE188" i="29"/>
  <c r="AJ188" i="29"/>
  <c r="AN188" i="29"/>
  <c r="AF198" i="29"/>
  <c r="AW15" i="29"/>
  <c r="AW198" i="29" s="1"/>
  <c r="AX15" i="29"/>
  <c r="AX198" i="29" s="1"/>
  <c r="AF16" i="29"/>
  <c r="AW19" i="29"/>
  <c r="AY18" i="29"/>
  <c r="AY198" i="29" s="1"/>
  <c r="AQ18" i="29"/>
  <c r="AX18" i="29" s="1"/>
  <c r="R19" i="29"/>
  <c r="V19" i="29"/>
  <c r="AT27" i="29"/>
  <c r="AT29" i="29" s="1"/>
  <c r="Z29" i="29"/>
  <c r="AB31" i="29"/>
  <c r="AU31" i="29" s="1"/>
  <c r="AS31" i="29"/>
  <c r="AA31" i="29"/>
  <c r="AG31" i="29" s="1"/>
  <c r="AR31" i="29" s="1"/>
  <c r="AY32" i="29"/>
  <c r="AQ32" i="29"/>
  <c r="AX32" i="29" s="1"/>
  <c r="AO36" i="29"/>
  <c r="AQ34" i="29"/>
  <c r="Z40" i="29"/>
  <c r="AT37" i="29"/>
  <c r="AT40" i="29" s="1"/>
  <c r="AX40" i="29"/>
  <c r="AU44" i="29"/>
  <c r="AY41" i="29"/>
  <c r="AY44" i="29" s="1"/>
  <c r="AA42" i="29"/>
  <c r="AG42" i="29" s="1"/>
  <c r="AR42" i="29" s="1"/>
  <c r="AA49" i="29"/>
  <c r="AC49" i="29"/>
  <c r="AB49" i="29"/>
  <c r="AT53" i="29"/>
  <c r="AT55" i="29" s="1"/>
  <c r="AS54" i="29"/>
  <c r="AB54" i="29"/>
  <c r="AU54" i="29" s="1"/>
  <c r="AC54" i="29"/>
  <c r="AA54" i="29"/>
  <c r="AF59" i="29"/>
  <c r="AW56" i="29"/>
  <c r="AW59" i="29" s="1"/>
  <c r="AU56" i="29"/>
  <c r="AB60" i="29"/>
  <c r="AA62" i="29"/>
  <c r="AG62" i="29" s="1"/>
  <c r="AR62" i="29" s="1"/>
  <c r="AT67" i="29"/>
  <c r="AW67" i="29"/>
  <c r="AC65" i="29"/>
  <c r="AV65" i="29" s="1"/>
  <c r="AY71" i="29"/>
  <c r="AT70" i="29"/>
  <c r="AC72" i="29"/>
  <c r="AB72" i="29"/>
  <c r="AS72" i="29"/>
  <c r="AA72" i="29"/>
  <c r="R80" i="29"/>
  <c r="AV76" i="29"/>
  <c r="AB77" i="29"/>
  <c r="AU77" i="29" s="1"/>
  <c r="AO199" i="29"/>
  <c r="AQ84" i="29"/>
  <c r="AY84" i="29"/>
  <c r="AT93" i="29"/>
  <c r="Z98" i="29"/>
  <c r="AA93" i="29"/>
  <c r="AC94" i="29"/>
  <c r="AV94" i="29" s="1"/>
  <c r="AS94" i="29"/>
  <c r="AB94" i="29"/>
  <c r="AU94" i="29" s="1"/>
  <c r="AA94" i="29"/>
  <c r="R110" i="29"/>
  <c r="AS128" i="29"/>
  <c r="AA127" i="29"/>
  <c r="AS127" i="29"/>
  <c r="AC127" i="29"/>
  <c r="AV127" i="29" s="1"/>
  <c r="AB127" i="29"/>
  <c r="AU127" i="29" s="1"/>
  <c r="AY133" i="29"/>
  <c r="AQ133" i="29"/>
  <c r="AX133" i="29" s="1"/>
  <c r="AV200" i="29"/>
  <c r="AV136" i="29"/>
  <c r="AW144" i="29"/>
  <c r="AQ143" i="29"/>
  <c r="AX143" i="29" s="1"/>
  <c r="AY143" i="29"/>
  <c r="AY147" i="29"/>
  <c r="AQ147" i="29"/>
  <c r="AX147" i="29" s="1"/>
  <c r="AA148" i="29"/>
  <c r="AS148" i="29"/>
  <c r="AC148" i="29"/>
  <c r="AV148" i="29" s="1"/>
  <c r="AC149" i="29"/>
  <c r="AV149" i="29" s="1"/>
  <c r="AB149" i="29"/>
  <c r="AU149" i="29" s="1"/>
  <c r="AA149" i="29"/>
  <c r="AG149" i="29" s="1"/>
  <c r="AR149" i="29" s="1"/>
  <c r="AS149" i="29"/>
  <c r="Z155" i="29"/>
  <c r="AT152" i="29"/>
  <c r="AT155" i="29" s="1"/>
  <c r="AZ153" i="29"/>
  <c r="AQ153" i="29"/>
  <c r="AX153" i="29" s="1"/>
  <c r="AQ162" i="29"/>
  <c r="AX162" i="29" s="1"/>
  <c r="AZ162" i="29"/>
  <c r="AZ164" i="29" s="1"/>
  <c r="AS47" i="29"/>
  <c r="AA47" i="29"/>
  <c r="AG47" i="29" s="1"/>
  <c r="AR47" i="29" s="1"/>
  <c r="AZ85" i="29"/>
  <c r="AQ85" i="29"/>
  <c r="AX85" i="29" s="1"/>
  <c r="AG90" i="29"/>
  <c r="AR90" i="29" s="1"/>
  <c r="AS101" i="29"/>
  <c r="AA101" i="29"/>
  <c r="AG101" i="29" s="1"/>
  <c r="AR101" i="29" s="1"/>
  <c r="AC101" i="29"/>
  <c r="AV101" i="29" s="1"/>
  <c r="AQ200" i="29"/>
  <c r="AQ136" i="29"/>
  <c r="AX135" i="29"/>
  <c r="AT201" i="29"/>
  <c r="AT13" i="29"/>
  <c r="AI188" i="29"/>
  <c r="AP189" i="29" s="1"/>
  <c r="AY16" i="29"/>
  <c r="AB19" i="29"/>
  <c r="AU17" i="29"/>
  <c r="AU19" i="29" s="1"/>
  <c r="AZ20" i="29"/>
  <c r="AZ23" i="29" s="1"/>
  <c r="AP23" i="29"/>
  <c r="AA22" i="29"/>
  <c r="AC22" i="29"/>
  <c r="AV22" i="29" s="1"/>
  <c r="AB22" i="29"/>
  <c r="AU22" i="29" s="1"/>
  <c r="AZ25" i="29"/>
  <c r="AS38" i="29"/>
  <c r="AB38" i="29"/>
  <c r="AU38" i="29" s="1"/>
  <c r="AA38" i="29"/>
  <c r="AA41" i="29"/>
  <c r="AO52" i="29"/>
  <c r="AQ49" i="29"/>
  <c r="AA51" i="29"/>
  <c r="AS51" i="29"/>
  <c r="AQ59" i="29"/>
  <c r="AX56" i="29"/>
  <c r="AX59" i="29" s="1"/>
  <c r="V59" i="29"/>
  <c r="AY60" i="29"/>
  <c r="AQ60" i="29"/>
  <c r="V71" i="29"/>
  <c r="AS68" i="29"/>
  <c r="AB68" i="29"/>
  <c r="AA68" i="29"/>
  <c r="Z201" i="29"/>
  <c r="Z13" i="29"/>
  <c r="AP201" i="29"/>
  <c r="AP13" i="29"/>
  <c r="AZ12" i="29"/>
  <c r="U188" i="29"/>
  <c r="AF13" i="29"/>
  <c r="Z192" i="29"/>
  <c r="Z191" i="29" s="1"/>
  <c r="AT14" i="29"/>
  <c r="Z16" i="29"/>
  <c r="AS17" i="29"/>
  <c r="AS19" i="29" s="1"/>
  <c r="AZ19" i="29"/>
  <c r="R23" i="29"/>
  <c r="V20" i="29"/>
  <c r="AF23" i="29"/>
  <c r="Z23" i="29"/>
  <c r="V26" i="29"/>
  <c r="AS24" i="29"/>
  <c r="AS26" i="29" s="1"/>
  <c r="AB24" i="29"/>
  <c r="AA24" i="29"/>
  <c r="AV24" i="29"/>
  <c r="AV26" i="29" s="1"/>
  <c r="AA27" i="29"/>
  <c r="AQ29" i="29"/>
  <c r="AX27" i="29"/>
  <c r="AX29" i="29" s="1"/>
  <c r="AW29" i="29"/>
  <c r="AA34" i="29"/>
  <c r="AC34" i="29"/>
  <c r="AB34" i="29"/>
  <c r="AZ36" i="29"/>
  <c r="AY34" i="29"/>
  <c r="AY36" i="29" s="1"/>
  <c r="AQ40" i="29"/>
  <c r="AC38" i="29"/>
  <c r="AV38" i="29" s="1"/>
  <c r="AQ38" i="29"/>
  <c r="AX38" i="29" s="1"/>
  <c r="AG39" i="29"/>
  <c r="AR39" i="29" s="1"/>
  <c r="AZ39" i="29"/>
  <c r="AZ198" i="29" s="1"/>
  <c r="AV44" i="29"/>
  <c r="AY42" i="29"/>
  <c r="AA43" i="29"/>
  <c r="AG43" i="29" s="1"/>
  <c r="AR43" i="29" s="1"/>
  <c r="AC45" i="29"/>
  <c r="AB45" i="29"/>
  <c r="AG45" i="29" s="1"/>
  <c r="AS45" i="29"/>
  <c r="AC46" i="29"/>
  <c r="AV46" i="29" s="1"/>
  <c r="AC47" i="29"/>
  <c r="AV47" i="29" s="1"/>
  <c r="V48" i="29"/>
  <c r="AS49" i="29"/>
  <c r="AS52" i="29" s="1"/>
  <c r="AA50" i="29"/>
  <c r="AG50" i="29" s="1"/>
  <c r="AR50" i="29" s="1"/>
  <c r="AS50" i="29"/>
  <c r="AC50" i="29"/>
  <c r="AV50" i="29" s="1"/>
  <c r="AQ50" i="29"/>
  <c r="AX50" i="29" s="1"/>
  <c r="AB51" i="29"/>
  <c r="AU51" i="29" s="1"/>
  <c r="R52" i="29"/>
  <c r="V52" i="29"/>
  <c r="AF52" i="29"/>
  <c r="AP52" i="29"/>
  <c r="AA53" i="29"/>
  <c r="AC56" i="29"/>
  <c r="AS56" i="29"/>
  <c r="AA56" i="29"/>
  <c r="AB57" i="29"/>
  <c r="AU57" i="29" s="1"/>
  <c r="AC58" i="29"/>
  <c r="AV58" i="29" s="1"/>
  <c r="AS58" i="29"/>
  <c r="AA58" i="29"/>
  <c r="AG58" i="29" s="1"/>
  <c r="AR58" i="29" s="1"/>
  <c r="AC60" i="29"/>
  <c r="AS61" i="29"/>
  <c r="AZ64" i="29"/>
  <c r="AZ67" i="29" s="1"/>
  <c r="AP67" i="29"/>
  <c r="AS65" i="29"/>
  <c r="AA66" i="29"/>
  <c r="AC66" i="29"/>
  <c r="AV66" i="29" s="1"/>
  <c r="AB66" i="29"/>
  <c r="AU66" i="29" s="1"/>
  <c r="AY66" i="29"/>
  <c r="AC68" i="29"/>
  <c r="AQ68" i="29"/>
  <c r="AZ68" i="29"/>
  <c r="AZ71" i="29" s="1"/>
  <c r="AZ69" i="29"/>
  <c r="AT75" i="29"/>
  <c r="AW72" i="29"/>
  <c r="AW75" i="29" s="1"/>
  <c r="R75" i="29"/>
  <c r="V75" i="29"/>
  <c r="Z75" i="29"/>
  <c r="V80" i="29"/>
  <c r="AB76" i="29"/>
  <c r="AS76" i="29"/>
  <c r="AS80" i="29" s="1"/>
  <c r="AA76" i="29"/>
  <c r="AW80" i="29"/>
  <c r="AA78" i="29"/>
  <c r="AA82" i="29"/>
  <c r="AB82" i="29"/>
  <c r="AU82" i="29" s="1"/>
  <c r="AS82" i="29"/>
  <c r="AA85" i="29"/>
  <c r="AS85" i="29"/>
  <c r="AC85" i="29"/>
  <c r="AV85" i="29" s="1"/>
  <c r="R86" i="29"/>
  <c r="Z86" i="29"/>
  <c r="AS88" i="29"/>
  <c r="AB88" i="29"/>
  <c r="AU88" i="29" s="1"/>
  <c r="AC88" i="29"/>
  <c r="AV88" i="29" s="1"/>
  <c r="AA88" i="29"/>
  <c r="AF92" i="29"/>
  <c r="AT97" i="29"/>
  <c r="AA97" i="29"/>
  <c r="AG97" i="29" s="1"/>
  <c r="AR97" i="29" s="1"/>
  <c r="AT110" i="29"/>
  <c r="AQ122" i="29"/>
  <c r="AX117" i="29"/>
  <c r="AX122" i="29" s="1"/>
  <c r="AC119" i="29"/>
  <c r="AV119" i="29" s="1"/>
  <c r="AB119" i="29"/>
  <c r="AU119" i="29" s="1"/>
  <c r="AA119" i="29"/>
  <c r="AG119" i="29" s="1"/>
  <c r="AR119" i="29" s="1"/>
  <c r="AS119" i="29"/>
  <c r="R134" i="29"/>
  <c r="V129" i="29"/>
  <c r="AQ137" i="29"/>
  <c r="AO144" i="29"/>
  <c r="AY137" i="29"/>
  <c r="AY145" i="29"/>
  <c r="AQ145" i="29"/>
  <c r="AO151" i="29"/>
  <c r="AO160" i="29"/>
  <c r="AQ156" i="29"/>
  <c r="AY156" i="29"/>
  <c r="AW175" i="29"/>
  <c r="AW180" i="29" s="1"/>
  <c r="AF180" i="29"/>
  <c r="AZ177" i="29"/>
  <c r="AQ177" i="29"/>
  <c r="AX177" i="29" s="1"/>
  <c r="R193" i="29"/>
  <c r="AP199" i="29"/>
  <c r="AZ84" i="29"/>
  <c r="AS89" i="29"/>
  <c r="AB89" i="29"/>
  <c r="AU89" i="29" s="1"/>
  <c r="AZ90" i="29"/>
  <c r="AC95" i="29"/>
  <c r="AV95" i="29" s="1"/>
  <c r="AS95" i="29"/>
  <c r="AB95" i="29"/>
  <c r="AU95" i="29" s="1"/>
  <c r="AS102" i="29"/>
  <c r="AY136" i="29"/>
  <c r="AZ195" i="29"/>
  <c r="Y188" i="29"/>
  <c r="AK188" i="29"/>
  <c r="R192" i="29"/>
  <c r="AO192" i="29"/>
  <c r="R198" i="29"/>
  <c r="AO198" i="29"/>
  <c r="R16" i="29"/>
  <c r="AT21" i="29"/>
  <c r="AT23" i="29" s="1"/>
  <c r="AS25" i="29"/>
  <c r="AB25" i="29"/>
  <c r="AU25" i="29" s="1"/>
  <c r="AY30" i="29"/>
  <c r="AY33" i="29" s="1"/>
  <c r="AQ30" i="29"/>
  <c r="AZ33" i="29"/>
  <c r="AO33" i="29"/>
  <c r="AO188" i="29" s="1"/>
  <c r="AP36" i="29"/>
  <c r="AS39" i="29"/>
  <c r="AB39" i="29"/>
  <c r="AU39" i="29" s="1"/>
  <c r="AY45" i="29"/>
  <c r="AQ45" i="29"/>
  <c r="AZ48" i="29"/>
  <c r="AO48" i="29"/>
  <c r="AZ53" i="29"/>
  <c r="AZ55" i="29" s="1"/>
  <c r="AY62" i="29"/>
  <c r="AQ62" i="29"/>
  <c r="AX62" i="29" s="1"/>
  <c r="AT65" i="29"/>
  <c r="Z71" i="29"/>
  <c r="AS69" i="29"/>
  <c r="AB69" i="29"/>
  <c r="AU69" i="29" s="1"/>
  <c r="AZ70" i="29"/>
  <c r="AY72" i="29"/>
  <c r="AY75" i="29" s="1"/>
  <c r="AY79" i="29"/>
  <c r="AQ79" i="29"/>
  <c r="AX79" i="29" s="1"/>
  <c r="V81" i="29"/>
  <c r="AF193" i="29"/>
  <c r="R199" i="29"/>
  <c r="AW199" i="29"/>
  <c r="AP92" i="29"/>
  <c r="AZ87" i="29"/>
  <c r="AZ92" i="29" s="1"/>
  <c r="AS90" i="29"/>
  <c r="AB90" i="29"/>
  <c r="AU90" i="29" s="1"/>
  <c r="AW98" i="29"/>
  <c r="AQ98" i="29"/>
  <c r="AX93" i="29"/>
  <c r="AX98" i="29" s="1"/>
  <c r="AY98" i="29"/>
  <c r="AC96" i="29"/>
  <c r="AV96" i="29" s="1"/>
  <c r="AS96" i="29"/>
  <c r="AB96" i="29"/>
  <c r="AU96" i="29" s="1"/>
  <c r="AF98" i="29"/>
  <c r="AC103" i="29"/>
  <c r="AV103" i="29" s="1"/>
  <c r="AB103" i="29"/>
  <c r="AU103" i="29" s="1"/>
  <c r="AS103" i="29"/>
  <c r="AV105" i="29"/>
  <c r="AQ105" i="29"/>
  <c r="V106" i="29"/>
  <c r="AW106" i="29"/>
  <c r="AW110" i="29" s="1"/>
  <c r="AA108" i="29"/>
  <c r="AG108" i="29" s="1"/>
  <c r="AR108" i="29" s="1"/>
  <c r="AS108" i="29"/>
  <c r="AC108" i="29"/>
  <c r="AV108" i="29" s="1"/>
  <c r="Z110" i="29"/>
  <c r="AP110" i="29"/>
  <c r="AA111" i="29"/>
  <c r="AT115" i="29"/>
  <c r="V117" i="29"/>
  <c r="R122" i="29"/>
  <c r="AY124" i="29"/>
  <c r="AQ124" i="29"/>
  <c r="AX124" i="29" s="1"/>
  <c r="AY126" i="29"/>
  <c r="AQ126" i="29"/>
  <c r="AX126" i="29" s="1"/>
  <c r="AQ134" i="29"/>
  <c r="AY134" i="29"/>
  <c r="AC200" i="29"/>
  <c r="AC136" i="29"/>
  <c r="AB151" i="29"/>
  <c r="AU145" i="29"/>
  <c r="AB146" i="29"/>
  <c r="AU146" i="29" s="1"/>
  <c r="AA146" i="29"/>
  <c r="AG146" i="29" s="1"/>
  <c r="AR146" i="29" s="1"/>
  <c r="AS146" i="29"/>
  <c r="AX152" i="29"/>
  <c r="AC167" i="29"/>
  <c r="AV167" i="29" s="1"/>
  <c r="AS167" i="29"/>
  <c r="AA167" i="29"/>
  <c r="AB167" i="29"/>
  <c r="AU167" i="29" s="1"/>
  <c r="R180" i="29"/>
  <c r="V175" i="29"/>
  <c r="AY78" i="29"/>
  <c r="AQ78" i="29"/>
  <c r="AX78" i="29" s="1"/>
  <c r="AW86" i="29"/>
  <c r="AY83" i="29"/>
  <c r="AA107" i="29"/>
  <c r="AC107" i="29"/>
  <c r="AV107" i="29" s="1"/>
  <c r="AB107" i="29"/>
  <c r="AU107" i="29" s="1"/>
  <c r="AT111" i="29"/>
  <c r="AT116" i="29" s="1"/>
  <c r="AS112" i="29"/>
  <c r="AB112" i="29"/>
  <c r="AU112" i="29" s="1"/>
  <c r="AC112" i="29"/>
  <c r="AV112" i="29" s="1"/>
  <c r="AA112" i="29"/>
  <c r="AS113" i="29"/>
  <c r="AB113" i="29"/>
  <c r="AU113" i="29" s="1"/>
  <c r="AA113" i="29"/>
  <c r="AG113" i="29" s="1"/>
  <c r="AR113" i="29" s="1"/>
  <c r="AC118" i="29"/>
  <c r="AV118" i="29" s="1"/>
  <c r="AB118" i="29"/>
  <c r="AU118" i="29" s="1"/>
  <c r="AS118" i="29"/>
  <c r="AA118" i="29"/>
  <c r="AG118" i="29" s="1"/>
  <c r="AR118" i="29" s="1"/>
  <c r="AC123" i="29"/>
  <c r="AB123" i="29"/>
  <c r="AT128" i="29"/>
  <c r="AY127" i="29"/>
  <c r="AQ127" i="29"/>
  <c r="AX127" i="29" s="1"/>
  <c r="AZ130" i="29"/>
  <c r="AZ134" i="29" s="1"/>
  <c r="AP134" i="29"/>
  <c r="AZ132" i="29"/>
  <c r="AQ132" i="29"/>
  <c r="AX132" i="29" s="1"/>
  <c r="AA133" i="29"/>
  <c r="AB133" i="29"/>
  <c r="AU133" i="29" s="1"/>
  <c r="AS133" i="29"/>
  <c r="AC133" i="29"/>
  <c r="AV133" i="29" s="1"/>
  <c r="AA200" i="29"/>
  <c r="AG135" i="29"/>
  <c r="AP200" i="29"/>
  <c r="AP136" i="29"/>
  <c r="AZ135" i="29"/>
  <c r="AG137" i="29"/>
  <c r="AR145" i="29"/>
  <c r="AS147" i="29"/>
  <c r="AA147" i="29"/>
  <c r="AC147" i="29"/>
  <c r="AV147" i="29" s="1"/>
  <c r="AB147" i="29"/>
  <c r="AU147" i="29" s="1"/>
  <c r="AY155" i="29"/>
  <c r="AA156" i="29"/>
  <c r="V160" i="29"/>
  <c r="AC156" i="29"/>
  <c r="AS156" i="29"/>
  <c r="AS160" i="29" s="1"/>
  <c r="AB156" i="29"/>
  <c r="V164" i="29"/>
  <c r="AS161" i="29"/>
  <c r="AS164" i="29" s="1"/>
  <c r="AB161" i="29"/>
  <c r="AC161" i="29"/>
  <c r="AA161" i="29"/>
  <c r="AA178" i="29"/>
  <c r="AG178" i="29" s="1"/>
  <c r="AR178" i="29" s="1"/>
  <c r="AS178" i="29"/>
  <c r="AC178" i="29"/>
  <c r="AV178" i="29" s="1"/>
  <c r="AB178" i="29"/>
  <c r="AU178" i="29" s="1"/>
  <c r="AS184" i="29"/>
  <c r="AB184" i="29"/>
  <c r="AU184" i="29" s="1"/>
  <c r="AC184" i="29"/>
  <c r="AV184" i="29" s="1"/>
  <c r="AA184" i="29"/>
  <c r="AQ184" i="29"/>
  <c r="AX184" i="29" s="1"/>
  <c r="AZ184" i="29"/>
  <c r="R13" i="29"/>
  <c r="AD188" i="29"/>
  <c r="AF189" i="29" s="1"/>
  <c r="AH188" i="29"/>
  <c r="AO189" i="29" s="1"/>
  <c r="AL188" i="29"/>
  <c r="V14" i="29"/>
  <c r="AP192" i="29"/>
  <c r="V15" i="29"/>
  <c r="AP198" i="29"/>
  <c r="AO23" i="29"/>
  <c r="AY20" i="29"/>
  <c r="AT24" i="29"/>
  <c r="AT26" i="29" s="1"/>
  <c r="R29" i="29"/>
  <c r="V29" i="29"/>
  <c r="AY31" i="29"/>
  <c r="AQ31" i="29"/>
  <c r="AX31" i="29" s="1"/>
  <c r="AP40" i="29"/>
  <c r="AZ37" i="29"/>
  <c r="R44" i="29"/>
  <c r="V44" i="29"/>
  <c r="AY46" i="29"/>
  <c r="AQ46" i="29"/>
  <c r="AX46" i="29" s="1"/>
  <c r="V55" i="29"/>
  <c r="AS53" i="29"/>
  <c r="AS55" i="29" s="1"/>
  <c r="AB53" i="29"/>
  <c r="AQ53" i="29"/>
  <c r="AF55" i="29"/>
  <c r="AY56" i="29"/>
  <c r="AY59" i="29" s="1"/>
  <c r="AO67" i="29"/>
  <c r="AY64" i="29"/>
  <c r="AY67" i="29" s="1"/>
  <c r="AT68" i="29"/>
  <c r="AS70" i="29"/>
  <c r="AB70" i="29"/>
  <c r="AU70" i="29" s="1"/>
  <c r="AY76" i="29"/>
  <c r="AQ76" i="29"/>
  <c r="Z193" i="29"/>
  <c r="AO193" i="29"/>
  <c r="AO86" i="29"/>
  <c r="AT81" i="29"/>
  <c r="AY81" i="29"/>
  <c r="V84" i="29"/>
  <c r="AF199" i="29"/>
  <c r="V92" i="29"/>
  <c r="AS87" i="29"/>
  <c r="AS92" i="29" s="1"/>
  <c r="AB87" i="29"/>
  <c r="AW92" i="29"/>
  <c r="AQ87" i="29"/>
  <c r="AV87" i="29"/>
  <c r="AA89" i="29"/>
  <c r="AG89" i="29" s="1"/>
  <c r="AR89" i="29" s="1"/>
  <c r="AS91" i="29"/>
  <c r="AB91" i="29"/>
  <c r="AU91" i="29" s="1"/>
  <c r="AQ91" i="29"/>
  <c r="AX91" i="29" s="1"/>
  <c r="AC93" i="29"/>
  <c r="V98" i="29"/>
  <c r="AS93" i="29"/>
  <c r="AB93" i="29"/>
  <c r="AA95" i="29"/>
  <c r="AG95" i="29" s="1"/>
  <c r="AR95" i="29" s="1"/>
  <c r="AC97" i="29"/>
  <c r="AV97" i="29" s="1"/>
  <c r="AS97" i="29"/>
  <c r="AB97" i="29"/>
  <c r="AU97" i="29" s="1"/>
  <c r="AW104" i="29"/>
  <c r="AB100" i="29"/>
  <c r="AU100" i="29" s="1"/>
  <c r="AS100" i="29"/>
  <c r="AA100" i="29"/>
  <c r="AG100" i="29" s="1"/>
  <c r="AR100" i="29" s="1"/>
  <c r="AY101" i="29"/>
  <c r="AQ101" i="29"/>
  <c r="AX101" i="29" s="1"/>
  <c r="AA102" i="29"/>
  <c r="AG102" i="29" s="1"/>
  <c r="AR102" i="29" s="1"/>
  <c r="AY102" i="29"/>
  <c r="AQ102" i="29"/>
  <c r="AX102" i="29" s="1"/>
  <c r="AA105" i="29"/>
  <c r="AS105" i="29"/>
  <c r="AU105" i="29"/>
  <c r="AY108" i="29"/>
  <c r="AQ109" i="29"/>
  <c r="AX109" i="29" s="1"/>
  <c r="AY116" i="29"/>
  <c r="AW112" i="29"/>
  <c r="AW116" i="29" s="1"/>
  <c r="AF116" i="29"/>
  <c r="AC113" i="29"/>
  <c r="AV113" i="29" s="1"/>
  <c r="AQ113" i="29"/>
  <c r="AX113" i="29" s="1"/>
  <c r="AG114" i="29"/>
  <c r="AR114" i="29" s="1"/>
  <c r="AZ114" i="29"/>
  <c r="AT117" i="29"/>
  <c r="AT122" i="29" s="1"/>
  <c r="Z122" i="29"/>
  <c r="AY119" i="29"/>
  <c r="AQ119" i="29"/>
  <c r="AX119" i="29" s="1"/>
  <c r="AA123" i="29"/>
  <c r="AP128" i="29"/>
  <c r="AG124" i="29"/>
  <c r="AR124" i="29" s="1"/>
  <c r="AS126" i="29"/>
  <c r="AA126" i="29"/>
  <c r="AC126" i="29"/>
  <c r="AV126" i="29" s="1"/>
  <c r="AB126" i="29"/>
  <c r="AU126" i="29" s="1"/>
  <c r="AW129" i="29"/>
  <c r="AW134" i="29" s="1"/>
  <c r="AF134" i="29"/>
  <c r="AV144" i="29"/>
  <c r="AU137" i="29"/>
  <c r="AU144" i="29" s="1"/>
  <c r="AT138" i="29"/>
  <c r="AA138" i="29"/>
  <c r="AG138" i="29" s="1"/>
  <c r="AR138" i="29" s="1"/>
  <c r="AT140" i="29"/>
  <c r="AA140" i="29"/>
  <c r="AG140" i="29" s="1"/>
  <c r="AR140" i="29" s="1"/>
  <c r="AT142" i="29"/>
  <c r="AA142" i="29"/>
  <c r="AG142" i="29" s="1"/>
  <c r="AR142" i="29" s="1"/>
  <c r="AZ146" i="29"/>
  <c r="AZ151" i="29" s="1"/>
  <c r="AP151" i="29"/>
  <c r="AY148" i="29"/>
  <c r="AQ148" i="29"/>
  <c r="AX148" i="29" s="1"/>
  <c r="AA151" i="29"/>
  <c r="AA152" i="29"/>
  <c r="AS152" i="29"/>
  <c r="AC152" i="29"/>
  <c r="V155" i="29"/>
  <c r="AB152" i="29"/>
  <c r="AP155" i="29"/>
  <c r="AZ152" i="29"/>
  <c r="AO155" i="29"/>
  <c r="AA157" i="29"/>
  <c r="AG157" i="29" s="1"/>
  <c r="AR157" i="29" s="1"/>
  <c r="AS157" i="29"/>
  <c r="AC157" i="29"/>
  <c r="AV157" i="29" s="1"/>
  <c r="AB157" i="29"/>
  <c r="AU157" i="29" s="1"/>
  <c r="AS172" i="29"/>
  <c r="AA172" i="29"/>
  <c r="AC172" i="29"/>
  <c r="AB172" i="29"/>
  <c r="V174" i="29"/>
  <c r="V173" i="29"/>
  <c r="AY179" i="29"/>
  <c r="AQ179" i="29"/>
  <c r="AX179" i="29" s="1"/>
  <c r="AS186" i="29"/>
  <c r="AB186" i="29"/>
  <c r="AU186" i="29" s="1"/>
  <c r="AC186" i="29"/>
  <c r="AV186" i="29" s="1"/>
  <c r="AA186" i="29"/>
  <c r="AG186" i="29" s="1"/>
  <c r="AR186" i="29" s="1"/>
  <c r="R98" i="29"/>
  <c r="AY99" i="29"/>
  <c r="AQ99" i="29"/>
  <c r="AZ104" i="29"/>
  <c r="AY103" i="29"/>
  <c r="AQ103" i="29"/>
  <c r="AX103" i="29" s="1"/>
  <c r="AP116" i="29"/>
  <c r="AZ111" i="29"/>
  <c r="AZ116" i="29" s="1"/>
  <c r="AS114" i="29"/>
  <c r="AB114" i="29"/>
  <c r="AU114" i="29" s="1"/>
  <c r="AZ115" i="29"/>
  <c r="AY117" i="29"/>
  <c r="AS121" i="29"/>
  <c r="AY123" i="29"/>
  <c r="AQ123" i="29"/>
  <c r="AO128" i="29"/>
  <c r="AO134" i="29"/>
  <c r="AT134" i="29"/>
  <c r="AA131" i="29"/>
  <c r="AG131" i="29" s="1"/>
  <c r="AR131" i="29" s="1"/>
  <c r="AS131" i="29"/>
  <c r="V200" i="29"/>
  <c r="V136" i="29"/>
  <c r="AS135" i="29"/>
  <c r="AB135" i="29"/>
  <c r="AF200" i="29"/>
  <c r="AW135" i="29"/>
  <c r="AT200" i="29"/>
  <c r="AT136" i="29"/>
  <c r="AF136" i="29"/>
  <c r="AV145" i="29"/>
  <c r="AY149" i="29"/>
  <c r="AQ149" i="29"/>
  <c r="AX149" i="29" s="1"/>
  <c r="AA153" i="29"/>
  <c r="AG153" i="29" s="1"/>
  <c r="AR153" i="29" s="1"/>
  <c r="AS153" i="29"/>
  <c r="R155" i="29"/>
  <c r="AT160" i="29"/>
  <c r="AA159" i="29"/>
  <c r="AG159" i="29" s="1"/>
  <c r="AR159" i="29" s="1"/>
  <c r="AB159" i="29"/>
  <c r="AU159" i="29" s="1"/>
  <c r="AW161" i="29"/>
  <c r="AW164" i="29" s="1"/>
  <c r="AF164" i="29"/>
  <c r="AY173" i="29"/>
  <c r="AQ173" i="29"/>
  <c r="AX173" i="29" s="1"/>
  <c r="AZ176" i="29"/>
  <c r="AP180" i="29"/>
  <c r="AZ178" i="29"/>
  <c r="AQ178" i="29"/>
  <c r="AX178" i="29" s="1"/>
  <c r="AX180" i="29" s="1"/>
  <c r="AA179" i="29"/>
  <c r="AB179" i="29"/>
  <c r="AU179" i="29" s="1"/>
  <c r="AS179" i="29"/>
  <c r="AC179" i="29"/>
  <c r="AV179" i="29" s="1"/>
  <c r="V99" i="29"/>
  <c r="AY100" i="29"/>
  <c r="AQ100" i="29"/>
  <c r="AX100" i="29" s="1"/>
  <c r="AO110" i="29"/>
  <c r="AY105" i="29"/>
  <c r="V116" i="29"/>
  <c r="AS111" i="29"/>
  <c r="AB111" i="29"/>
  <c r="AQ111" i="29"/>
  <c r="AV111" i="29"/>
  <c r="AS115" i="29"/>
  <c r="AB115" i="29"/>
  <c r="AU115" i="29" s="1"/>
  <c r="AS124" i="29"/>
  <c r="Z134" i="29"/>
  <c r="AA130" i="29"/>
  <c r="AG130" i="29" s="1"/>
  <c r="AR130" i="29" s="1"/>
  <c r="AC130" i="29"/>
  <c r="AV130" i="29" s="1"/>
  <c r="AQ130" i="29"/>
  <c r="AX130" i="29" s="1"/>
  <c r="AX134" i="29" s="1"/>
  <c r="AT137" i="29"/>
  <c r="AT144" i="29" s="1"/>
  <c r="Z144" i="29"/>
  <c r="AS145" i="29"/>
  <c r="AB150" i="29"/>
  <c r="AS150" i="29"/>
  <c r="R151" i="29"/>
  <c r="V151" i="29"/>
  <c r="AW160" i="29"/>
  <c r="AY157" i="29"/>
  <c r="AQ157" i="29"/>
  <c r="AX157" i="29" s="1"/>
  <c r="AF160" i="29"/>
  <c r="R195" i="29"/>
  <c r="V166" i="29"/>
  <c r="AY195" i="29"/>
  <c r="AC170" i="29"/>
  <c r="AV170" i="29" s="1"/>
  <c r="AS170" i="29"/>
  <c r="AA170" i="29"/>
  <c r="AB170" i="29"/>
  <c r="AU170" i="29" s="1"/>
  <c r="AY172" i="29"/>
  <c r="AY174" i="29" s="1"/>
  <c r="AQ172" i="29"/>
  <c r="AO174" i="29"/>
  <c r="AY180" i="29"/>
  <c r="AZ187" i="29"/>
  <c r="AA182" i="29"/>
  <c r="AY154" i="29"/>
  <c r="AQ154" i="29"/>
  <c r="AX154" i="29" s="1"/>
  <c r="Z160" i="29"/>
  <c r="AP164" i="29"/>
  <c r="AQ171" i="29"/>
  <c r="AX165" i="29"/>
  <c r="AC168" i="29"/>
  <c r="AV168" i="29" s="1"/>
  <c r="AS168" i="29"/>
  <c r="AA168" i="29"/>
  <c r="AO180" i="29"/>
  <c r="AA177" i="29"/>
  <c r="AG177" i="29" s="1"/>
  <c r="AR177" i="29" s="1"/>
  <c r="AS177" i="29"/>
  <c r="Z187" i="29"/>
  <c r="AT181" i="29"/>
  <c r="AT187" i="29" s="1"/>
  <c r="AG185" i="29"/>
  <c r="AR185" i="29" s="1"/>
  <c r="AQ185" i="29"/>
  <c r="AX185" i="29" s="1"/>
  <c r="AZ185" i="29"/>
  <c r="Z190" i="29"/>
  <c r="AO190" i="29"/>
  <c r="AY125" i="29"/>
  <c r="AQ125" i="29"/>
  <c r="AX125" i="29" s="1"/>
  <c r="Z200" i="29"/>
  <c r="Z136" i="29"/>
  <c r="R144" i="29"/>
  <c r="V144" i="29"/>
  <c r="AY146" i="29"/>
  <c r="AQ146" i="29"/>
  <c r="AX146" i="29" s="1"/>
  <c r="AY150" i="29"/>
  <c r="AQ150" i="29"/>
  <c r="AX150" i="29" s="1"/>
  <c r="AF155" i="29"/>
  <c r="AQ161" i="29"/>
  <c r="AY164" i="29"/>
  <c r="AC165" i="29"/>
  <c r="AS165" i="29"/>
  <c r="AA165" i="29"/>
  <c r="AZ171" i="29"/>
  <c r="AF195" i="29"/>
  <c r="AQ195" i="29"/>
  <c r="AX166" i="29"/>
  <c r="AX195" i="29" s="1"/>
  <c r="AW166" i="29"/>
  <c r="AC169" i="29"/>
  <c r="AV169" i="29" s="1"/>
  <c r="AS169" i="29"/>
  <c r="AA169" i="29"/>
  <c r="AG169" i="29" s="1"/>
  <c r="AR169" i="29" s="1"/>
  <c r="AZ172" i="29"/>
  <c r="AZ174" i="29" s="1"/>
  <c r="Z180" i="29"/>
  <c r="AA176" i="29"/>
  <c r="AC176" i="29"/>
  <c r="AV176" i="29" s="1"/>
  <c r="AQ176" i="29"/>
  <c r="AX176" i="29" s="1"/>
  <c r="AA181" i="29"/>
  <c r="AS183" i="29"/>
  <c r="AB183" i="29"/>
  <c r="AU183" i="29" s="1"/>
  <c r="AA183" i="29"/>
  <c r="AC183" i="29"/>
  <c r="AV183" i="29" s="1"/>
  <c r="R136" i="29"/>
  <c r="Z164" i="29"/>
  <c r="AS162" i="29"/>
  <c r="AB162" i="29"/>
  <c r="AU162" i="29" s="1"/>
  <c r="AY165" i="29"/>
  <c r="AY171" i="29" s="1"/>
  <c r="AP187" i="29"/>
  <c r="AQ181" i="29"/>
  <c r="AS182" i="29"/>
  <c r="AB182" i="29"/>
  <c r="AU182" i="29" s="1"/>
  <c r="AC182" i="29"/>
  <c r="I191" i="29"/>
  <c r="M191" i="29"/>
  <c r="I190" i="29" s="1"/>
  <c r="Q191" i="29"/>
  <c r="O190" i="29" s="1"/>
  <c r="AP195" i="29"/>
  <c r="V187" i="29"/>
  <c r="AS181" i="29"/>
  <c r="AB181" i="29"/>
  <c r="AS185" i="29"/>
  <c r="AB185" i="29"/>
  <c r="AU185" i="29" s="1"/>
  <c r="AF187" i="29"/>
  <c r="AR124" i="32" l="1"/>
  <c r="AX297" i="32"/>
  <c r="AX298" i="32" s="1"/>
  <c r="AQ298" i="32"/>
  <c r="AG285" i="32"/>
  <c r="AR285" i="32" s="1"/>
  <c r="AG279" i="32"/>
  <c r="AR279" i="32" s="1"/>
  <c r="AG277" i="32"/>
  <c r="AR277" i="32" s="1"/>
  <c r="AG270" i="32"/>
  <c r="AR270" i="32" s="1"/>
  <c r="AS268" i="32"/>
  <c r="AS261" i="32"/>
  <c r="AS240" i="32"/>
  <c r="AG230" i="32"/>
  <c r="AR230" i="32" s="1"/>
  <c r="AG258" i="32"/>
  <c r="AR258" i="32" s="1"/>
  <c r="V251" i="32"/>
  <c r="AS245" i="32"/>
  <c r="AS251" i="32" s="1"/>
  <c r="AB245" i="32"/>
  <c r="AA245" i="32"/>
  <c r="AC245" i="32"/>
  <c r="AZ240" i="32"/>
  <c r="AG265" i="32"/>
  <c r="AR265" i="32" s="1"/>
  <c r="AG263" i="32"/>
  <c r="AR263" i="32" s="1"/>
  <c r="AQ226" i="32"/>
  <c r="AX223" i="32"/>
  <c r="AX226" i="32" s="1"/>
  <c r="AB204" i="32"/>
  <c r="AU199" i="32"/>
  <c r="AU204" i="32" s="1"/>
  <c r="AA268" i="32"/>
  <c r="AG219" i="32"/>
  <c r="AR219" i="32" s="1"/>
  <c r="AG215" i="32"/>
  <c r="AR215" i="32" s="1"/>
  <c r="AG190" i="32"/>
  <c r="AR190" i="32" s="1"/>
  <c r="AG186" i="32"/>
  <c r="AR186" i="32" s="1"/>
  <c r="AA187" i="32"/>
  <c r="AG184" i="32"/>
  <c r="AG209" i="32"/>
  <c r="AR209" i="32" s="1"/>
  <c r="AA213" i="32"/>
  <c r="AG205" i="32"/>
  <c r="AC213" i="32"/>
  <c r="AV205" i="32"/>
  <c r="AV213" i="32" s="1"/>
  <c r="AS163" i="32"/>
  <c r="AX146" i="32"/>
  <c r="AX149" i="32" s="1"/>
  <c r="AQ149" i="32"/>
  <c r="AB187" i="32"/>
  <c r="AU184" i="32"/>
  <c r="AU187" i="32" s="1"/>
  <c r="AG162" i="32"/>
  <c r="AR162" i="32" s="1"/>
  <c r="AG158" i="32"/>
  <c r="AR158" i="32" s="1"/>
  <c r="AG211" i="32"/>
  <c r="AR211" i="32" s="1"/>
  <c r="AG207" i="32"/>
  <c r="AR207" i="32" s="1"/>
  <c r="AG202" i="32"/>
  <c r="AR202" i="32" s="1"/>
  <c r="V183" i="32"/>
  <c r="AS178" i="32"/>
  <c r="AS183" i="32" s="1"/>
  <c r="AB178" i="32"/>
  <c r="AA178" i="32"/>
  <c r="AC178" i="32"/>
  <c r="AQ177" i="32"/>
  <c r="AB156" i="32"/>
  <c r="AU150" i="32"/>
  <c r="AU156" i="32" s="1"/>
  <c r="AZ311" i="32"/>
  <c r="AG173" i="32"/>
  <c r="AR173" i="32" s="1"/>
  <c r="AG169" i="32"/>
  <c r="AR169" i="32" s="1"/>
  <c r="AG165" i="32"/>
  <c r="AR165" i="32" s="1"/>
  <c r="AS119" i="32"/>
  <c r="AQ311" i="32"/>
  <c r="AQ108" i="32"/>
  <c r="AX107" i="32"/>
  <c r="AC305" i="32"/>
  <c r="AV98" i="32"/>
  <c r="AV305" i="32" s="1"/>
  <c r="AG166" i="32"/>
  <c r="AR166" i="32" s="1"/>
  <c r="AC156" i="32"/>
  <c r="AV150" i="32"/>
  <c r="AV156" i="32" s="1"/>
  <c r="AG138" i="32"/>
  <c r="AR138" i="32" s="1"/>
  <c r="AG116" i="32"/>
  <c r="AR116" i="32" s="1"/>
  <c r="AZ119" i="32"/>
  <c r="AS308" i="32"/>
  <c r="AB106" i="32"/>
  <c r="AU97" i="32"/>
  <c r="AG167" i="32"/>
  <c r="AR167" i="32" s="1"/>
  <c r="AS149" i="32"/>
  <c r="V136" i="32"/>
  <c r="AS130" i="32"/>
  <c r="AS136" i="32" s="1"/>
  <c r="AB130" i="32"/>
  <c r="AA130" i="32"/>
  <c r="AC130" i="32"/>
  <c r="AB129" i="32"/>
  <c r="AU124" i="32"/>
  <c r="AU129" i="32" s="1"/>
  <c r="AQ306" i="32"/>
  <c r="AX114" i="32"/>
  <c r="AX306" i="32" s="1"/>
  <c r="AG128" i="32"/>
  <c r="AR128" i="32" s="1"/>
  <c r="AR52" i="32"/>
  <c r="AY304" i="32"/>
  <c r="AG134" i="32"/>
  <c r="AR134" i="32" s="1"/>
  <c r="AG132" i="32"/>
  <c r="AR132" i="32" s="1"/>
  <c r="AR78" i="32"/>
  <c r="V310" i="32"/>
  <c r="AC49" i="32"/>
  <c r="AS49" i="32"/>
  <c r="AS310" i="32" s="1"/>
  <c r="AB49" i="32"/>
  <c r="AA49" i="32"/>
  <c r="R299" i="32"/>
  <c r="AW119" i="32"/>
  <c r="AG99" i="32"/>
  <c r="AR99" i="32" s="1"/>
  <c r="AG89" i="32"/>
  <c r="AR89" i="32" s="1"/>
  <c r="AG61" i="32"/>
  <c r="AR61" i="32" s="1"/>
  <c r="AW304" i="32"/>
  <c r="AS123" i="32"/>
  <c r="AT119" i="32"/>
  <c r="AG93" i="32"/>
  <c r="AR93" i="32" s="1"/>
  <c r="AB96" i="32"/>
  <c r="AU91" i="32"/>
  <c r="AU96" i="32" s="1"/>
  <c r="AQ90" i="32"/>
  <c r="AX85" i="32"/>
  <c r="AX90" i="32" s="1"/>
  <c r="AS77" i="32"/>
  <c r="AX71" i="32"/>
  <c r="AB58" i="32"/>
  <c r="AS58" i="32"/>
  <c r="AS64" i="32" s="1"/>
  <c r="AA58" i="32"/>
  <c r="V64" i="32"/>
  <c r="AC58" i="32"/>
  <c r="AS57" i="32"/>
  <c r="AB38" i="32"/>
  <c r="AU35" i="32"/>
  <c r="AU38" i="32" s="1"/>
  <c r="V27" i="32"/>
  <c r="AS23" i="32"/>
  <c r="AS27" i="32" s="1"/>
  <c r="AB23" i="32"/>
  <c r="AA23" i="32"/>
  <c r="AC23" i="32"/>
  <c r="AG88" i="32"/>
  <c r="AR88" i="32" s="1"/>
  <c r="AG82" i="32"/>
  <c r="AR82" i="32" s="1"/>
  <c r="AG59" i="32"/>
  <c r="AR59" i="32" s="1"/>
  <c r="AG36" i="32"/>
  <c r="AR36" i="32" s="1"/>
  <c r="AZ310" i="32"/>
  <c r="AG25" i="32"/>
  <c r="AR25" i="32" s="1"/>
  <c r="AX17" i="32"/>
  <c r="AT303" i="32"/>
  <c r="AT17" i="32"/>
  <c r="AG73" i="32"/>
  <c r="AR73" i="32" s="1"/>
  <c r="AG53" i="32"/>
  <c r="AR53" i="32" s="1"/>
  <c r="AZ309" i="32"/>
  <c r="AA34" i="32"/>
  <c r="AG32" i="32"/>
  <c r="AC34" i="32"/>
  <c r="AV32" i="32"/>
  <c r="AV34" i="32" s="1"/>
  <c r="AB298" i="32"/>
  <c r="AU297" i="32"/>
  <c r="AU298" i="32" s="1"/>
  <c r="V275" i="32"/>
  <c r="AA269" i="32"/>
  <c r="AC269" i="32"/>
  <c r="AS269" i="32"/>
  <c r="AS275" i="32" s="1"/>
  <c r="AB269" i="32"/>
  <c r="AG287" i="32"/>
  <c r="AR287" i="32" s="1"/>
  <c r="AG295" i="32"/>
  <c r="AR295" i="32" s="1"/>
  <c r="AG293" i="32"/>
  <c r="AR293" i="32" s="1"/>
  <c r="AG257" i="32"/>
  <c r="AR257" i="32" s="1"/>
  <c r="AG280" i="32"/>
  <c r="AR280" i="32" s="1"/>
  <c r="AG259" i="32"/>
  <c r="AR259" i="32" s="1"/>
  <c r="AA261" i="32"/>
  <c r="AG255" i="32"/>
  <c r="AQ251" i="32"/>
  <c r="AX245" i="32"/>
  <c r="AX251" i="32" s="1"/>
  <c r="AB240" i="32"/>
  <c r="AU234" i="32"/>
  <c r="AU240" i="32" s="1"/>
  <c r="AG260" i="32"/>
  <c r="AR260" i="32" s="1"/>
  <c r="AG239" i="32"/>
  <c r="AR239" i="32" s="1"/>
  <c r="AG237" i="32"/>
  <c r="AR237" i="32" s="1"/>
  <c r="AA240" i="32"/>
  <c r="AG234" i="32"/>
  <c r="AG256" i="32"/>
  <c r="AR256" i="32" s="1"/>
  <c r="AG243" i="32"/>
  <c r="AR243" i="32" s="1"/>
  <c r="AG242" i="32"/>
  <c r="AR242" i="32" s="1"/>
  <c r="AC244" i="32"/>
  <c r="AV241" i="32"/>
  <c r="AV244" i="32" s="1"/>
  <c r="AA254" i="32"/>
  <c r="AG252" i="32"/>
  <c r="AC254" i="32"/>
  <c r="AV252" i="32"/>
  <c r="AV254" i="32" s="1"/>
  <c r="AY226" i="32"/>
  <c r="AX214" i="32"/>
  <c r="AX220" i="32" s="1"/>
  <c r="AQ220" i="32"/>
  <c r="AC194" i="32"/>
  <c r="AV188" i="32"/>
  <c r="AV194" i="32" s="1"/>
  <c r="V198" i="32"/>
  <c r="AS195" i="32"/>
  <c r="AS198" i="32" s="1"/>
  <c r="AB195" i="32"/>
  <c r="AA195" i="32"/>
  <c r="AC195" i="32"/>
  <c r="AG218" i="32"/>
  <c r="AR218" i="32" s="1"/>
  <c r="AG193" i="32"/>
  <c r="AR193" i="32" s="1"/>
  <c r="AG189" i="32"/>
  <c r="AR189" i="32" s="1"/>
  <c r="AC187" i="32"/>
  <c r="AV184" i="32"/>
  <c r="AV187" i="32" s="1"/>
  <c r="AB213" i="32"/>
  <c r="AU205" i="32"/>
  <c r="AU213" i="32" s="1"/>
  <c r="AG203" i="32"/>
  <c r="AR203" i="32" s="1"/>
  <c r="AB163" i="32"/>
  <c r="AU157" i="32"/>
  <c r="AU163" i="32" s="1"/>
  <c r="AG224" i="32"/>
  <c r="AR224" i="32" s="1"/>
  <c r="AG161" i="32"/>
  <c r="AR161" i="32" s="1"/>
  <c r="AG228" i="32"/>
  <c r="AR228" i="32" s="1"/>
  <c r="AG168" i="32"/>
  <c r="AR168" i="32" s="1"/>
  <c r="AA170" i="32"/>
  <c r="AG164" i="32"/>
  <c r="AC170" i="32"/>
  <c r="AV164" i="32"/>
  <c r="AV170" i="32" s="1"/>
  <c r="AQ123" i="32"/>
  <c r="AX120" i="32"/>
  <c r="AX123" i="32" s="1"/>
  <c r="AX119" i="32"/>
  <c r="AB112" i="32"/>
  <c r="AU109" i="32"/>
  <c r="AU112" i="32" s="1"/>
  <c r="AU147" i="32"/>
  <c r="AG147" i="32"/>
  <c r="AR147" i="32" s="1"/>
  <c r="AA145" i="32"/>
  <c r="AG144" i="32"/>
  <c r="AS143" i="32"/>
  <c r="AB119" i="32"/>
  <c r="AU113" i="32"/>
  <c r="AG109" i="32"/>
  <c r="AA112" i="32"/>
  <c r="AG182" i="32"/>
  <c r="AR182" i="32" s="1"/>
  <c r="AG150" i="32"/>
  <c r="AA156" i="32"/>
  <c r="AG115" i="32"/>
  <c r="AR115" i="32" s="1"/>
  <c r="AA119" i="32"/>
  <c r="AG113" i="32"/>
  <c r="AQ112" i="32"/>
  <c r="AX109" i="32"/>
  <c r="AX112" i="32" s="1"/>
  <c r="AB308" i="32"/>
  <c r="AU100" i="32"/>
  <c r="AU308" i="32" s="1"/>
  <c r="AS305" i="32"/>
  <c r="AA106" i="32"/>
  <c r="AG97" i="32"/>
  <c r="AG127" i="32"/>
  <c r="AR127" i="32" s="1"/>
  <c r="AG104" i="32"/>
  <c r="AR104" i="32" s="1"/>
  <c r="AG66" i="32"/>
  <c r="AR66" i="32" s="1"/>
  <c r="AA57" i="32"/>
  <c r="AA77" i="32"/>
  <c r="AG72" i="32"/>
  <c r="AT304" i="32"/>
  <c r="V309" i="32"/>
  <c r="AC16" i="32"/>
  <c r="AS16" i="32"/>
  <c r="AS309" i="32" s="1"/>
  <c r="AB16" i="32"/>
  <c r="AA16" i="32"/>
  <c r="AG141" i="32"/>
  <c r="AR141" i="32" s="1"/>
  <c r="AG105" i="32"/>
  <c r="AR105" i="32" s="1"/>
  <c r="AV106" i="32"/>
  <c r="AC90" i="32"/>
  <c r="AV85" i="32"/>
  <c r="AV90" i="32" s="1"/>
  <c r="AQ84" i="32"/>
  <c r="AX78" i="32"/>
  <c r="AX84" i="32" s="1"/>
  <c r="AA44" i="32"/>
  <c r="AG43" i="32"/>
  <c r="AQ42" i="32"/>
  <c r="AX39" i="32"/>
  <c r="AX42" i="32" s="1"/>
  <c r="AA31" i="32"/>
  <c r="AG28" i="32"/>
  <c r="AS96" i="32"/>
  <c r="AY90" i="32"/>
  <c r="AB84" i="32"/>
  <c r="AU78" i="32"/>
  <c r="AU84" i="32" s="1"/>
  <c r="AA65" i="32"/>
  <c r="AC65" i="32"/>
  <c r="AB65" i="32"/>
  <c r="V71" i="32"/>
  <c r="AS65" i="32"/>
  <c r="AS71" i="32" s="1"/>
  <c r="AU52" i="32"/>
  <c r="AU57" i="32" s="1"/>
  <c r="AB57" i="32"/>
  <c r="AY312" i="32"/>
  <c r="AY13" i="32"/>
  <c r="AY299" i="32" s="1"/>
  <c r="AX300" i="32" s="1"/>
  <c r="AG81" i="32"/>
  <c r="AR81" i="32" s="1"/>
  <c r="AG54" i="32"/>
  <c r="AR54" i="32" s="1"/>
  <c r="AW303" i="32"/>
  <c r="AW17" i="32"/>
  <c r="AW299" i="32" s="1"/>
  <c r="AA312" i="32"/>
  <c r="AG12" i="32"/>
  <c r="AA13" i="32"/>
  <c r="AG69" i="32"/>
  <c r="AR69" i="32" s="1"/>
  <c r="AQ309" i="32"/>
  <c r="Z302" i="32"/>
  <c r="AG67" i="32"/>
  <c r="AR67" i="32" s="1"/>
  <c r="AG26" i="32"/>
  <c r="AR26" i="32" s="1"/>
  <c r="AG15" i="32"/>
  <c r="AR15" i="32" s="1"/>
  <c r="AZ303" i="32"/>
  <c r="AG47" i="32"/>
  <c r="AR47" i="32" s="1"/>
  <c r="AB34" i="32"/>
  <c r="AU32" i="32"/>
  <c r="AU34" i="32" s="1"/>
  <c r="AG21" i="32"/>
  <c r="AR21" i="32" s="1"/>
  <c r="AY303" i="32"/>
  <c r="AV312" i="32"/>
  <c r="AV13" i="32"/>
  <c r="V296" i="32"/>
  <c r="AS290" i="32"/>
  <c r="AS296" i="32" s="1"/>
  <c r="AB290" i="32"/>
  <c r="AC290" i="32"/>
  <c r="AA290" i="32"/>
  <c r="AQ289" i="32"/>
  <c r="AX283" i="32"/>
  <c r="AX289" i="32" s="1"/>
  <c r="AC276" i="32"/>
  <c r="V282" i="32"/>
  <c r="AB276" i="32"/>
  <c r="AS276" i="32"/>
  <c r="AS282" i="32" s="1"/>
  <c r="AA276" i="32"/>
  <c r="AC268" i="32"/>
  <c r="AV262" i="32"/>
  <c r="AV268" i="32" s="1"/>
  <c r="AQ261" i="32"/>
  <c r="AX255" i="32"/>
  <c r="AX261" i="32" s="1"/>
  <c r="AG281" i="32"/>
  <c r="AR281" i="32" s="1"/>
  <c r="AG232" i="32"/>
  <c r="AR232" i="32" s="1"/>
  <c r="AB244" i="32"/>
  <c r="AU241" i="32"/>
  <c r="AU244" i="32" s="1"/>
  <c r="AG241" i="32"/>
  <c r="AA244" i="32"/>
  <c r="AB254" i="32"/>
  <c r="AU252" i="32"/>
  <c r="AU254" i="32" s="1"/>
  <c r="V233" i="32"/>
  <c r="AA227" i="32"/>
  <c r="AS227" i="32"/>
  <c r="AS233" i="32" s="1"/>
  <c r="AC227" i="32"/>
  <c r="AB227" i="32"/>
  <c r="AA226" i="32"/>
  <c r="AG223" i="32"/>
  <c r="AC222" i="32"/>
  <c r="AV221" i="32"/>
  <c r="AV222" i="32" s="1"/>
  <c r="AQ194" i="32"/>
  <c r="AX188" i="32"/>
  <c r="AX194" i="32" s="1"/>
  <c r="AC220" i="32"/>
  <c r="AV214" i="32"/>
  <c r="AV220" i="32" s="1"/>
  <c r="AA204" i="32"/>
  <c r="AG199" i="32"/>
  <c r="AS220" i="32"/>
  <c r="AS194" i="32"/>
  <c r="AG214" i="32"/>
  <c r="AG221" i="32"/>
  <c r="AS213" i="32"/>
  <c r="AQ183" i="32"/>
  <c r="AX178" i="32"/>
  <c r="AX183" i="32" s="1"/>
  <c r="AA163" i="32"/>
  <c r="AG157" i="32"/>
  <c r="AQ163" i="32"/>
  <c r="AX157" i="32"/>
  <c r="AX163" i="32" s="1"/>
  <c r="AB170" i="32"/>
  <c r="AU164" i="32"/>
  <c r="AU170" i="32" s="1"/>
  <c r="AC143" i="32"/>
  <c r="AV137" i="32"/>
  <c r="AV143" i="32" s="1"/>
  <c r="AG181" i="32"/>
  <c r="AR181" i="32" s="1"/>
  <c r="AC145" i="32"/>
  <c r="AV144" i="32"/>
  <c r="AV145" i="32" s="1"/>
  <c r="AB143" i="32"/>
  <c r="AU137" i="32"/>
  <c r="AU143" i="32" s="1"/>
  <c r="AG111" i="32"/>
  <c r="AR111" i="32" s="1"/>
  <c r="AC308" i="32"/>
  <c r="AV100" i="32"/>
  <c r="AV308" i="32" s="1"/>
  <c r="AG137" i="32"/>
  <c r="AA143" i="32"/>
  <c r="AQ136" i="32"/>
  <c r="AX130" i="32"/>
  <c r="AX136" i="32" s="1"/>
  <c r="AT311" i="32"/>
  <c r="AT108" i="32"/>
  <c r="AB305" i="32"/>
  <c r="AU98" i="32"/>
  <c r="AU305" i="32" s="1"/>
  <c r="AG175" i="32"/>
  <c r="AR175" i="32" s="1"/>
  <c r="AG155" i="32"/>
  <c r="AR155" i="32" s="1"/>
  <c r="AG153" i="32"/>
  <c r="AR153" i="32" s="1"/>
  <c r="AG151" i="32"/>
  <c r="AR151" i="32" s="1"/>
  <c r="AX137" i="32"/>
  <c r="AX143" i="32" s="1"/>
  <c r="AQ143" i="32"/>
  <c r="AX58" i="32"/>
  <c r="AQ64" i="32"/>
  <c r="AT106" i="32"/>
  <c r="AS31" i="32"/>
  <c r="AP302" i="32"/>
  <c r="AG140" i="32"/>
  <c r="AR140" i="32" s="1"/>
  <c r="AG103" i="32"/>
  <c r="AR103" i="32" s="1"/>
  <c r="AC106" i="32"/>
  <c r="AG87" i="32"/>
  <c r="AR87" i="32" s="1"/>
  <c r="AG75" i="32"/>
  <c r="AR75" i="32" s="1"/>
  <c r="AG30" i="32"/>
  <c r="AR30" i="32" s="1"/>
  <c r="AQ27" i="32"/>
  <c r="AX23" i="32"/>
  <c r="AX27" i="32" s="1"/>
  <c r="AO302" i="32"/>
  <c r="AA123" i="32"/>
  <c r="AG120" i="32"/>
  <c r="AC123" i="32"/>
  <c r="AV120" i="32"/>
  <c r="AV123" i="32" s="1"/>
  <c r="AQ77" i="32"/>
  <c r="AX72" i="32"/>
  <c r="AX77" i="32" s="1"/>
  <c r="AQ44" i="32"/>
  <c r="AX43" i="32"/>
  <c r="AX44" i="32" s="1"/>
  <c r="AS22" i="32"/>
  <c r="AF299" i="32"/>
  <c r="AQ312" i="32"/>
  <c r="AX12" i="32"/>
  <c r="AQ13" i="32"/>
  <c r="AG80" i="32"/>
  <c r="AR80" i="32" s="1"/>
  <c r="AG24" i="32"/>
  <c r="AR24" i="32" s="1"/>
  <c r="AF302" i="32"/>
  <c r="AB312" i="32"/>
  <c r="AB13" i="32"/>
  <c r="AU12" i="32"/>
  <c r="AG60" i="32"/>
  <c r="AR60" i="32" s="1"/>
  <c r="AX57" i="32"/>
  <c r="AG45" i="32"/>
  <c r="AV45" i="32"/>
  <c r="AQ303" i="32"/>
  <c r="AQ71" i="32"/>
  <c r="AG37" i="32"/>
  <c r="AR37" i="32" s="1"/>
  <c r="AG40" i="32"/>
  <c r="AR40" i="32" s="1"/>
  <c r="AS34" i="32"/>
  <c r="AG19" i="32"/>
  <c r="AR19" i="32" s="1"/>
  <c r="AZ312" i="32"/>
  <c r="AZ13" i="32"/>
  <c r="AZ299" i="32" s="1"/>
  <c r="AG297" i="32"/>
  <c r="AA298" i="32"/>
  <c r="V289" i="32"/>
  <c r="AC283" i="32"/>
  <c r="AB283" i="32"/>
  <c r="AA283" i="32"/>
  <c r="AS283" i="32"/>
  <c r="AS289" i="32" s="1"/>
  <c r="AB268" i="32"/>
  <c r="AU262" i="32"/>
  <c r="AU268" i="32" s="1"/>
  <c r="AB261" i="32"/>
  <c r="AU255" i="32"/>
  <c r="AU261" i="32" s="1"/>
  <c r="AG274" i="32"/>
  <c r="AR274" i="32" s="1"/>
  <c r="AQ275" i="32"/>
  <c r="AX269" i="32"/>
  <c r="AX275" i="32" s="1"/>
  <c r="AX252" i="32"/>
  <c r="AX254" i="32" s="1"/>
  <c r="AQ254" i="32"/>
  <c r="AG235" i="32"/>
  <c r="AR235" i="32" s="1"/>
  <c r="AG249" i="32"/>
  <c r="AR249" i="32" s="1"/>
  <c r="AS244" i="32"/>
  <c r="AQ233" i="32"/>
  <c r="AX227" i="32"/>
  <c r="AX233" i="32" s="1"/>
  <c r="AQ213" i="32"/>
  <c r="AX205" i="32"/>
  <c r="AX213" i="32" s="1"/>
  <c r="AG250" i="32"/>
  <c r="AR250" i="32" s="1"/>
  <c r="AG246" i="32"/>
  <c r="AR246" i="32" s="1"/>
  <c r="AU221" i="32"/>
  <c r="AU222" i="32" s="1"/>
  <c r="AB222" i="32"/>
  <c r="AS204" i="32"/>
  <c r="AG267" i="32"/>
  <c r="AR267" i="32" s="1"/>
  <c r="AG247" i="32"/>
  <c r="AR247" i="32" s="1"/>
  <c r="AQ198" i="32"/>
  <c r="AX195" i="32"/>
  <c r="AX198" i="32" s="1"/>
  <c r="AG262" i="32"/>
  <c r="AB220" i="32"/>
  <c r="AU214" i="32"/>
  <c r="AU220" i="32" s="1"/>
  <c r="AQ204" i="32"/>
  <c r="AX199" i="32"/>
  <c r="AX204" i="32" s="1"/>
  <c r="AB194" i="32"/>
  <c r="AU188" i="32"/>
  <c r="AU194" i="32" s="1"/>
  <c r="AG216" i="32"/>
  <c r="AR216" i="32" s="1"/>
  <c r="AG212" i="32"/>
  <c r="AR212" i="32" s="1"/>
  <c r="AG208" i="32"/>
  <c r="AR208" i="32" s="1"/>
  <c r="AG191" i="32"/>
  <c r="AR191" i="32" s="1"/>
  <c r="AG188" i="32"/>
  <c r="AG200" i="32"/>
  <c r="AR200" i="32" s="1"/>
  <c r="AQ187" i="32"/>
  <c r="AX184" i="32"/>
  <c r="AX187" i="32" s="1"/>
  <c r="AB177" i="32"/>
  <c r="AU171" i="32"/>
  <c r="AU177" i="32" s="1"/>
  <c r="AX177" i="32"/>
  <c r="AS170" i="32"/>
  <c r="AQ156" i="32"/>
  <c r="AX150" i="32"/>
  <c r="AX156" i="32" s="1"/>
  <c r="AC306" i="32"/>
  <c r="AV114" i="32"/>
  <c r="AV306" i="32" s="1"/>
  <c r="AG180" i="32"/>
  <c r="AR180" i="32" s="1"/>
  <c r="AA149" i="32"/>
  <c r="AG146" i="32"/>
  <c r="AQ129" i="32"/>
  <c r="AX124" i="32"/>
  <c r="AX129" i="32" s="1"/>
  <c r="AB306" i="32"/>
  <c r="AU114" i="32"/>
  <c r="AU306" i="32" s="1"/>
  <c r="AG110" i="32"/>
  <c r="AR110" i="32" s="1"/>
  <c r="AY311" i="32"/>
  <c r="AY108" i="32"/>
  <c r="AG172" i="32"/>
  <c r="AR172" i="32" s="1"/>
  <c r="AC129" i="32"/>
  <c r="AV124" i="32"/>
  <c r="AV129" i="32" s="1"/>
  <c r="AA306" i="32"/>
  <c r="AG114" i="32"/>
  <c r="V311" i="32"/>
  <c r="AA107" i="32"/>
  <c r="AC107" i="32"/>
  <c r="V108" i="32"/>
  <c r="AS107" i="32"/>
  <c r="AB107" i="32"/>
  <c r="AS106" i="32"/>
  <c r="AG171" i="32"/>
  <c r="AB149" i="32"/>
  <c r="AU146" i="32"/>
  <c r="AU149" i="32" s="1"/>
  <c r="AS129" i="32"/>
  <c r="AC112" i="32"/>
  <c r="AV109" i="32"/>
  <c r="AV112" i="32" s="1"/>
  <c r="AG100" i="32"/>
  <c r="AQ96" i="32"/>
  <c r="AX91" i="32"/>
  <c r="AX96" i="32" s="1"/>
  <c r="AG125" i="32"/>
  <c r="AR125" i="32" s="1"/>
  <c r="AV119" i="32"/>
  <c r="AA305" i="32"/>
  <c r="AG98" i="32"/>
  <c r="AG90" i="32"/>
  <c r="AR85" i="32"/>
  <c r="AR90" i="32" s="1"/>
  <c r="AQ310" i="32"/>
  <c r="AG122" i="32"/>
  <c r="AR122" i="32" s="1"/>
  <c r="AX106" i="32"/>
  <c r="V304" i="32"/>
  <c r="AC46" i="32"/>
  <c r="AS46" i="32"/>
  <c r="AS304" i="32" s="1"/>
  <c r="AB46" i="32"/>
  <c r="AA46" i="32"/>
  <c r="AB44" i="32"/>
  <c r="AU43" i="32"/>
  <c r="AU44" i="32" s="1"/>
  <c r="AB31" i="32"/>
  <c r="AU28" i="32"/>
  <c r="AU31" i="32" s="1"/>
  <c r="V303" i="32"/>
  <c r="V302" i="32" s="1"/>
  <c r="AA301" i="32" s="1"/>
  <c r="AC14" i="32"/>
  <c r="V17" i="32"/>
  <c r="V299" i="32" s="1"/>
  <c r="AA300" i="32" s="1"/>
  <c r="AS14" i="32"/>
  <c r="AB14" i="32"/>
  <c r="AA14" i="32"/>
  <c r="Z299" i="32"/>
  <c r="AG101" i="32"/>
  <c r="AR101" i="32" s="1"/>
  <c r="AG29" i="32"/>
  <c r="AR29" i="32" s="1"/>
  <c r="R302" i="32"/>
  <c r="V301" i="32" s="1"/>
  <c r="AB123" i="32"/>
  <c r="AU120" i="32"/>
  <c r="AU123" i="32" s="1"/>
  <c r="AQ119" i="32"/>
  <c r="AG91" i="32"/>
  <c r="AA96" i="32"/>
  <c r="AB90" i="32"/>
  <c r="AU85" i="32"/>
  <c r="AU90" i="32" s="1"/>
  <c r="AB77" i="32"/>
  <c r="AU72" i="32"/>
  <c r="AU77" i="32" s="1"/>
  <c r="V42" i="32"/>
  <c r="AS39" i="32"/>
  <c r="AS42" i="32" s="1"/>
  <c r="AB39" i="32"/>
  <c r="AA39" i="32"/>
  <c r="AC39" i="32"/>
  <c r="AQ31" i="32"/>
  <c r="AX28" i="32"/>
  <c r="AX31" i="32" s="1"/>
  <c r="AB22" i="32"/>
  <c r="AU18" i="32"/>
  <c r="AU22" i="32" s="1"/>
  <c r="AG18" i="32"/>
  <c r="AT51" i="32"/>
  <c r="AT299" i="32" s="1"/>
  <c r="AS312" i="32"/>
  <c r="AS13" i="32"/>
  <c r="AQ57" i="32"/>
  <c r="AB51" i="32"/>
  <c r="AU45" i="32"/>
  <c r="AG74" i="32"/>
  <c r="AR74" i="32" s="1"/>
  <c r="AG63" i="32"/>
  <c r="AR63" i="32" s="1"/>
  <c r="AZ304" i="32"/>
  <c r="AG35" i="32"/>
  <c r="AP299" i="32"/>
  <c r="AQ300" i="32" s="1"/>
  <c r="AC312" i="32"/>
  <c r="W75" i="31"/>
  <c r="V75" i="31"/>
  <c r="AR41" i="31"/>
  <c r="AR43" i="31" s="1"/>
  <c r="AG43" i="31"/>
  <c r="AZ86" i="31"/>
  <c r="AZ40" i="31"/>
  <c r="AU45" i="31"/>
  <c r="AB48" i="31"/>
  <c r="AX79" i="31"/>
  <c r="AX32" i="31"/>
  <c r="AA85" i="31"/>
  <c r="AG30" i="31"/>
  <c r="AG70" i="31"/>
  <c r="AR70" i="31" s="1"/>
  <c r="AG63" i="31"/>
  <c r="AR63" i="31" s="1"/>
  <c r="AX49" i="31"/>
  <c r="AX52" i="31" s="1"/>
  <c r="AQ52" i="31"/>
  <c r="AA81" i="31"/>
  <c r="AA48" i="31"/>
  <c r="AG44" i="31"/>
  <c r="V87" i="31"/>
  <c r="AA24" i="31"/>
  <c r="AS24" i="31"/>
  <c r="AC24" i="31"/>
  <c r="V25" i="31"/>
  <c r="AB24" i="31"/>
  <c r="V15" i="31"/>
  <c r="AC12" i="31"/>
  <c r="V78" i="31"/>
  <c r="AS12" i="31"/>
  <c r="AB12" i="31"/>
  <c r="AA12" i="31"/>
  <c r="AQ73" i="31"/>
  <c r="AG66" i="31"/>
  <c r="AR66" i="31" s="1"/>
  <c r="AX81" i="31"/>
  <c r="AX48" i="31"/>
  <c r="V86" i="31"/>
  <c r="AC39" i="31"/>
  <c r="V40" i="31"/>
  <c r="AB39" i="31"/>
  <c r="AS39" i="31"/>
  <c r="AA39" i="31"/>
  <c r="AQ57" i="31"/>
  <c r="AG29" i="31"/>
  <c r="AR29" i="31" s="1"/>
  <c r="AY87" i="31"/>
  <c r="AY25" i="31"/>
  <c r="AC84" i="31"/>
  <c r="AG45" i="31"/>
  <c r="AR45" i="31" s="1"/>
  <c r="AG62" i="31"/>
  <c r="AR62" i="31" s="1"/>
  <c r="AX85" i="31"/>
  <c r="AA23" i="31"/>
  <c r="AG20" i="31"/>
  <c r="AF74" i="31"/>
  <c r="AX15" i="31"/>
  <c r="Z77" i="31"/>
  <c r="AG69" i="31"/>
  <c r="AR69" i="31" s="1"/>
  <c r="AC85" i="31"/>
  <c r="AV30" i="31"/>
  <c r="AV85" i="31" s="1"/>
  <c r="AS79" i="31"/>
  <c r="AS32" i="31"/>
  <c r="AY19" i="31"/>
  <c r="AT81" i="31"/>
  <c r="AT48" i="31"/>
  <c r="AG21" i="31"/>
  <c r="AR21" i="31" s="1"/>
  <c r="V52" i="31"/>
  <c r="AS49" i="31"/>
  <c r="AS52" i="31" s="1"/>
  <c r="AA49" i="31"/>
  <c r="AC49" i="31"/>
  <c r="AB49" i="31"/>
  <c r="AW48" i="31"/>
  <c r="AW81" i="31"/>
  <c r="AX57" i="31"/>
  <c r="V67" i="31"/>
  <c r="AC65" i="31"/>
  <c r="AS65" i="31"/>
  <c r="AS67" i="31" s="1"/>
  <c r="AA65" i="31"/>
  <c r="AB65" i="31"/>
  <c r="AS84" i="31"/>
  <c r="AY81" i="31"/>
  <c r="AY77" i="31" s="1"/>
  <c r="AX76" i="31" s="1"/>
  <c r="AY48" i="31"/>
  <c r="AA68" i="31"/>
  <c r="V73" i="31"/>
  <c r="AB68" i="31"/>
  <c r="AS68" i="31"/>
  <c r="AS73" i="31" s="1"/>
  <c r="AC68" i="31"/>
  <c r="AY52" i="31"/>
  <c r="AS81" i="31"/>
  <c r="AS48" i="31"/>
  <c r="AZ79" i="31"/>
  <c r="AZ32" i="31"/>
  <c r="AA64" i="31"/>
  <c r="AG58" i="31"/>
  <c r="AA53" i="31"/>
  <c r="AB53" i="31"/>
  <c r="AB79" i="31" s="1"/>
  <c r="V57" i="31"/>
  <c r="AS53" i="31"/>
  <c r="AS57" i="31" s="1"/>
  <c r="AC53" i="31"/>
  <c r="AG59" i="31"/>
  <c r="AR59" i="31" s="1"/>
  <c r="AG54" i="31"/>
  <c r="AR54" i="31" s="1"/>
  <c r="AB81" i="31"/>
  <c r="AQ86" i="31"/>
  <c r="AQ40" i="31"/>
  <c r="AX39" i="31"/>
  <c r="AY38" i="31"/>
  <c r="AY74" i="31" s="1"/>
  <c r="AZ78" i="31"/>
  <c r="AZ77" i="31" s="1"/>
  <c r="AS23" i="31"/>
  <c r="AG56" i="31"/>
  <c r="AR56" i="31" s="1"/>
  <c r="AQ85" i="31"/>
  <c r="AQ77" i="31" s="1"/>
  <c r="AR16" i="31"/>
  <c r="AR19" i="31" s="1"/>
  <c r="AG19" i="31"/>
  <c r="AT15" i="31"/>
  <c r="AT78" i="31"/>
  <c r="AT77" i="31" s="1"/>
  <c r="AR33" i="31"/>
  <c r="AR38" i="31" s="1"/>
  <c r="AG38" i="31"/>
  <c r="AB85" i="31"/>
  <c r="AU30" i="31"/>
  <c r="AU85" i="31" s="1"/>
  <c r="AA79" i="31"/>
  <c r="AA32" i="31"/>
  <c r="AG26" i="31"/>
  <c r="AA84" i="31"/>
  <c r="AG14" i="31"/>
  <c r="AV84" i="31"/>
  <c r="AB43" i="31"/>
  <c r="AU41" i="31"/>
  <c r="AU43" i="31" s="1"/>
  <c r="AP77" i="31"/>
  <c r="AQ76" i="31" s="1"/>
  <c r="AF77" i="31"/>
  <c r="AU26" i="31"/>
  <c r="AB32" i="31"/>
  <c r="AB64" i="31"/>
  <c r="AU58" i="31"/>
  <c r="AU64" i="31" s="1"/>
  <c r="AY57" i="31"/>
  <c r="AC81" i="31"/>
  <c r="AC48" i="31"/>
  <c r="AV44" i="31"/>
  <c r="AP74" i="31"/>
  <c r="AQ75" i="31" s="1"/>
  <c r="R77" i="31"/>
  <c r="V76" i="31" s="1"/>
  <c r="AQ67" i="31"/>
  <c r="AT79" i="31"/>
  <c r="AT32" i="31"/>
  <c r="AF75" i="31"/>
  <c r="AG60" i="31"/>
  <c r="AR60" i="31" s="1"/>
  <c r="AV59" i="31"/>
  <c r="AV64" i="31" s="1"/>
  <c r="AC64" i="31"/>
  <c r="AG46" i="31"/>
  <c r="AR46" i="31" s="1"/>
  <c r="AC43" i="31"/>
  <c r="AQ43" i="31"/>
  <c r="AX41" i="31"/>
  <c r="AX43" i="31" s="1"/>
  <c r="AY86" i="31"/>
  <c r="AY40" i="31"/>
  <c r="AG61" i="31"/>
  <c r="AR61" i="31" s="1"/>
  <c r="AW79" i="31"/>
  <c r="AW32" i="31"/>
  <c r="AZ87" i="31"/>
  <c r="AZ25" i="31"/>
  <c r="AZ74" i="31" s="1"/>
  <c r="AG22" i="31"/>
  <c r="AR22" i="31" s="1"/>
  <c r="AB23" i="31"/>
  <c r="AU20" i="31"/>
  <c r="AU23" i="31" s="1"/>
  <c r="AX84" i="31"/>
  <c r="AA43" i="31"/>
  <c r="AG28" i="31"/>
  <c r="AR28" i="31" s="1"/>
  <c r="AQ87" i="31"/>
  <c r="AQ25" i="31"/>
  <c r="AX24" i="31"/>
  <c r="AQ23" i="31"/>
  <c r="AQ74" i="31" s="1"/>
  <c r="AX20" i="31"/>
  <c r="AX23" i="31" s="1"/>
  <c r="AW78" i="31"/>
  <c r="AW15" i="31"/>
  <c r="Z74" i="31"/>
  <c r="AS85" i="31"/>
  <c r="AC79" i="31"/>
  <c r="AC32" i="31"/>
  <c r="AV26" i="31"/>
  <c r="AB84" i="31"/>
  <c r="AU14" i="31"/>
  <c r="AU84" i="31" s="1"/>
  <c r="AG13" i="31"/>
  <c r="AR13" i="31" s="1"/>
  <c r="AQ101" i="30"/>
  <c r="AG66" i="30"/>
  <c r="AY104" i="30"/>
  <c r="AY103" i="30" s="1"/>
  <c r="AX102" i="30" s="1"/>
  <c r="AC112" i="30"/>
  <c r="AC30" i="30"/>
  <c r="AV29" i="30"/>
  <c r="AS92" i="30"/>
  <c r="AW104" i="30"/>
  <c r="AS28" i="30"/>
  <c r="AB105" i="30"/>
  <c r="AB23" i="30"/>
  <c r="AU18" i="30"/>
  <c r="AG96" i="30"/>
  <c r="AR96" i="30" s="1"/>
  <c r="AB81" i="30"/>
  <c r="AU76" i="30"/>
  <c r="AU81" i="30" s="1"/>
  <c r="AV94" i="30"/>
  <c r="AV99" i="30" s="1"/>
  <c r="AC99" i="30"/>
  <c r="AA73" i="30"/>
  <c r="AG73" i="30" s="1"/>
  <c r="AR73" i="30" s="1"/>
  <c r="AS73" i="30"/>
  <c r="AC73" i="30"/>
  <c r="AB73" i="30"/>
  <c r="AG76" i="30"/>
  <c r="AY61" i="30"/>
  <c r="AQ85" i="30"/>
  <c r="AX82" i="30"/>
  <c r="AX85" i="30" s="1"/>
  <c r="AQ112" i="30"/>
  <c r="AX29" i="30"/>
  <c r="AQ30" i="30"/>
  <c r="AB111" i="30"/>
  <c r="AU20" i="30"/>
  <c r="AF100" i="30"/>
  <c r="AQ110" i="30"/>
  <c r="AG63" i="30"/>
  <c r="AR63" i="30" s="1"/>
  <c r="AG51" i="30"/>
  <c r="AR51" i="30" s="1"/>
  <c r="AG95" i="30"/>
  <c r="AR95" i="30" s="1"/>
  <c r="AG89" i="30"/>
  <c r="AR89" i="30" s="1"/>
  <c r="AG56" i="30"/>
  <c r="AR56" i="30" s="1"/>
  <c r="AY107" i="30"/>
  <c r="AG31" i="30"/>
  <c r="AG21" i="30"/>
  <c r="AR21" i="30" s="1"/>
  <c r="AP103" i="30"/>
  <c r="AQ102" i="30" s="1"/>
  <c r="AB65" i="30"/>
  <c r="AU62" i="30"/>
  <c r="AU65" i="30" s="1"/>
  <c r="AG62" i="30"/>
  <c r="AA65" i="30"/>
  <c r="AG53" i="30"/>
  <c r="AR53" i="30" s="1"/>
  <c r="AB92" i="30"/>
  <c r="AU86" i="30"/>
  <c r="AU92" i="30" s="1"/>
  <c r="AG83" i="30"/>
  <c r="AR83" i="30" s="1"/>
  <c r="AT85" i="30"/>
  <c r="AC54" i="30"/>
  <c r="AW107" i="30"/>
  <c r="AS112" i="30"/>
  <c r="AS30" i="30"/>
  <c r="AF101" i="30"/>
  <c r="AB110" i="30"/>
  <c r="AU14" i="30"/>
  <c r="AU110" i="30" s="1"/>
  <c r="AS104" i="30"/>
  <c r="AS15" i="30"/>
  <c r="AB48" i="30"/>
  <c r="AQ48" i="30"/>
  <c r="AG27" i="30"/>
  <c r="AR27" i="30" s="1"/>
  <c r="AG41" i="30"/>
  <c r="AR41" i="30" s="1"/>
  <c r="AS105" i="30"/>
  <c r="AS23" i="30"/>
  <c r="AW110" i="30"/>
  <c r="AG14" i="30"/>
  <c r="AA99" i="30"/>
  <c r="AG93" i="30"/>
  <c r="AQ61" i="30"/>
  <c r="AX55" i="30"/>
  <c r="AX61" i="30" s="1"/>
  <c r="AA54" i="30"/>
  <c r="AG49" i="30"/>
  <c r="AB44" i="30"/>
  <c r="AU38" i="30"/>
  <c r="AU44" i="30" s="1"/>
  <c r="AA44" i="30"/>
  <c r="AG38" i="30"/>
  <c r="AG22" i="30"/>
  <c r="AR22" i="30" s="1"/>
  <c r="AC61" i="30"/>
  <c r="AV56" i="30"/>
  <c r="AV61" i="30" s="1"/>
  <c r="AS75" i="30"/>
  <c r="AQ71" i="30"/>
  <c r="AX66" i="30"/>
  <c r="AX71" i="30" s="1"/>
  <c r="AB99" i="30"/>
  <c r="AU93" i="30"/>
  <c r="AU99" i="30" s="1"/>
  <c r="AX86" i="30"/>
  <c r="AX92" i="30" s="1"/>
  <c r="AQ92" i="30"/>
  <c r="AB85" i="30"/>
  <c r="AU82" i="30"/>
  <c r="AU85" i="30" s="1"/>
  <c r="AS81" i="30"/>
  <c r="AU69" i="30"/>
  <c r="AG69" i="30"/>
  <c r="AR69" i="30" s="1"/>
  <c r="AS67" i="30"/>
  <c r="AS71" i="30" s="1"/>
  <c r="AA67" i="30"/>
  <c r="AA71" i="30" s="1"/>
  <c r="V71" i="30"/>
  <c r="AC67" i="30"/>
  <c r="AB67" i="30"/>
  <c r="AU67" i="30" s="1"/>
  <c r="AZ81" i="30"/>
  <c r="AU66" i="30"/>
  <c r="AA61" i="30"/>
  <c r="AG55" i="30"/>
  <c r="AG88" i="30"/>
  <c r="AR88" i="30" s="1"/>
  <c r="AX38" i="30"/>
  <c r="AX44" i="30" s="1"/>
  <c r="AQ44" i="30"/>
  <c r="AZ107" i="30"/>
  <c r="AF103" i="30"/>
  <c r="AG58" i="30"/>
  <c r="AR58" i="30" s="1"/>
  <c r="AG78" i="30"/>
  <c r="AR78" i="30" s="1"/>
  <c r="AA48" i="30"/>
  <c r="AG36" i="30"/>
  <c r="AR36" i="30" s="1"/>
  <c r="AG34" i="30"/>
  <c r="AR34" i="30" s="1"/>
  <c r="AZ111" i="30"/>
  <c r="AC110" i="30"/>
  <c r="AV14" i="30"/>
  <c r="AV110" i="30" s="1"/>
  <c r="AC104" i="30"/>
  <c r="AC15" i="30"/>
  <c r="AV12" i="30"/>
  <c r="AC65" i="30"/>
  <c r="AV62" i="30"/>
  <c r="AV65" i="30" s="1"/>
  <c r="AG90" i="30"/>
  <c r="AR90" i="30" s="1"/>
  <c r="AG86" i="30"/>
  <c r="AA92" i="30"/>
  <c r="AA81" i="30"/>
  <c r="AG74" i="30"/>
  <c r="AR74" i="30" s="1"/>
  <c r="AV54" i="30"/>
  <c r="AT107" i="30"/>
  <c r="AT103" i="30" s="1"/>
  <c r="AT37" i="30"/>
  <c r="AB112" i="30"/>
  <c r="AU29" i="30"/>
  <c r="AB30" i="30"/>
  <c r="AQ111" i="30"/>
  <c r="AX20" i="30"/>
  <c r="AX111" i="30" s="1"/>
  <c r="AY105" i="30"/>
  <c r="AY23" i="30"/>
  <c r="AT113" i="30"/>
  <c r="AT17" i="30"/>
  <c r="Z100" i="30"/>
  <c r="AB104" i="30"/>
  <c r="AB15" i="30"/>
  <c r="AU12" i="30"/>
  <c r="AG12" i="30"/>
  <c r="AX107" i="30"/>
  <c r="AG39" i="30"/>
  <c r="AR39" i="30" s="1"/>
  <c r="AG26" i="30"/>
  <c r="AR26" i="30" s="1"/>
  <c r="AG20" i="30"/>
  <c r="AC23" i="30"/>
  <c r="AT48" i="30"/>
  <c r="AQ113" i="30"/>
  <c r="AQ17" i="30"/>
  <c r="AX16" i="30"/>
  <c r="V113" i="30"/>
  <c r="AA16" i="30"/>
  <c r="AC16" i="30"/>
  <c r="V17" i="30"/>
  <c r="V100" i="30" s="1"/>
  <c r="AA101" i="30" s="1"/>
  <c r="AS16" i="30"/>
  <c r="AB16" i="30"/>
  <c r="AT100" i="30"/>
  <c r="AA28" i="30"/>
  <c r="AG24" i="30"/>
  <c r="AC28" i="30"/>
  <c r="AV24" i="30"/>
  <c r="AV28" i="30" s="1"/>
  <c r="AG46" i="30"/>
  <c r="AR46" i="30" s="1"/>
  <c r="AG13" i="30"/>
  <c r="AR13" i="30" s="1"/>
  <c r="AX72" i="30"/>
  <c r="AX75" i="30" s="1"/>
  <c r="AQ75" i="30"/>
  <c r="AX15" i="30"/>
  <c r="AG29" i="30"/>
  <c r="AW112" i="30"/>
  <c r="AW30" i="30"/>
  <c r="AW100" i="30" s="1"/>
  <c r="AO101" i="30"/>
  <c r="V107" i="30"/>
  <c r="AC32" i="30"/>
  <c r="AB32" i="30"/>
  <c r="AS32" i="30"/>
  <c r="AA32" i="30"/>
  <c r="AG40" i="30"/>
  <c r="AR40" i="30" s="1"/>
  <c r="AC44" i="30"/>
  <c r="AG72" i="30"/>
  <c r="AA75" i="30"/>
  <c r="AY71" i="30"/>
  <c r="AY92" i="30"/>
  <c r="AG94" i="30"/>
  <c r="AR94" i="30" s="1"/>
  <c r="AG80" i="30"/>
  <c r="AR80" i="30" s="1"/>
  <c r="AB54" i="30"/>
  <c r="AU49" i="30"/>
  <c r="AU54" i="30" s="1"/>
  <c r="AQ99" i="30"/>
  <c r="AQ81" i="30"/>
  <c r="AX76" i="30"/>
  <c r="AX81" i="30" s="1"/>
  <c r="AQ65" i="30"/>
  <c r="AX62" i="30"/>
  <c r="AX65" i="30" s="1"/>
  <c r="AY85" i="30"/>
  <c r="AG79" i="30"/>
  <c r="AR79" i="30" s="1"/>
  <c r="AY44" i="30"/>
  <c r="AU31" i="30"/>
  <c r="AB37" i="30"/>
  <c r="AS111" i="30"/>
  <c r="Z103" i="30"/>
  <c r="AU61" i="30"/>
  <c r="AC111" i="30"/>
  <c r="AV20" i="30"/>
  <c r="AV111" i="30" s="1"/>
  <c r="AG68" i="30"/>
  <c r="AR68" i="30" s="1"/>
  <c r="AG48" i="30"/>
  <c r="AR45" i="30"/>
  <c r="AR48" i="30" s="1"/>
  <c r="AS44" i="30"/>
  <c r="AG19" i="30"/>
  <c r="AR19" i="30" s="1"/>
  <c r="AP101" i="30"/>
  <c r="V104" i="30"/>
  <c r="V103" i="30" s="1"/>
  <c r="AA102" i="30" s="1"/>
  <c r="AS65" i="30"/>
  <c r="AC92" i="30"/>
  <c r="AV86" i="30"/>
  <c r="AV92" i="30" s="1"/>
  <c r="AG84" i="30"/>
  <c r="AR84" i="30" s="1"/>
  <c r="AA85" i="30"/>
  <c r="AG82" i="30"/>
  <c r="AG77" i="30"/>
  <c r="AR77" i="30" s="1"/>
  <c r="AG60" i="30"/>
  <c r="AR60" i="30" s="1"/>
  <c r="AQ54" i="30"/>
  <c r="AX49" i="30"/>
  <c r="AX54" i="30" s="1"/>
  <c r="AC48" i="30"/>
  <c r="AV45" i="30"/>
  <c r="AV48" i="30" s="1"/>
  <c r="AQ105" i="30"/>
  <c r="AQ103" i="30" s="1"/>
  <c r="AQ23" i="30"/>
  <c r="AX18" i="30"/>
  <c r="R100" i="30"/>
  <c r="R103" i="30"/>
  <c r="V102" i="30" s="1"/>
  <c r="AT54" i="30"/>
  <c r="AQ107" i="30"/>
  <c r="AA111" i="30"/>
  <c r="AC105" i="30"/>
  <c r="AG25" i="30"/>
  <c r="AR25" i="30" s="1"/>
  <c r="AA110" i="30"/>
  <c r="AG43" i="30"/>
  <c r="AR43" i="30" s="1"/>
  <c r="AZ105" i="30"/>
  <c r="AZ23" i="30"/>
  <c r="AZ100" i="30" s="1"/>
  <c r="AY113" i="30"/>
  <c r="AY17" i="30"/>
  <c r="AY100" i="30" s="1"/>
  <c r="AB28" i="30"/>
  <c r="AU24" i="30"/>
  <c r="AU28" i="30" s="1"/>
  <c r="AA105" i="30"/>
  <c r="AA23" i="30"/>
  <c r="AG18" i="30"/>
  <c r="AV44" i="30"/>
  <c r="AZ104" i="30"/>
  <c r="AZ103" i="30" s="1"/>
  <c r="AR45" i="29"/>
  <c r="AQ36" i="29"/>
  <c r="AX34" i="29"/>
  <c r="AX36" i="29" s="1"/>
  <c r="AZ192" i="29"/>
  <c r="AA92" i="29"/>
  <c r="AG87" i="29"/>
  <c r="AC40" i="29"/>
  <c r="AV37" i="29"/>
  <c r="AV40" i="29" s="1"/>
  <c r="AQ192" i="29"/>
  <c r="AS63" i="29"/>
  <c r="AB187" i="29"/>
  <c r="AU181" i="29"/>
  <c r="AU187" i="29" s="1"/>
  <c r="AS171" i="29"/>
  <c r="AB200" i="29"/>
  <c r="AU135" i="29"/>
  <c r="AB136" i="29"/>
  <c r="AY122" i="29"/>
  <c r="AU172" i="29"/>
  <c r="AB98" i="29"/>
  <c r="AU93" i="29"/>
  <c r="AU98" i="29" s="1"/>
  <c r="AV92" i="29"/>
  <c r="AY193" i="29"/>
  <c r="AY86" i="29"/>
  <c r="V198" i="29"/>
  <c r="AC15" i="29"/>
  <c r="AS15" i="29"/>
  <c r="AS198" i="29" s="1"/>
  <c r="AB15" i="29"/>
  <c r="AA15" i="29"/>
  <c r="AC160" i="29"/>
  <c r="AV156" i="29"/>
  <c r="AV160" i="29" s="1"/>
  <c r="AR151" i="29"/>
  <c r="AZ200" i="29"/>
  <c r="AZ136" i="29"/>
  <c r="AW193" i="29"/>
  <c r="AY160" i="29"/>
  <c r="AY63" i="29"/>
  <c r="AA48" i="29"/>
  <c r="AG22" i="29"/>
  <c r="AR22" i="29" s="1"/>
  <c r="AG49" i="29"/>
  <c r="AA52" i="29"/>
  <c r="AQ198" i="29"/>
  <c r="AA201" i="29"/>
  <c r="AG12" i="29"/>
  <c r="AA13" i="29"/>
  <c r="AG158" i="29"/>
  <c r="AR158" i="29" s="1"/>
  <c r="AG79" i="29"/>
  <c r="AR79" i="29" s="1"/>
  <c r="AU37" i="29"/>
  <c r="AU40" i="29" s="1"/>
  <c r="AB40" i="29"/>
  <c r="AG77" i="29"/>
  <c r="AR77" i="29" s="1"/>
  <c r="AY19" i="29"/>
  <c r="AV201" i="29"/>
  <c r="AV13" i="29"/>
  <c r="AG19" i="29"/>
  <c r="AR17" i="29"/>
  <c r="AR19" i="29" s="1"/>
  <c r="AG21" i="29"/>
  <c r="AR21" i="29" s="1"/>
  <c r="AS187" i="29"/>
  <c r="AG181" i="29"/>
  <c r="AA187" i="29"/>
  <c r="AC171" i="29"/>
  <c r="AV165" i="29"/>
  <c r="AG168" i="29"/>
  <c r="AR168" i="29" s="1"/>
  <c r="AQ180" i="29"/>
  <c r="AQ116" i="29"/>
  <c r="AX111" i="29"/>
  <c r="AX116" i="29" s="1"/>
  <c r="AY110" i="29"/>
  <c r="V104" i="29"/>
  <c r="AC99" i="29"/>
  <c r="AB99" i="29"/>
  <c r="AA99" i="29"/>
  <c r="AS99" i="29"/>
  <c r="AS104" i="29" s="1"/>
  <c r="AC151" i="29"/>
  <c r="AS200" i="29"/>
  <c r="AS136" i="29"/>
  <c r="AX123" i="29"/>
  <c r="AX128" i="29" s="1"/>
  <c r="AQ128" i="29"/>
  <c r="AQ104" i="29"/>
  <c r="AX99" i="29"/>
  <c r="AX104" i="29" s="1"/>
  <c r="AV172" i="29"/>
  <c r="AZ155" i="29"/>
  <c r="AC155" i="29"/>
  <c r="AV152" i="29"/>
  <c r="AV155" i="29" s="1"/>
  <c r="AG126" i="29"/>
  <c r="AR126" i="29" s="1"/>
  <c r="AA128" i="29"/>
  <c r="AG123" i="29"/>
  <c r="AC116" i="29"/>
  <c r="AS98" i="29"/>
  <c r="AQ92" i="29"/>
  <c r="AX87" i="29"/>
  <c r="AX92" i="29" s="1"/>
  <c r="AT193" i="29"/>
  <c r="AT86" i="29"/>
  <c r="AQ80" i="29"/>
  <c r="AX76" i="29"/>
  <c r="AX80" i="29" s="1"/>
  <c r="AT71" i="29"/>
  <c r="AY23" i="29"/>
  <c r="AP191" i="29"/>
  <c r="AG184" i="29"/>
  <c r="AR184" i="29" s="1"/>
  <c r="AG161" i="29"/>
  <c r="AA164" i="29"/>
  <c r="AG151" i="29"/>
  <c r="AB128" i="29"/>
  <c r="AU123" i="29"/>
  <c r="AU128" i="29" s="1"/>
  <c r="AG107" i="29"/>
  <c r="AR107" i="29" s="1"/>
  <c r="AQ155" i="29"/>
  <c r="AC117" i="29"/>
  <c r="V122" i="29"/>
  <c r="AB117" i="29"/>
  <c r="AS117" i="29"/>
  <c r="AS122" i="29" s="1"/>
  <c r="AA117" i="29"/>
  <c r="AC92" i="29"/>
  <c r="V193" i="29"/>
  <c r="AA81" i="29"/>
  <c r="AC81" i="29"/>
  <c r="AS81" i="29"/>
  <c r="V86" i="29"/>
  <c r="AB81" i="29"/>
  <c r="AZ199" i="29"/>
  <c r="AX156" i="29"/>
  <c r="AX160" i="29" s="1"/>
  <c r="AQ160" i="29"/>
  <c r="AY151" i="29"/>
  <c r="AA129" i="29"/>
  <c r="V134" i="29"/>
  <c r="AB129" i="29"/>
  <c r="AS129" i="29"/>
  <c r="AS134" i="29" s="1"/>
  <c r="AC129" i="29"/>
  <c r="AG115" i="29"/>
  <c r="AR115" i="29" s="1"/>
  <c r="AG82" i="29"/>
  <c r="AR82" i="29" s="1"/>
  <c r="AC71" i="29"/>
  <c r="AV68" i="29"/>
  <c r="AV71" i="29" s="1"/>
  <c r="AG66" i="29"/>
  <c r="AR66" i="29" s="1"/>
  <c r="AC59" i="29"/>
  <c r="AV56" i="29"/>
  <c r="AV59" i="29" s="1"/>
  <c r="Z188" i="29"/>
  <c r="AS71" i="29"/>
  <c r="AG51" i="29"/>
  <c r="AR51" i="29" s="1"/>
  <c r="AA44" i="29"/>
  <c r="AG41" i="29"/>
  <c r="AG162" i="29"/>
  <c r="AR162" i="29" s="1"/>
  <c r="AG148" i="29"/>
  <c r="AR148" i="29" s="1"/>
  <c r="AG96" i="29"/>
  <c r="AR96" i="29" s="1"/>
  <c r="AY199" i="29"/>
  <c r="AV80" i="29"/>
  <c r="AU72" i="29"/>
  <c r="AU75" i="29" s="1"/>
  <c r="AB75" i="29"/>
  <c r="AB63" i="29"/>
  <c r="AU60" i="29"/>
  <c r="AU63" i="29" s="1"/>
  <c r="AG54" i="29"/>
  <c r="AR54" i="29" s="1"/>
  <c r="AB201" i="29"/>
  <c r="AU12" i="29"/>
  <c r="AB13" i="29"/>
  <c r="AG73" i="29"/>
  <c r="AR73" i="29" s="1"/>
  <c r="AB59" i="29"/>
  <c r="AG163" i="29"/>
  <c r="AR163" i="29" s="1"/>
  <c r="AG125" i="29"/>
  <c r="AR125" i="29" s="1"/>
  <c r="AG120" i="29"/>
  <c r="AR120" i="29" s="1"/>
  <c r="AC80" i="29"/>
  <c r="AS40" i="29"/>
  <c r="AX16" i="29"/>
  <c r="AW201" i="29"/>
  <c r="AW13" i="29"/>
  <c r="AG35" i="29"/>
  <c r="AR35" i="29" s="1"/>
  <c r="AT198" i="29"/>
  <c r="AA19" i="29"/>
  <c r="AQ26" i="29"/>
  <c r="AX24" i="29"/>
  <c r="AX26" i="29" s="1"/>
  <c r="AX201" i="29"/>
  <c r="AX13" i="29"/>
  <c r="AV182" i="29"/>
  <c r="AV187" i="29" s="1"/>
  <c r="AC187" i="29"/>
  <c r="AA171" i="29"/>
  <c r="AG165" i="29"/>
  <c r="AX161" i="29"/>
  <c r="AX164" i="29" s="1"/>
  <c r="AQ164" i="29"/>
  <c r="AX172" i="29"/>
  <c r="AX174" i="29" s="1"/>
  <c r="AQ174" i="29"/>
  <c r="AS116" i="29"/>
  <c r="AS174" i="29"/>
  <c r="AB155" i="29"/>
  <c r="AU152" i="29"/>
  <c r="AU155" i="29" s="1"/>
  <c r="AG152" i="29"/>
  <c r="AA155" i="29"/>
  <c r="AC98" i="29"/>
  <c r="AV93" i="29"/>
  <c r="AV98" i="29" s="1"/>
  <c r="AU87" i="29"/>
  <c r="AU92" i="29" s="1"/>
  <c r="AB92" i="29"/>
  <c r="V199" i="29"/>
  <c r="AA84" i="29"/>
  <c r="AS84" i="29"/>
  <c r="AS199" i="29" s="1"/>
  <c r="AC84" i="29"/>
  <c r="AB84" i="29"/>
  <c r="AB55" i="29"/>
  <c r="AU53" i="29"/>
  <c r="AU55" i="29" s="1"/>
  <c r="AB164" i="29"/>
  <c r="AU161" i="29"/>
  <c r="AU164" i="29" s="1"/>
  <c r="AA144" i="29"/>
  <c r="AR135" i="29"/>
  <c r="AG200" i="29"/>
  <c r="AG136" i="29"/>
  <c r="AA175" i="29"/>
  <c r="V180" i="29"/>
  <c r="AB175" i="29"/>
  <c r="AC175" i="29"/>
  <c r="AS175" i="29"/>
  <c r="AS180" i="29" s="1"/>
  <c r="AA116" i="29"/>
  <c r="AG111" i="29"/>
  <c r="AQ110" i="29"/>
  <c r="AX105" i="29"/>
  <c r="AX110" i="29" s="1"/>
  <c r="AX45" i="29"/>
  <c r="AX48" i="29" s="1"/>
  <c r="AQ48" i="29"/>
  <c r="R191" i="29"/>
  <c r="V190" i="29" s="1"/>
  <c r="AA59" i="29"/>
  <c r="AG56" i="29"/>
  <c r="AC48" i="29"/>
  <c r="AV45" i="29"/>
  <c r="AV48" i="29" s="1"/>
  <c r="AC36" i="29"/>
  <c r="AV34" i="29"/>
  <c r="AV36" i="29" s="1"/>
  <c r="AB26" i="29"/>
  <c r="AU24" i="29"/>
  <c r="AU26" i="29" s="1"/>
  <c r="AP188" i="29"/>
  <c r="AQ189" i="29" s="1"/>
  <c r="AG68" i="29"/>
  <c r="AA71" i="29"/>
  <c r="AX60" i="29"/>
  <c r="AX63" i="29" s="1"/>
  <c r="AQ63" i="29"/>
  <c r="AA75" i="29"/>
  <c r="AG72" i="29"/>
  <c r="AC52" i="29"/>
  <c r="AV49" i="29"/>
  <c r="AV52" i="29" s="1"/>
  <c r="AF191" i="29"/>
  <c r="AQ193" i="29"/>
  <c r="AQ86" i="29"/>
  <c r="AX81" i="29"/>
  <c r="AQ19" i="29"/>
  <c r="AX17" i="29"/>
  <c r="AX19" i="29" s="1"/>
  <c r="AB33" i="29"/>
  <c r="AU30" i="29"/>
  <c r="AU33" i="29" s="1"/>
  <c r="AG176" i="29"/>
  <c r="AR176" i="29" s="1"/>
  <c r="AX171" i="29"/>
  <c r="AU150" i="29"/>
  <c r="AG150" i="29"/>
  <c r="AR150" i="29" s="1"/>
  <c r="AV116" i="29"/>
  <c r="AG133" i="29"/>
  <c r="AR133" i="29" s="1"/>
  <c r="AY48" i="29"/>
  <c r="AQ151" i="29"/>
  <c r="AX145" i="29"/>
  <c r="AX151" i="29" s="1"/>
  <c r="AQ144" i="29"/>
  <c r="AQ188" i="29" s="1"/>
  <c r="AX137" i="29"/>
  <c r="AX144" i="29" s="1"/>
  <c r="AG76" i="29"/>
  <c r="AA80" i="29"/>
  <c r="AX68" i="29"/>
  <c r="AX71" i="29" s="1"/>
  <c r="AQ71" i="29"/>
  <c r="AS59" i="29"/>
  <c r="AS48" i="29"/>
  <c r="AG34" i="29"/>
  <c r="AA36" i="29"/>
  <c r="AA29" i="29"/>
  <c r="AG27" i="29"/>
  <c r="AA20" i="29"/>
  <c r="V23" i="29"/>
  <c r="AS20" i="29"/>
  <c r="AS23" i="29" s="1"/>
  <c r="AC20" i="29"/>
  <c r="AB20" i="29"/>
  <c r="AF188" i="29"/>
  <c r="AB71" i="29"/>
  <c r="AU68" i="29"/>
  <c r="AU71" i="29" s="1"/>
  <c r="AT98" i="29"/>
  <c r="AS75" i="29"/>
  <c r="AG32" i="29"/>
  <c r="AR32" i="29" s="1"/>
  <c r="AG70" i="29"/>
  <c r="AR70" i="29" s="1"/>
  <c r="AC33" i="29"/>
  <c r="AV30" i="29"/>
  <c r="AV33" i="29" s="1"/>
  <c r="AX181" i="29"/>
  <c r="AX187" i="29" s="1"/>
  <c r="AQ187" i="29"/>
  <c r="AG183" i="29"/>
  <c r="AR183" i="29" s="1"/>
  <c r="AW195" i="29"/>
  <c r="AG182" i="29"/>
  <c r="AR182" i="29" s="1"/>
  <c r="AG170" i="29"/>
  <c r="AR170" i="29" s="1"/>
  <c r="V195" i="29"/>
  <c r="AC166" i="29"/>
  <c r="AS166" i="29"/>
  <c r="AS195" i="29" s="1"/>
  <c r="AA166" i="29"/>
  <c r="AB166" i="29"/>
  <c r="V171" i="29"/>
  <c r="AS151" i="29"/>
  <c r="AB116" i="29"/>
  <c r="AU111" i="29"/>
  <c r="AU116" i="29" s="1"/>
  <c r="AG179" i="29"/>
  <c r="AR179" i="29" s="1"/>
  <c r="AZ180" i="29"/>
  <c r="AT171" i="29"/>
  <c r="AV151" i="29"/>
  <c r="AW200" i="29"/>
  <c r="AW136" i="29"/>
  <c r="AY128" i="29"/>
  <c r="AY104" i="29"/>
  <c r="AA173" i="29"/>
  <c r="AS173" i="29"/>
  <c r="AB173" i="29"/>
  <c r="AU173" i="29" s="1"/>
  <c r="AC173" i="29"/>
  <c r="AV173" i="29" s="1"/>
  <c r="AA174" i="29"/>
  <c r="AG172" i="29"/>
  <c r="AS155" i="29"/>
  <c r="AG105" i="29"/>
  <c r="AY80" i="29"/>
  <c r="AQ55" i="29"/>
  <c r="AX53" i="29"/>
  <c r="AX55" i="29" s="1"/>
  <c r="AZ40" i="29"/>
  <c r="V192" i="29"/>
  <c r="AC14" i="29"/>
  <c r="V16" i="29"/>
  <c r="V188" i="29" s="1"/>
  <c r="AA189" i="29" s="1"/>
  <c r="AS14" i="29"/>
  <c r="AB14" i="29"/>
  <c r="AA14" i="29"/>
  <c r="R188" i="29"/>
  <c r="AV161" i="29"/>
  <c r="AV164" i="29" s="1"/>
  <c r="AC164" i="29"/>
  <c r="AU156" i="29"/>
  <c r="AU160" i="29" s="1"/>
  <c r="AB160" i="29"/>
  <c r="AG156" i="29"/>
  <c r="AA160" i="29"/>
  <c r="AG147" i="29"/>
  <c r="AR147" i="29" s="1"/>
  <c r="AG144" i="29"/>
  <c r="AR137" i="29"/>
  <c r="AR144" i="29" s="1"/>
  <c r="AV123" i="29"/>
  <c r="AV128" i="29" s="1"/>
  <c r="AC128" i="29"/>
  <c r="AG112" i="29"/>
  <c r="AR112" i="29" s="1"/>
  <c r="AG167" i="29"/>
  <c r="AR167" i="29" s="1"/>
  <c r="AX155" i="29"/>
  <c r="AU151" i="29"/>
  <c r="AA106" i="29"/>
  <c r="AB106" i="29"/>
  <c r="V110" i="29"/>
  <c r="AS106" i="29"/>
  <c r="AS110" i="29" s="1"/>
  <c r="AC106" i="29"/>
  <c r="AX30" i="29"/>
  <c r="AX33" i="29" s="1"/>
  <c r="AQ33" i="29"/>
  <c r="AO191" i="29"/>
  <c r="AY144" i="29"/>
  <c r="AG88" i="29"/>
  <c r="AR88" i="29" s="1"/>
  <c r="AG85" i="29"/>
  <c r="AR85" i="29" s="1"/>
  <c r="AG78" i="29"/>
  <c r="AR78" i="29" s="1"/>
  <c r="AB80" i="29"/>
  <c r="AU76" i="29"/>
  <c r="AU80" i="29" s="1"/>
  <c r="AG69" i="29"/>
  <c r="AR69" i="29" s="1"/>
  <c r="AC63" i="29"/>
  <c r="AV60" i="29"/>
  <c r="AV63" i="29" s="1"/>
  <c r="AA55" i="29"/>
  <c r="AG53" i="29"/>
  <c r="AB48" i="29"/>
  <c r="AU45" i="29"/>
  <c r="AU48" i="29" s="1"/>
  <c r="AB36" i="29"/>
  <c r="AU34" i="29"/>
  <c r="AU36" i="29" s="1"/>
  <c r="AG24" i="29"/>
  <c r="AA26" i="29"/>
  <c r="AT192" i="29"/>
  <c r="AT16" i="29"/>
  <c r="AT188" i="29" s="1"/>
  <c r="AZ201" i="29"/>
  <c r="AZ13" i="29"/>
  <c r="AZ188" i="29" s="1"/>
  <c r="AQ52" i="29"/>
  <c r="AX49" i="29"/>
  <c r="AX52" i="29" s="1"/>
  <c r="AG38" i="29"/>
  <c r="AR38" i="29" s="1"/>
  <c r="AY192" i="29"/>
  <c r="AY191" i="29" s="1"/>
  <c r="AX200" i="29"/>
  <c r="AX136" i="29"/>
  <c r="AW171" i="29"/>
  <c r="AG127" i="29"/>
  <c r="AR127" i="29" s="1"/>
  <c r="AG94" i="29"/>
  <c r="AR94" i="29" s="1"/>
  <c r="AA98" i="29"/>
  <c r="AG93" i="29"/>
  <c r="AQ199" i="29"/>
  <c r="AX84" i="29"/>
  <c r="AX199" i="29" s="1"/>
  <c r="AC75" i="29"/>
  <c r="AV72" i="29"/>
  <c r="AV75" i="29" s="1"/>
  <c r="AU59" i="29"/>
  <c r="AC55" i="29"/>
  <c r="AV54" i="29"/>
  <c r="AV55" i="29" s="1"/>
  <c r="AB52" i="29"/>
  <c r="AU49" i="29"/>
  <c r="AU52" i="29" s="1"/>
  <c r="AS201" i="29"/>
  <c r="AS13" i="29"/>
  <c r="AA64" i="29"/>
  <c r="V67" i="29"/>
  <c r="AS64" i="29"/>
  <c r="AS67" i="29" s="1"/>
  <c r="AB64" i="29"/>
  <c r="AC64" i="29"/>
  <c r="AG46" i="29"/>
  <c r="AR46" i="29" s="1"/>
  <c r="AW192" i="29"/>
  <c r="AW16" i="29"/>
  <c r="AG103" i="29"/>
  <c r="AR103" i="29" s="1"/>
  <c r="AG91" i="29"/>
  <c r="AR91" i="29" s="1"/>
  <c r="AA40" i="29"/>
  <c r="AG37" i="29"/>
  <c r="AG109" i="29"/>
  <c r="AR109" i="29" s="1"/>
  <c r="AG83" i="29"/>
  <c r="AR83" i="29" s="1"/>
  <c r="AZ193" i="29"/>
  <c r="AZ86" i="29"/>
  <c r="AG74" i="29"/>
  <c r="AR74" i="29" s="1"/>
  <c r="AG60" i="29"/>
  <c r="AA63" i="29"/>
  <c r="AQ23" i="29"/>
  <c r="AA33" i="29"/>
  <c r="AG30" i="29"/>
  <c r="AZ26" i="29"/>
  <c r="AG177" i="32" l="1"/>
  <c r="AR171" i="32"/>
  <c r="AR177" i="32" s="1"/>
  <c r="AG22" i="32"/>
  <c r="AR18" i="32"/>
  <c r="AR22" i="32" s="1"/>
  <c r="AB303" i="32"/>
  <c r="AB17" i="32"/>
  <c r="AU14" i="32"/>
  <c r="AC304" i="32"/>
  <c r="AV46" i="32"/>
  <c r="AC311" i="32"/>
  <c r="AC108" i="32"/>
  <c r="AV107" i="32"/>
  <c r="AR262" i="32"/>
  <c r="AR268" i="32" s="1"/>
  <c r="AG268" i="32"/>
  <c r="AB289" i="32"/>
  <c r="AU283" i="32"/>
  <c r="AU289" i="32" s="1"/>
  <c r="AG298" i="32"/>
  <c r="AR297" i="32"/>
  <c r="AR298" i="32" s="1"/>
  <c r="AC51" i="32"/>
  <c r="AX312" i="32"/>
  <c r="AX13" i="32"/>
  <c r="AQ301" i="32"/>
  <c r="AG220" i="32"/>
  <c r="AR214" i="32"/>
  <c r="AR220" i="32" s="1"/>
  <c r="AA233" i="32"/>
  <c r="AG227" i="32"/>
  <c r="AU276" i="32"/>
  <c r="AU282" i="32" s="1"/>
  <c r="AB282" i="32"/>
  <c r="AY302" i="32"/>
  <c r="AW302" i="32"/>
  <c r="AG31" i="32"/>
  <c r="AR28" i="32"/>
  <c r="AR31" i="32" s="1"/>
  <c r="AG44" i="32"/>
  <c r="AR43" i="32"/>
  <c r="AR44" i="32" s="1"/>
  <c r="AC309" i="32"/>
  <c r="AV16" i="32"/>
  <c r="AV309" i="32" s="1"/>
  <c r="AG119" i="32"/>
  <c r="AR113" i="32"/>
  <c r="AG156" i="32"/>
  <c r="AR150" i="32"/>
  <c r="AR156" i="32" s="1"/>
  <c r="AU119" i="32"/>
  <c r="AB198" i="32"/>
  <c r="AU195" i="32"/>
  <c r="AU198" i="32" s="1"/>
  <c r="AV269" i="32"/>
  <c r="AV275" i="32" s="1"/>
  <c r="AC275" i="32"/>
  <c r="AX309" i="32"/>
  <c r="V300" i="32"/>
  <c r="W300" i="32"/>
  <c r="AC310" i="32"/>
  <c r="AV49" i="32"/>
  <c r="AV310" i="32" s="1"/>
  <c r="AR57" i="32"/>
  <c r="AB136" i="32"/>
  <c r="AU130" i="32"/>
  <c r="AU136" i="32" s="1"/>
  <c r="AX311" i="32"/>
  <c r="AX108" i="32"/>
  <c r="AG178" i="32"/>
  <c r="AA183" i="32"/>
  <c r="AG213" i="32"/>
  <c r="AR205" i="32"/>
  <c r="AR213" i="32" s="1"/>
  <c r="AC42" i="32"/>
  <c r="AV39" i="32"/>
  <c r="AV42" i="32" s="1"/>
  <c r="AS303" i="32"/>
  <c r="AS17" i="32"/>
  <c r="AS299" i="32" s="1"/>
  <c r="AA304" i="32"/>
  <c r="AG46" i="32"/>
  <c r="AG308" i="32"/>
  <c r="AR100" i="32"/>
  <c r="AR308" i="32" s="1"/>
  <c r="AB311" i="32"/>
  <c r="AB108" i="32"/>
  <c r="AU107" i="32"/>
  <c r="AA311" i="32"/>
  <c r="AG107" i="32"/>
  <c r="AA108" i="32"/>
  <c r="AG194" i="32"/>
  <c r="AR188" i="32"/>
  <c r="AR194" i="32" s="1"/>
  <c r="AC289" i="32"/>
  <c r="AV283" i="32"/>
  <c r="AV289" i="32" s="1"/>
  <c r="AR45" i="32"/>
  <c r="AU312" i="32"/>
  <c r="AU13" i="32"/>
  <c r="AX64" i="32"/>
  <c r="AX304" i="32"/>
  <c r="AB233" i="32"/>
  <c r="AU227" i="32"/>
  <c r="AU233" i="32" s="1"/>
  <c r="AG244" i="32"/>
  <c r="AR241" i="32"/>
  <c r="AR244" i="32" s="1"/>
  <c r="AA296" i="32"/>
  <c r="AG290" i="32"/>
  <c r="AZ302" i="32"/>
  <c r="AG312" i="32"/>
  <c r="AG13" i="32"/>
  <c r="AR12" i="32"/>
  <c r="AB71" i="32"/>
  <c r="AU65" i="32"/>
  <c r="AU71" i="32" s="1"/>
  <c r="AA309" i="32"/>
  <c r="AG16" i="32"/>
  <c r="AG106" i="32"/>
  <c r="AR97" i="32"/>
  <c r="AR106" i="32" s="1"/>
  <c r="AG240" i="32"/>
  <c r="AR234" i="32"/>
  <c r="AR240" i="32" s="1"/>
  <c r="AG269" i="32"/>
  <c r="AA275" i="32"/>
  <c r="AT302" i="32"/>
  <c r="AC27" i="32"/>
  <c r="AV23" i="32"/>
  <c r="AV27" i="32" s="1"/>
  <c r="AC64" i="32"/>
  <c r="AV58" i="32"/>
  <c r="AV64" i="32" s="1"/>
  <c r="AB64" i="32"/>
  <c r="AU58" i="32"/>
  <c r="AU64" i="32" s="1"/>
  <c r="AA310" i="32"/>
  <c r="AG49" i="32"/>
  <c r="AG51" i="32" s="1"/>
  <c r="AU106" i="32"/>
  <c r="AB183" i="32"/>
  <c r="AU178" i="32"/>
  <c r="AU183" i="32" s="1"/>
  <c r="AC251" i="32"/>
  <c r="AV245" i="32"/>
  <c r="AV251" i="32" s="1"/>
  <c r="AR129" i="32"/>
  <c r="AB42" i="32"/>
  <c r="AU39" i="32"/>
  <c r="AU42" i="32" s="1"/>
  <c r="AG96" i="32"/>
  <c r="AR91" i="32"/>
  <c r="AR96" i="32" s="1"/>
  <c r="AA303" i="32"/>
  <c r="AA302" i="32" s="1"/>
  <c r="AA17" i="32"/>
  <c r="AA299" i="32" s="1"/>
  <c r="AG14" i="32"/>
  <c r="AC303" i="32"/>
  <c r="AC302" i="32" s="1"/>
  <c r="AC17" i="32"/>
  <c r="AV14" i="32"/>
  <c r="AG305" i="32"/>
  <c r="AR98" i="32"/>
  <c r="AR305" i="32" s="1"/>
  <c r="AG306" i="32"/>
  <c r="AR114" i="32"/>
  <c r="AR306" i="32" s="1"/>
  <c r="AG149" i="32"/>
  <c r="AR146" i="32"/>
  <c r="AR149" i="32" s="1"/>
  <c r="AA289" i="32"/>
  <c r="AG283" i="32"/>
  <c r="AG38" i="32"/>
  <c r="AR35" i="32"/>
  <c r="AR38" i="32" s="1"/>
  <c r="AG39" i="32"/>
  <c r="AA42" i="32"/>
  <c r="AB304" i="32"/>
  <c r="AU46" i="32"/>
  <c r="AU304" i="32" s="1"/>
  <c r="AS311" i="32"/>
  <c r="AS108" i="32"/>
  <c r="AQ302" i="32"/>
  <c r="AA51" i="32"/>
  <c r="AG123" i="32"/>
  <c r="AR120" i="32"/>
  <c r="AR123" i="32" s="1"/>
  <c r="AG163" i="32"/>
  <c r="AR157" i="32"/>
  <c r="AR163" i="32" s="1"/>
  <c r="AC233" i="32"/>
  <c r="AV227" i="32"/>
  <c r="AV233" i="32" s="1"/>
  <c r="AA282" i="32"/>
  <c r="AG276" i="32"/>
  <c r="AV276" i="32"/>
  <c r="AV282" i="32" s="1"/>
  <c r="AC282" i="32"/>
  <c r="AV290" i="32"/>
  <c r="AV296" i="32" s="1"/>
  <c r="AC296" i="32"/>
  <c r="AC71" i="32"/>
  <c r="AV65" i="32"/>
  <c r="AV71" i="32" s="1"/>
  <c r="AB309" i="32"/>
  <c r="AU16" i="32"/>
  <c r="AU309" i="32" s="1"/>
  <c r="AG170" i="32"/>
  <c r="AR164" i="32"/>
  <c r="AR170" i="32" s="1"/>
  <c r="AC198" i="32"/>
  <c r="AV195" i="32"/>
  <c r="AV198" i="32" s="1"/>
  <c r="AG254" i="32"/>
  <c r="AR252" i="32"/>
  <c r="AR254" i="32" s="1"/>
  <c r="AG261" i="32"/>
  <c r="AR255" i="32"/>
  <c r="AR261" i="32" s="1"/>
  <c r="AU269" i="32"/>
  <c r="AU275" i="32" s="1"/>
  <c r="AB275" i="32"/>
  <c r="AS51" i="32"/>
  <c r="AG23" i="32"/>
  <c r="AA27" i="32"/>
  <c r="AB310" i="32"/>
  <c r="AU49" i="32"/>
  <c r="AU310" i="32" s="1"/>
  <c r="AR84" i="32"/>
  <c r="AC136" i="32"/>
  <c r="AV130" i="32"/>
  <c r="AV136" i="32" s="1"/>
  <c r="AG245" i="32"/>
  <c r="AA251" i="32"/>
  <c r="AG129" i="32"/>
  <c r="AV51" i="32"/>
  <c r="AQ299" i="32"/>
  <c r="AR137" i="32"/>
  <c r="AR143" i="32" s="1"/>
  <c r="AG143" i="32"/>
  <c r="AG222" i="32"/>
  <c r="AR221" i="32"/>
  <c r="AR222" i="32" s="1"/>
  <c r="AG204" i="32"/>
  <c r="AR199" i="32"/>
  <c r="AR204" i="32" s="1"/>
  <c r="AG226" i="32"/>
  <c r="AR223" i="32"/>
  <c r="AR226" i="32" s="1"/>
  <c r="AB296" i="32"/>
  <c r="AU290" i="32"/>
  <c r="AU296" i="32" s="1"/>
  <c r="AG65" i="32"/>
  <c r="AA71" i="32"/>
  <c r="AR72" i="32"/>
  <c r="AR77" i="32" s="1"/>
  <c r="AG77" i="32"/>
  <c r="AG112" i="32"/>
  <c r="AR109" i="32"/>
  <c r="AR112" i="32" s="1"/>
  <c r="AG145" i="32"/>
  <c r="AR144" i="32"/>
  <c r="AR145" i="32" s="1"/>
  <c r="AG195" i="32"/>
  <c r="AA198" i="32"/>
  <c r="AG34" i="32"/>
  <c r="AR32" i="32"/>
  <c r="AR34" i="32" s="1"/>
  <c r="AX303" i="32"/>
  <c r="AX302" i="32" s="1"/>
  <c r="AB27" i="32"/>
  <c r="AB299" i="32" s="1"/>
  <c r="AU23" i="32"/>
  <c r="AU27" i="32" s="1"/>
  <c r="AA64" i="32"/>
  <c r="AG58" i="32"/>
  <c r="AG84" i="32"/>
  <c r="AG57" i="32"/>
  <c r="AG130" i="32"/>
  <c r="AA136" i="32"/>
  <c r="AC183" i="32"/>
  <c r="AV178" i="32"/>
  <c r="AV183" i="32" s="1"/>
  <c r="AG187" i="32"/>
  <c r="AR184" i="32"/>
  <c r="AR187" i="32" s="1"/>
  <c r="AB251" i="32"/>
  <c r="AU245" i="32"/>
  <c r="AU251" i="32" s="1"/>
  <c r="AX75" i="31"/>
  <c r="AV32" i="31"/>
  <c r="AV79" i="31"/>
  <c r="AW74" i="31"/>
  <c r="AX87" i="31"/>
  <c r="AX25" i="31"/>
  <c r="AU32" i="31"/>
  <c r="AC57" i="31"/>
  <c r="AV53" i="31"/>
  <c r="AV57" i="31" s="1"/>
  <c r="AG53" i="31"/>
  <c r="AA57" i="31"/>
  <c r="AC73" i="31"/>
  <c r="AV68" i="31"/>
  <c r="AV73" i="31" s="1"/>
  <c r="AG68" i="31"/>
  <c r="AA73" i="31"/>
  <c r="AC67" i="31"/>
  <c r="AV65" i="31"/>
  <c r="AV67" i="31" s="1"/>
  <c r="AB78" i="31"/>
  <c r="AB15" i="31"/>
  <c r="AU12" i="31"/>
  <c r="V74" i="31"/>
  <c r="AA75" i="31" s="1"/>
  <c r="AS87" i="31"/>
  <c r="AS25" i="31"/>
  <c r="AR20" i="31"/>
  <c r="AR23" i="31" s="1"/>
  <c r="AG23" i="31"/>
  <c r="AA78" i="31"/>
  <c r="AA77" i="31" s="1"/>
  <c r="AA15" i="31"/>
  <c r="AG12" i="31"/>
  <c r="AC78" i="31"/>
  <c r="AC15" i="31"/>
  <c r="AC74" i="31" s="1"/>
  <c r="AV12" i="31"/>
  <c r="AC87" i="31"/>
  <c r="AC25" i="31"/>
  <c r="AV24" i="31"/>
  <c r="AG81" i="31"/>
  <c r="AG48" i="31"/>
  <c r="AR44" i="31"/>
  <c r="AW77" i="31"/>
  <c r="AV48" i="31"/>
  <c r="AV81" i="31"/>
  <c r="AG79" i="31"/>
  <c r="AG32" i="31"/>
  <c r="AR26" i="31"/>
  <c r="AT74" i="31"/>
  <c r="AG64" i="31"/>
  <c r="AR58" i="31"/>
  <c r="AR64" i="31" s="1"/>
  <c r="AB67" i="31"/>
  <c r="AU65" i="31"/>
  <c r="AU67" i="31" s="1"/>
  <c r="AB52" i="31"/>
  <c r="AU49" i="31"/>
  <c r="AU52" i="31" s="1"/>
  <c r="AX78" i="31"/>
  <c r="AA86" i="31"/>
  <c r="AA40" i="31"/>
  <c r="AG39" i="31"/>
  <c r="AC40" i="31"/>
  <c r="AV39" i="31"/>
  <c r="AC86" i="31"/>
  <c r="AS78" i="31"/>
  <c r="AS15" i="31"/>
  <c r="AB87" i="31"/>
  <c r="AB25" i="31"/>
  <c r="AU24" i="31"/>
  <c r="AA87" i="31"/>
  <c r="AG24" i="31"/>
  <c r="AA25" i="31"/>
  <c r="AU81" i="31"/>
  <c r="AU48" i="31"/>
  <c r="AG84" i="31"/>
  <c r="AR14" i="31"/>
  <c r="AR84" i="31" s="1"/>
  <c r="AU53" i="31"/>
  <c r="AU57" i="31" s="1"/>
  <c r="AB57" i="31"/>
  <c r="AA52" i="31"/>
  <c r="AG49" i="31"/>
  <c r="AB86" i="31"/>
  <c r="AU39" i="31"/>
  <c r="AB40" i="31"/>
  <c r="AX40" i="31"/>
  <c r="AX74" i="31" s="1"/>
  <c r="AX86" i="31"/>
  <c r="AU68" i="31"/>
  <c r="AU73" i="31" s="1"/>
  <c r="AB73" i="31"/>
  <c r="AG65" i="31"/>
  <c r="AA67" i="31"/>
  <c r="AC52" i="31"/>
  <c r="AV49" i="31"/>
  <c r="AV52" i="31" s="1"/>
  <c r="AS40" i="31"/>
  <c r="AS86" i="31"/>
  <c r="V77" i="31"/>
  <c r="AA76" i="31" s="1"/>
  <c r="AG85" i="31"/>
  <c r="AR30" i="31"/>
  <c r="AR85" i="31" s="1"/>
  <c r="AG111" i="30"/>
  <c r="AR20" i="30"/>
  <c r="AR111" i="30" s="1"/>
  <c r="AB71" i="30"/>
  <c r="AV67" i="30"/>
  <c r="AV71" i="30" s="1"/>
  <c r="AC71" i="30"/>
  <c r="AR31" i="30"/>
  <c r="AB75" i="30"/>
  <c r="AU73" i="30"/>
  <c r="AU75" i="30" s="1"/>
  <c r="AX101" i="30"/>
  <c r="V101" i="30"/>
  <c r="W101" i="30"/>
  <c r="AA107" i="30"/>
  <c r="AG32" i="30"/>
  <c r="AG112" i="30"/>
  <c r="AG30" i="30"/>
  <c r="AR29" i="30"/>
  <c r="AC113" i="30"/>
  <c r="AC17" i="30"/>
  <c r="AV16" i="30"/>
  <c r="AQ100" i="30"/>
  <c r="AG44" i="30"/>
  <c r="AR38" i="30"/>
  <c r="AR44" i="30" s="1"/>
  <c r="AG99" i="30"/>
  <c r="AR93" i="30"/>
  <c r="AR99" i="30" s="1"/>
  <c r="AG65" i="30"/>
  <c r="AR62" i="30"/>
  <c r="AR65" i="30" s="1"/>
  <c r="AX105" i="30"/>
  <c r="AX23" i="30"/>
  <c r="AG75" i="30"/>
  <c r="AR72" i="30"/>
  <c r="AR75" i="30" s="1"/>
  <c r="AS107" i="30"/>
  <c r="AB113" i="30"/>
  <c r="AB17" i="30"/>
  <c r="AB100" i="30" s="1"/>
  <c r="AU16" i="30"/>
  <c r="AA113" i="30"/>
  <c r="AG16" i="30"/>
  <c r="AA17" i="30"/>
  <c r="AA100" i="30" s="1"/>
  <c r="AG85" i="30"/>
  <c r="AR82" i="30"/>
  <c r="AR85" i="30" s="1"/>
  <c r="AB107" i="30"/>
  <c r="AB103" i="30" s="1"/>
  <c r="AU32" i="30"/>
  <c r="AU107" i="30" s="1"/>
  <c r="AX104" i="30"/>
  <c r="AG28" i="30"/>
  <c r="AR24" i="30"/>
  <c r="AR28" i="30" s="1"/>
  <c r="AS113" i="30"/>
  <c r="AS103" i="30" s="1"/>
  <c r="AS17" i="30"/>
  <c r="AS100" i="30" s="1"/>
  <c r="AG104" i="30"/>
  <c r="AG15" i="30"/>
  <c r="AR12" i="30"/>
  <c r="AU112" i="30"/>
  <c r="AU30" i="30"/>
  <c r="AG92" i="30"/>
  <c r="AR86" i="30"/>
  <c r="AR92" i="30" s="1"/>
  <c r="AV15" i="30"/>
  <c r="AR55" i="30"/>
  <c r="AR61" i="30" s="1"/>
  <c r="AG61" i="30"/>
  <c r="AG110" i="30"/>
  <c r="AR14" i="30"/>
  <c r="AR110" i="30" s="1"/>
  <c r="AV23" i="30"/>
  <c r="AA37" i="30"/>
  <c r="AX112" i="30"/>
  <c r="AX30" i="30"/>
  <c r="AV73" i="30"/>
  <c r="AV75" i="30" s="1"/>
  <c r="AC75" i="30"/>
  <c r="AU105" i="30"/>
  <c r="AU23" i="30"/>
  <c r="AW103" i="30"/>
  <c r="AR66" i="30"/>
  <c r="AU71" i="30"/>
  <c r="AG54" i="30"/>
  <c r="AR49" i="30"/>
  <c r="AR54" i="30" s="1"/>
  <c r="AR76" i="30"/>
  <c r="AR81" i="30" s="1"/>
  <c r="AG81" i="30"/>
  <c r="AV112" i="30"/>
  <c r="AV30" i="30"/>
  <c r="AG105" i="30"/>
  <c r="AG23" i="30"/>
  <c r="AR18" i="30"/>
  <c r="AC107" i="30"/>
  <c r="AC103" i="30" s="1"/>
  <c r="AV32" i="30"/>
  <c r="AC37" i="30"/>
  <c r="AX113" i="30"/>
  <c r="AX17" i="30"/>
  <c r="AX100" i="30" s="1"/>
  <c r="AA104" i="30"/>
  <c r="AA103" i="30" s="1"/>
  <c r="AU104" i="30"/>
  <c r="AU15" i="30"/>
  <c r="AC100" i="30"/>
  <c r="AG67" i="30"/>
  <c r="AR67" i="30" s="1"/>
  <c r="AV105" i="30"/>
  <c r="AU111" i="30"/>
  <c r="AS37" i="30"/>
  <c r="AG33" i="29"/>
  <c r="AR30" i="29"/>
  <c r="AR33" i="29" s="1"/>
  <c r="AR60" i="29"/>
  <c r="AR63" i="29" s="1"/>
  <c r="AG63" i="29"/>
  <c r="AV106" i="29"/>
  <c r="AV110" i="29" s="1"/>
  <c r="AC110" i="29"/>
  <c r="AG106" i="29"/>
  <c r="AR106" i="29" s="1"/>
  <c r="W189" i="29"/>
  <c r="V189" i="29"/>
  <c r="AR105" i="29"/>
  <c r="AR110" i="29" s="1"/>
  <c r="AB195" i="29"/>
  <c r="AU166" i="29"/>
  <c r="AB171" i="29"/>
  <c r="AU20" i="29"/>
  <c r="AU23" i="29" s="1"/>
  <c r="AB23" i="29"/>
  <c r="AG20" i="29"/>
  <c r="AA23" i="29"/>
  <c r="AG36" i="29"/>
  <c r="AR34" i="29"/>
  <c r="AR36" i="29" s="1"/>
  <c r="AC180" i="29"/>
  <c r="AV175" i="29"/>
  <c r="AV180" i="29" s="1"/>
  <c r="AB199" i="29"/>
  <c r="AU84" i="29"/>
  <c r="AU199" i="29" s="1"/>
  <c r="AB193" i="29"/>
  <c r="AB86" i="29"/>
  <c r="AU81" i="29"/>
  <c r="AA193" i="29"/>
  <c r="AG81" i="29"/>
  <c r="AA86" i="29"/>
  <c r="AG128" i="29"/>
  <c r="AR123" i="29"/>
  <c r="AR128" i="29" s="1"/>
  <c r="AA104" i="29"/>
  <c r="AG99" i="29"/>
  <c r="AG187" i="29"/>
  <c r="AR181" i="29"/>
  <c r="AR187" i="29" s="1"/>
  <c r="AB198" i="29"/>
  <c r="AU15" i="29"/>
  <c r="AU198" i="29" s="1"/>
  <c r="AQ191" i="29"/>
  <c r="AC67" i="29"/>
  <c r="AV64" i="29"/>
  <c r="AV67" i="29" s="1"/>
  <c r="AG64" i="29"/>
  <c r="AA67" i="29"/>
  <c r="AG98" i="29"/>
  <c r="AR93" i="29"/>
  <c r="AR98" i="29" s="1"/>
  <c r="AG26" i="29"/>
  <c r="AR24" i="29"/>
  <c r="AR26" i="29" s="1"/>
  <c r="AQ190" i="29"/>
  <c r="AA192" i="29"/>
  <c r="AA16" i="29"/>
  <c r="AA188" i="29" s="1"/>
  <c r="AG14" i="29"/>
  <c r="AC192" i="29"/>
  <c r="AC16" i="29"/>
  <c r="AV14" i="29"/>
  <c r="AA195" i="29"/>
  <c r="AG166" i="29"/>
  <c r="AC23" i="29"/>
  <c r="AV20" i="29"/>
  <c r="AV23" i="29" s="1"/>
  <c r="AG29" i="29"/>
  <c r="AR27" i="29"/>
  <c r="AR29" i="29" s="1"/>
  <c r="AG75" i="29"/>
  <c r="AR72" i="29"/>
  <c r="AR75" i="29" s="1"/>
  <c r="AG116" i="29"/>
  <c r="AR111" i="29"/>
  <c r="AR116" i="29" s="1"/>
  <c r="AU175" i="29"/>
  <c r="AU180" i="29" s="1"/>
  <c r="AB180" i="29"/>
  <c r="AC199" i="29"/>
  <c r="AV84" i="29"/>
  <c r="AV199" i="29" s="1"/>
  <c r="AU129" i="29"/>
  <c r="AU134" i="29" s="1"/>
  <c r="AB134" i="29"/>
  <c r="AB122" i="29"/>
  <c r="AU117" i="29"/>
  <c r="AU122" i="29" s="1"/>
  <c r="AB104" i="29"/>
  <c r="AU99" i="29"/>
  <c r="AU104" i="29" s="1"/>
  <c r="AV171" i="29"/>
  <c r="AR48" i="29"/>
  <c r="AG40" i="29"/>
  <c r="AR37" i="29"/>
  <c r="AR40" i="29" s="1"/>
  <c r="AU64" i="29"/>
  <c r="AU67" i="29" s="1"/>
  <c r="AB67" i="29"/>
  <c r="AS188" i="29"/>
  <c r="AG55" i="29"/>
  <c r="AR53" i="29"/>
  <c r="AR55" i="29" s="1"/>
  <c r="AB192" i="29"/>
  <c r="AU14" i="29"/>
  <c r="AB16" i="29"/>
  <c r="V191" i="29"/>
  <c r="AA190" i="29" s="1"/>
  <c r="AG174" i="29"/>
  <c r="AR172" i="29"/>
  <c r="AR174" i="29" s="1"/>
  <c r="AR76" i="29"/>
  <c r="AR80" i="29" s="1"/>
  <c r="AG80" i="29"/>
  <c r="AG71" i="29"/>
  <c r="AR68" i="29"/>
  <c r="AR71" i="29" s="1"/>
  <c r="AG59" i="29"/>
  <c r="AR56" i="29"/>
  <c r="AR59" i="29" s="1"/>
  <c r="AR200" i="29"/>
  <c r="AR136" i="29"/>
  <c r="AR152" i="29"/>
  <c r="AR155" i="29" s="1"/>
  <c r="AG155" i="29"/>
  <c r="AX192" i="29"/>
  <c r="AB188" i="29"/>
  <c r="AS193" i="29"/>
  <c r="AS86" i="29"/>
  <c r="AR161" i="29"/>
  <c r="AR164" i="29" s="1"/>
  <c r="AG164" i="29"/>
  <c r="AC174" i="29"/>
  <c r="AV99" i="29"/>
  <c r="AV104" i="29" s="1"/>
  <c r="AC104" i="29"/>
  <c r="AG201" i="29"/>
  <c r="AG13" i="29"/>
  <c r="AR12" i="29"/>
  <c r="AG52" i="29"/>
  <c r="AR49" i="29"/>
  <c r="AR52" i="29" s="1"/>
  <c r="AC198" i="29"/>
  <c r="AV15" i="29"/>
  <c r="AV198" i="29" s="1"/>
  <c r="AU174" i="29"/>
  <c r="AU200" i="29"/>
  <c r="AU136" i="29"/>
  <c r="AZ191" i="29"/>
  <c r="AX190" i="29" s="1"/>
  <c r="AG48" i="29"/>
  <c r="AW191" i="29"/>
  <c r="AT191" i="29"/>
  <c r="AU106" i="29"/>
  <c r="AU110" i="29" s="1"/>
  <c r="AB110" i="29"/>
  <c r="AG160" i="29"/>
  <c r="AR156" i="29"/>
  <c r="AR160" i="29" s="1"/>
  <c r="AS192" i="29"/>
  <c r="AS191" i="29" s="1"/>
  <c r="AS16" i="29"/>
  <c r="AA110" i="29"/>
  <c r="AG173" i="29"/>
  <c r="AR173" i="29" s="1"/>
  <c r="AC195" i="29"/>
  <c r="AV166" i="29"/>
  <c r="AV195" i="29" s="1"/>
  <c r="AX193" i="29"/>
  <c r="AX86" i="29"/>
  <c r="AG175" i="29"/>
  <c r="AA180" i="29"/>
  <c r="AA199" i="29"/>
  <c r="AG84" i="29"/>
  <c r="AG171" i="29"/>
  <c r="AR165" i="29"/>
  <c r="AX188" i="29"/>
  <c r="AW188" i="29"/>
  <c r="AU201" i="29"/>
  <c r="AU13" i="29"/>
  <c r="AR41" i="29"/>
  <c r="AR44" i="29" s="1"/>
  <c r="AG44" i="29"/>
  <c r="AC134" i="29"/>
  <c r="AV129" i="29"/>
  <c r="AV134" i="29" s="1"/>
  <c r="AG129" i="29"/>
  <c r="AA134" i="29"/>
  <c r="AC193" i="29"/>
  <c r="AC86" i="29"/>
  <c r="AV81" i="29"/>
  <c r="AA122" i="29"/>
  <c r="AG117" i="29"/>
  <c r="AC122" i="29"/>
  <c r="AV117" i="29"/>
  <c r="AV122" i="29" s="1"/>
  <c r="AV174" i="29"/>
  <c r="AY188" i="29"/>
  <c r="AX189" i="29" s="1"/>
  <c r="AA198" i="29"/>
  <c r="AG15" i="29"/>
  <c r="AB174" i="29"/>
  <c r="AG92" i="29"/>
  <c r="AR87" i="29"/>
  <c r="AR92" i="29" s="1"/>
  <c r="AR269" i="32" l="1"/>
  <c r="AR275" i="32" s="1"/>
  <c r="AG275" i="32"/>
  <c r="AU311" i="32"/>
  <c r="AU108" i="32"/>
  <c r="AS302" i="32"/>
  <c r="AV311" i="32"/>
  <c r="AV108" i="32"/>
  <c r="AG64" i="32"/>
  <c r="AR58" i="32"/>
  <c r="AR64" i="32" s="1"/>
  <c r="AG136" i="32"/>
  <c r="AR130" i="32"/>
  <c r="AR136" i="32" s="1"/>
  <c r="AG27" i="32"/>
  <c r="AR23" i="32"/>
  <c r="AR27" i="32" s="1"/>
  <c r="AG303" i="32"/>
  <c r="AG17" i="32"/>
  <c r="AR14" i="32"/>
  <c r="AG309" i="32"/>
  <c r="AR16" i="32"/>
  <c r="AR309" i="32" s="1"/>
  <c r="AR312" i="32"/>
  <c r="AR13" i="32"/>
  <c r="AG296" i="32"/>
  <c r="AR290" i="32"/>
  <c r="AR296" i="32" s="1"/>
  <c r="AG304" i="32"/>
  <c r="AR46" i="32"/>
  <c r="AR119" i="32"/>
  <c r="AU303" i="32"/>
  <c r="AU302" i="32" s="1"/>
  <c r="AU17" i="32"/>
  <c r="AG251" i="32"/>
  <c r="AR245" i="32"/>
  <c r="AR251" i="32" s="1"/>
  <c r="AG282" i="32"/>
  <c r="AR276" i="32"/>
  <c r="AR282" i="32" s="1"/>
  <c r="AG42" i="32"/>
  <c r="AR39" i="32"/>
  <c r="AR42" i="32" s="1"/>
  <c r="AG289" i="32"/>
  <c r="AR283" i="32"/>
  <c r="AR289" i="32" s="1"/>
  <c r="AV303" i="32"/>
  <c r="AV17" i="32"/>
  <c r="AV299" i="32" s="1"/>
  <c r="AG310" i="32"/>
  <c r="AR49" i="32"/>
  <c r="AR310" i="32" s="1"/>
  <c r="AG311" i="32"/>
  <c r="AG108" i="32"/>
  <c r="AR107" i="32"/>
  <c r="AG233" i="32"/>
  <c r="AR227" i="32"/>
  <c r="AR233" i="32" s="1"/>
  <c r="AG198" i="32"/>
  <c r="AR195" i="32"/>
  <c r="AR198" i="32" s="1"/>
  <c r="AG71" i="32"/>
  <c r="AG299" i="32" s="1"/>
  <c r="AR65" i="32"/>
  <c r="AR71" i="32" s="1"/>
  <c r="AU51" i="32"/>
  <c r="AU299" i="32" s="1"/>
  <c r="AR300" i="32" s="1"/>
  <c r="AC299" i="32"/>
  <c r="AG300" i="32" s="1"/>
  <c r="AG301" i="32"/>
  <c r="AR51" i="32"/>
  <c r="AR178" i="32"/>
  <c r="AR183" i="32" s="1"/>
  <c r="AG183" i="32"/>
  <c r="AX301" i="32"/>
  <c r="AX299" i="32"/>
  <c r="AV304" i="32"/>
  <c r="AB302" i="32"/>
  <c r="AS77" i="31"/>
  <c r="AR65" i="31"/>
  <c r="AR67" i="31" s="1"/>
  <c r="AG67" i="31"/>
  <c r="AG52" i="31"/>
  <c r="AR49" i="31"/>
  <c r="AR52" i="31" s="1"/>
  <c r="AR81" i="31"/>
  <c r="AR48" i="31"/>
  <c r="AC77" i="31"/>
  <c r="AG73" i="31"/>
  <c r="AR68" i="31"/>
  <c r="AR73" i="31" s="1"/>
  <c r="AG57" i="31"/>
  <c r="AR53" i="31"/>
  <c r="AR57" i="31" s="1"/>
  <c r="AU79" i="31"/>
  <c r="AG87" i="31"/>
  <c r="AG25" i="31"/>
  <c r="AR24" i="31"/>
  <c r="AV86" i="31"/>
  <c r="AV40" i="31"/>
  <c r="AG78" i="31"/>
  <c r="AG77" i="31" s="1"/>
  <c r="AG15" i="31"/>
  <c r="AR12" i="31"/>
  <c r="AU78" i="31"/>
  <c r="AU15" i="31"/>
  <c r="AU74" i="31" s="1"/>
  <c r="AU87" i="31"/>
  <c r="AU25" i="31"/>
  <c r="AG86" i="31"/>
  <c r="AG40" i="31"/>
  <c r="AR39" i="31"/>
  <c r="AV87" i="31"/>
  <c r="AV25" i="31"/>
  <c r="AB77" i="31"/>
  <c r="AG76" i="31" s="1"/>
  <c r="AU86" i="31"/>
  <c r="AU40" i="31"/>
  <c r="AS74" i="31"/>
  <c r="AX77" i="31"/>
  <c r="AR32" i="31"/>
  <c r="AV78" i="31"/>
  <c r="AV77" i="31" s="1"/>
  <c r="AV15" i="31"/>
  <c r="AV74" i="31" s="1"/>
  <c r="AA74" i="31"/>
  <c r="AG75" i="31" s="1"/>
  <c r="AB74" i="31"/>
  <c r="AG107" i="30"/>
  <c r="AR32" i="30"/>
  <c r="AR107" i="30" s="1"/>
  <c r="AG37" i="30"/>
  <c r="AG113" i="30"/>
  <c r="AG17" i="30"/>
  <c r="AR16" i="30"/>
  <c r="AR112" i="30"/>
  <c r="AR30" i="30"/>
  <c r="AG101" i="30"/>
  <c r="AG102" i="30"/>
  <c r="AV107" i="30"/>
  <c r="AV37" i="30"/>
  <c r="AR71" i="30"/>
  <c r="AG103" i="30"/>
  <c r="AU37" i="30"/>
  <c r="AV113" i="30"/>
  <c r="AV17" i="30"/>
  <c r="AV100" i="30" s="1"/>
  <c r="AR105" i="30"/>
  <c r="AR23" i="30"/>
  <c r="AR104" i="30"/>
  <c r="AR15" i="30"/>
  <c r="AG71" i="30"/>
  <c r="AG100" i="30" s="1"/>
  <c r="AV104" i="30"/>
  <c r="AX103" i="30"/>
  <c r="AU113" i="30"/>
  <c r="AU103" i="30" s="1"/>
  <c r="AU17" i="30"/>
  <c r="AU100" i="30" s="1"/>
  <c r="AR101" i="30" s="1"/>
  <c r="AG198" i="29"/>
  <c r="AR15" i="29"/>
  <c r="AR198" i="29" s="1"/>
  <c r="AV193" i="29"/>
  <c r="AV86" i="29"/>
  <c r="AG134" i="29"/>
  <c r="AR129" i="29"/>
  <c r="AR134" i="29" s="1"/>
  <c r="AU192" i="29"/>
  <c r="AU191" i="29" s="1"/>
  <c r="AR190" i="29" s="1"/>
  <c r="AU16" i="29"/>
  <c r="AG192" i="29"/>
  <c r="AG16" i="29"/>
  <c r="AG188" i="29" s="1"/>
  <c r="AR14" i="29"/>
  <c r="AU193" i="29"/>
  <c r="AU86" i="29"/>
  <c r="AU188" i="29"/>
  <c r="AR189" i="29" s="1"/>
  <c r="AX191" i="29"/>
  <c r="AB191" i="29"/>
  <c r="AV192" i="29"/>
  <c r="AV191" i="29" s="1"/>
  <c r="AV16" i="29"/>
  <c r="AV188" i="29" s="1"/>
  <c r="AG67" i="29"/>
  <c r="AR64" i="29"/>
  <c r="AR67" i="29" s="1"/>
  <c r="AG104" i="29"/>
  <c r="AR99" i="29"/>
  <c r="AR104" i="29" s="1"/>
  <c r="AG110" i="29"/>
  <c r="AG122" i="29"/>
  <c r="AR117" i="29"/>
  <c r="AR122" i="29" s="1"/>
  <c r="AG180" i="29"/>
  <c r="AR175" i="29"/>
  <c r="AR180" i="29" s="1"/>
  <c r="AR201" i="29"/>
  <c r="AR13" i="29"/>
  <c r="AC188" i="29"/>
  <c r="AG189" i="29" s="1"/>
  <c r="AA191" i="29"/>
  <c r="AG193" i="29"/>
  <c r="AG86" i="29"/>
  <c r="AR81" i="29"/>
  <c r="AG23" i="29"/>
  <c r="AR20" i="29"/>
  <c r="AR23" i="29" s="1"/>
  <c r="AU195" i="29"/>
  <c r="AU171" i="29"/>
  <c r="AG199" i="29"/>
  <c r="AR84" i="29"/>
  <c r="AR199" i="29" s="1"/>
  <c r="AG195" i="29"/>
  <c r="AR166" i="29"/>
  <c r="AR195" i="29" s="1"/>
  <c r="AC191" i="29"/>
  <c r="AG302" i="32" l="1"/>
  <c r="AV302" i="32"/>
  <c r="AR304" i="32"/>
  <c r="AR301" i="32"/>
  <c r="AR311" i="32"/>
  <c r="AR108" i="32"/>
  <c r="AR303" i="32"/>
  <c r="AR17" i="32"/>
  <c r="AR299" i="32" s="1"/>
  <c r="AR75" i="31"/>
  <c r="AU77" i="31"/>
  <c r="AR78" i="31"/>
  <c r="AR15" i="31"/>
  <c r="AR74" i="31" s="1"/>
  <c r="AR79" i="31"/>
  <c r="AR86" i="31"/>
  <c r="AR40" i="31"/>
  <c r="AG74" i="31"/>
  <c r="AR87" i="31"/>
  <c r="AR25" i="31"/>
  <c r="AR76" i="31"/>
  <c r="AR113" i="30"/>
  <c r="AR103" i="30" s="1"/>
  <c r="AR17" i="30"/>
  <c r="AR100" i="30" s="1"/>
  <c r="AR37" i="30"/>
  <c r="AV103" i="30"/>
  <c r="AR102" i="30" s="1"/>
  <c r="AG190" i="29"/>
  <c r="AG191" i="29"/>
  <c r="AR193" i="29"/>
  <c r="AR86" i="29"/>
  <c r="AR171" i="29"/>
  <c r="AR192" i="29"/>
  <c r="AR191" i="29" s="1"/>
  <c r="AR16" i="29"/>
  <c r="AR188" i="29" s="1"/>
  <c r="AR302" i="32" l="1"/>
  <c r="AR77" i="31"/>
  <c r="AO460" i="43" l="1"/>
  <c r="AO450" i="43"/>
  <c r="AO436" i="43"/>
  <c r="AO422" i="43"/>
  <c r="AO409" i="43"/>
  <c r="AO399" i="43"/>
  <c r="AO388" i="43"/>
  <c r="AO375" i="43"/>
  <c r="AO369" i="43"/>
  <c r="AO357" i="43"/>
  <c r="AO344" i="43"/>
  <c r="AO332" i="43"/>
  <c r="AO324" i="43"/>
  <c r="AO316" i="43"/>
  <c r="AO305" i="43"/>
  <c r="AO296" i="43"/>
  <c r="AO283" i="43"/>
  <c r="AO272" i="43"/>
  <c r="AO262" i="43"/>
  <c r="AO256" i="43"/>
  <c r="AO243" i="43"/>
  <c r="AO231" i="43"/>
  <c r="AO219" i="43"/>
  <c r="AO206" i="43"/>
  <c r="AO194" i="43"/>
  <c r="AO180" i="43"/>
  <c r="AO168" i="43"/>
  <c r="AO157" i="43"/>
  <c r="AO145" i="43"/>
  <c r="AO132" i="43"/>
  <c r="AO120" i="43"/>
  <c r="AO113" i="43"/>
  <c r="AO105" i="43"/>
  <c r="AO98" i="43"/>
  <c r="AO90" i="43"/>
  <c r="AO82" i="43"/>
  <c r="AO75" i="43"/>
  <c r="AO67" i="43"/>
  <c r="AO59" i="43"/>
  <c r="AO52" i="43"/>
  <c r="AO46" i="43"/>
  <c r="AO39" i="43"/>
  <c r="AO31" i="43"/>
  <c r="AO22" i="43"/>
  <c r="AO13" i="43"/>
  <c r="AO124" i="44"/>
  <c r="AO113" i="44"/>
  <c r="AO105" i="44"/>
  <c r="AO95" i="44"/>
  <c r="AO84" i="44"/>
  <c r="AO70" i="44"/>
  <c r="AO56" i="44"/>
  <c r="AO42" i="44"/>
  <c r="AO28" i="44"/>
  <c r="AO13" i="44"/>
  <c r="AO14" i="44"/>
  <c r="AO19" i="44" s="1"/>
  <c r="AP14" i="44"/>
  <c r="AP19" i="44" s="1"/>
  <c r="AO15" i="44"/>
  <c r="AP15" i="44"/>
  <c r="AO16" i="44"/>
  <c r="AP16" i="44"/>
  <c r="AO17" i="44"/>
  <c r="AP17" i="44"/>
  <c r="AO18" i="44"/>
  <c r="AP18" i="44"/>
  <c r="AO20" i="44"/>
  <c r="AP20" i="44"/>
  <c r="AP28" i="44" s="1"/>
  <c r="AO21" i="44"/>
  <c r="AP21" i="44"/>
  <c r="AO22" i="44"/>
  <c r="AP22" i="44"/>
  <c r="AO23" i="44"/>
  <c r="AP23" i="44"/>
  <c r="AO24" i="44"/>
  <c r="AP24" i="44"/>
  <c r="AO25" i="44"/>
  <c r="AP25" i="44"/>
  <c r="AO26" i="44"/>
  <c r="AP26" i="44"/>
  <c r="AO27" i="44"/>
  <c r="AP27" i="44"/>
  <c r="AO29" i="44"/>
  <c r="AO35" i="44" s="1"/>
  <c r="AP29" i="44"/>
  <c r="AP35" i="44" s="1"/>
  <c r="AO30" i="44"/>
  <c r="AP30" i="44"/>
  <c r="AO31" i="44"/>
  <c r="AP31" i="44"/>
  <c r="AO32" i="44"/>
  <c r="AP32" i="44"/>
  <c r="AO33" i="44"/>
  <c r="AP33" i="44"/>
  <c r="AO34" i="44"/>
  <c r="AP34" i="44"/>
  <c r="AO36" i="44"/>
  <c r="AP36" i="44"/>
  <c r="AP42" i="44" s="1"/>
  <c r="AO37" i="44"/>
  <c r="AP37" i="44"/>
  <c r="AO38" i="44"/>
  <c r="AP38" i="44"/>
  <c r="AO39" i="44"/>
  <c r="AP39" i="44"/>
  <c r="AO40" i="44"/>
  <c r="AP40" i="44"/>
  <c r="AO41" i="44"/>
  <c r="AP41" i="44"/>
  <c r="AO43" i="44"/>
  <c r="AO49" i="44" s="1"/>
  <c r="AP43" i="44"/>
  <c r="AP49" i="44" s="1"/>
  <c r="AO44" i="44"/>
  <c r="AP44" i="44"/>
  <c r="AO45" i="44"/>
  <c r="AP45" i="44"/>
  <c r="AO46" i="44"/>
  <c r="AP46" i="44"/>
  <c r="AO47" i="44"/>
  <c r="AP47" i="44"/>
  <c r="AO48" i="44"/>
  <c r="AP48" i="44"/>
  <c r="AO50" i="44"/>
  <c r="AP50" i="44"/>
  <c r="AP56" i="44" s="1"/>
  <c r="AO51" i="44"/>
  <c r="AP51" i="44"/>
  <c r="AO52" i="44"/>
  <c r="AP52" i="44"/>
  <c r="AO53" i="44"/>
  <c r="AP53" i="44"/>
  <c r="AO54" i="44"/>
  <c r="AP54" i="44"/>
  <c r="AO55" i="44"/>
  <c r="AP55" i="44"/>
  <c r="AO57" i="44"/>
  <c r="AO63" i="44" s="1"/>
  <c r="AP57" i="44"/>
  <c r="AP63" i="44" s="1"/>
  <c r="AO58" i="44"/>
  <c r="AP58" i="44"/>
  <c r="AO59" i="44"/>
  <c r="AP59" i="44"/>
  <c r="AO60" i="44"/>
  <c r="AP60" i="44"/>
  <c r="AO61" i="44"/>
  <c r="AP61" i="44"/>
  <c r="AO62" i="44"/>
  <c r="AP62" i="44"/>
  <c r="AO64" i="44"/>
  <c r="AP64" i="44"/>
  <c r="AP70" i="44" s="1"/>
  <c r="AO65" i="44"/>
  <c r="AP65" i="44"/>
  <c r="AO66" i="44"/>
  <c r="AP66" i="44"/>
  <c r="AO67" i="44"/>
  <c r="AP67" i="44"/>
  <c r="AO68" i="44"/>
  <c r="AP68" i="44"/>
  <c r="AO69" i="44"/>
  <c r="AP69" i="44"/>
  <c r="AO71" i="44"/>
  <c r="AO77" i="44" s="1"/>
  <c r="AP71" i="44"/>
  <c r="AP77" i="44" s="1"/>
  <c r="AO72" i="44"/>
  <c r="AP72" i="44"/>
  <c r="AO73" i="44"/>
  <c r="AP73" i="44"/>
  <c r="AO74" i="44"/>
  <c r="AP74" i="44"/>
  <c r="AO75" i="44"/>
  <c r="AP75" i="44"/>
  <c r="AO76" i="44"/>
  <c r="AP76" i="44"/>
  <c r="AO78" i="44"/>
  <c r="AP78" i="44"/>
  <c r="AP84" i="44" s="1"/>
  <c r="AO79" i="44"/>
  <c r="AP79" i="44"/>
  <c r="AO80" i="44"/>
  <c r="AP80" i="44"/>
  <c r="AO81" i="44"/>
  <c r="AP81" i="44"/>
  <c r="AO82" i="44"/>
  <c r="AP82" i="44"/>
  <c r="AO83" i="44"/>
  <c r="AP83" i="44"/>
  <c r="AO85" i="44"/>
  <c r="AO91" i="44" s="1"/>
  <c r="AP85" i="44"/>
  <c r="AP91" i="44" s="1"/>
  <c r="AO86" i="44"/>
  <c r="AP86" i="44"/>
  <c r="AO87" i="44"/>
  <c r="AP87" i="44"/>
  <c r="AO88" i="44"/>
  <c r="AP88" i="44"/>
  <c r="AO89" i="44"/>
  <c r="AP89" i="44"/>
  <c r="AO90" i="44"/>
  <c r="AP90" i="44"/>
  <c r="AO92" i="44"/>
  <c r="AP92" i="44"/>
  <c r="AP95" i="44" s="1"/>
  <c r="AO93" i="44"/>
  <c r="AP93" i="44"/>
  <c r="AO94" i="44"/>
  <c r="AP94" i="44"/>
  <c r="AO96" i="44"/>
  <c r="AO101" i="44" s="1"/>
  <c r="AP96" i="44"/>
  <c r="AP101" i="44" s="1"/>
  <c r="AO97" i="44"/>
  <c r="AP97" i="44"/>
  <c r="AO98" i="44"/>
  <c r="AP98" i="44"/>
  <c r="AO99" i="44"/>
  <c r="AP99" i="44"/>
  <c r="AO100" i="44"/>
  <c r="AP100" i="44"/>
  <c r="AO102" i="44"/>
  <c r="AP102" i="44"/>
  <c r="AP105" i="44" s="1"/>
  <c r="AO103" i="44"/>
  <c r="AP103" i="44"/>
  <c r="AO104" i="44"/>
  <c r="AP104" i="44"/>
  <c r="AO106" i="44"/>
  <c r="AO107" i="44" s="1"/>
  <c r="AP106" i="44"/>
  <c r="AP107" i="44" s="1"/>
  <c r="AO108" i="44"/>
  <c r="AP108" i="44"/>
  <c r="AP113" i="44" s="1"/>
  <c r="AO109" i="44"/>
  <c r="AP109" i="44"/>
  <c r="AO110" i="44"/>
  <c r="AP110" i="44"/>
  <c r="AO111" i="44"/>
  <c r="AP111" i="44"/>
  <c r="AO112" i="44"/>
  <c r="AP112" i="44"/>
  <c r="AO114" i="44"/>
  <c r="AO115" i="44" s="1"/>
  <c r="AP114" i="44"/>
  <c r="AP115" i="44" s="1"/>
  <c r="AO116" i="44"/>
  <c r="AP116" i="44"/>
  <c r="AP124" i="44" s="1"/>
  <c r="AO117" i="44"/>
  <c r="AP117" i="44"/>
  <c r="AO118" i="44"/>
  <c r="AP118" i="44"/>
  <c r="AO119" i="44"/>
  <c r="AP119" i="44"/>
  <c r="AO120" i="44"/>
  <c r="AP120" i="44"/>
  <c r="AO121" i="44"/>
  <c r="AP121" i="44"/>
  <c r="AO122" i="44"/>
  <c r="AP122" i="44"/>
  <c r="AO123" i="44"/>
  <c r="AP123" i="44"/>
  <c r="AO125" i="44"/>
  <c r="AO130" i="44" s="1"/>
  <c r="AP125" i="44"/>
  <c r="AP130" i="44" s="1"/>
  <c r="AO126" i="44"/>
  <c r="AP126" i="44"/>
  <c r="AO127" i="44"/>
  <c r="AP127" i="44"/>
  <c r="AO128" i="44"/>
  <c r="AP128" i="44"/>
  <c r="AO129" i="44"/>
  <c r="AP129" i="44"/>
  <c r="AP12" i="44"/>
  <c r="AP13" i="44" s="1"/>
  <c r="AO12" i="44"/>
  <c r="AO14" i="43"/>
  <c r="AO18" i="43" s="1"/>
  <c r="AP14" i="43"/>
  <c r="AP18" i="43" s="1"/>
  <c r="AO15" i="43"/>
  <c r="AP15" i="43"/>
  <c r="AO16" i="43"/>
  <c r="AP16" i="43"/>
  <c r="AO17" i="43"/>
  <c r="AP17" i="43"/>
  <c r="AO19" i="43"/>
  <c r="AP19" i="43"/>
  <c r="AP22" i="43" s="1"/>
  <c r="AO20" i="43"/>
  <c r="AP20" i="43"/>
  <c r="AO21" i="43"/>
  <c r="AP21" i="43"/>
  <c r="AO23" i="43"/>
  <c r="AO27" i="43" s="1"/>
  <c r="AP23" i="43"/>
  <c r="AP27" i="43" s="1"/>
  <c r="AO24" i="43"/>
  <c r="AP24" i="43"/>
  <c r="AO25" i="43"/>
  <c r="AP25" i="43"/>
  <c r="AO26" i="43"/>
  <c r="AP26" i="43"/>
  <c r="AO28" i="43"/>
  <c r="AP28" i="43"/>
  <c r="AP31" i="43" s="1"/>
  <c r="AO29" i="43"/>
  <c r="AP29" i="43"/>
  <c r="AO30" i="43"/>
  <c r="AP30" i="43"/>
  <c r="AO32" i="43"/>
  <c r="AO35" i="43" s="1"/>
  <c r="AP32" i="43"/>
  <c r="AP35" i="43" s="1"/>
  <c r="AO33" i="43"/>
  <c r="AP33" i="43"/>
  <c r="AO34" i="43"/>
  <c r="AP34" i="43"/>
  <c r="AO36" i="43"/>
  <c r="AP36" i="43"/>
  <c r="AP39" i="43" s="1"/>
  <c r="AO37" i="43"/>
  <c r="AP37" i="43"/>
  <c r="AO38" i="43"/>
  <c r="AP38" i="43"/>
  <c r="AO40" i="43"/>
  <c r="AO42" i="43" s="1"/>
  <c r="AP40" i="43"/>
  <c r="AP42" i="43" s="1"/>
  <c r="AO41" i="43"/>
  <c r="AP41" i="43"/>
  <c r="AO43" i="43"/>
  <c r="AP43" i="43"/>
  <c r="AP46" i="43" s="1"/>
  <c r="AO44" i="43"/>
  <c r="AP44" i="43"/>
  <c r="AO45" i="43"/>
  <c r="AP45" i="43"/>
  <c r="AO47" i="43"/>
  <c r="AO49" i="43" s="1"/>
  <c r="AP47" i="43"/>
  <c r="AP49" i="43" s="1"/>
  <c r="AO48" i="43"/>
  <c r="AP48" i="43"/>
  <c r="AO50" i="43"/>
  <c r="AP50" i="43"/>
  <c r="AP52" i="43" s="1"/>
  <c r="AO51" i="43"/>
  <c r="AP51" i="43"/>
  <c r="AO53" i="43"/>
  <c r="AO55" i="43" s="1"/>
  <c r="AP53" i="43"/>
  <c r="AP55" i="43" s="1"/>
  <c r="AO54" i="43"/>
  <c r="AP54" i="43"/>
  <c r="AO56" i="43"/>
  <c r="AP56" i="43"/>
  <c r="AP59" i="43" s="1"/>
  <c r="AO57" i="43"/>
  <c r="AP57" i="43"/>
  <c r="AO58" i="43"/>
  <c r="AP58" i="43"/>
  <c r="AO60" i="43"/>
  <c r="AO63" i="43" s="1"/>
  <c r="AP60" i="43"/>
  <c r="AP63" i="43" s="1"/>
  <c r="AO61" i="43"/>
  <c r="AP61" i="43"/>
  <c r="AO62" i="43"/>
  <c r="AP62" i="43"/>
  <c r="AO64" i="43"/>
  <c r="AP64" i="43"/>
  <c r="AP67" i="43" s="1"/>
  <c r="AO65" i="43"/>
  <c r="AP65" i="43"/>
  <c r="AO66" i="43"/>
  <c r="AP66" i="43"/>
  <c r="AO68" i="43"/>
  <c r="AO70" i="43" s="1"/>
  <c r="AP68" i="43"/>
  <c r="AP70" i="43" s="1"/>
  <c r="AO69" i="43"/>
  <c r="AP69" i="43"/>
  <c r="AO71" i="43"/>
  <c r="AP71" i="43"/>
  <c r="AP75" i="43" s="1"/>
  <c r="AO72" i="43"/>
  <c r="AP72" i="43"/>
  <c r="AO73" i="43"/>
  <c r="AP73" i="43"/>
  <c r="AO74" i="43"/>
  <c r="AP74" i="43"/>
  <c r="AO76" i="43"/>
  <c r="AO79" i="43" s="1"/>
  <c r="AP76" i="43"/>
  <c r="AP79" i="43" s="1"/>
  <c r="AO77" i="43"/>
  <c r="AP77" i="43"/>
  <c r="AO78" i="43"/>
  <c r="AP78" i="43"/>
  <c r="AO80" i="43"/>
  <c r="AP80" i="43"/>
  <c r="AP82" i="43" s="1"/>
  <c r="AO81" i="43"/>
  <c r="AP81" i="43"/>
  <c r="AO83" i="43"/>
  <c r="AO86" i="43" s="1"/>
  <c r="AP83" i="43"/>
  <c r="AP86" i="43" s="1"/>
  <c r="AO84" i="43"/>
  <c r="AP84" i="43"/>
  <c r="AO85" i="43"/>
  <c r="AP85" i="43"/>
  <c r="AO87" i="43"/>
  <c r="AP87" i="43"/>
  <c r="AP90" i="43" s="1"/>
  <c r="AO88" i="43"/>
  <c r="AP88" i="43"/>
  <c r="AO89" i="43"/>
  <c r="AP89" i="43"/>
  <c r="AO91" i="43"/>
  <c r="AO94" i="43" s="1"/>
  <c r="AP91" i="43"/>
  <c r="AP94" i="43" s="1"/>
  <c r="AO92" i="43"/>
  <c r="AP92" i="43"/>
  <c r="AO93" i="43"/>
  <c r="AP93" i="43"/>
  <c r="AO95" i="43"/>
  <c r="AP95" i="43"/>
  <c r="AP98" i="43" s="1"/>
  <c r="AO96" i="43"/>
  <c r="AP96" i="43"/>
  <c r="AO97" i="43"/>
  <c r="AP97" i="43"/>
  <c r="AO99" i="43"/>
  <c r="AO102" i="43" s="1"/>
  <c r="AP99" i="43"/>
  <c r="AP102" i="43" s="1"/>
  <c r="AO100" i="43"/>
  <c r="AP100" i="43"/>
  <c r="AO101" i="43"/>
  <c r="AP101" i="43"/>
  <c r="AO103" i="43"/>
  <c r="AP103" i="43"/>
  <c r="AP105" i="43" s="1"/>
  <c r="AO104" i="43"/>
  <c r="AP104" i="43"/>
  <c r="AO106" i="43"/>
  <c r="AO109" i="43" s="1"/>
  <c r="AP106" i="43"/>
  <c r="AP109" i="43" s="1"/>
  <c r="AO107" i="43"/>
  <c r="AP107" i="43"/>
  <c r="AO108" i="43"/>
  <c r="AP108" i="43"/>
  <c r="AO110" i="43"/>
  <c r="AP110" i="43"/>
  <c r="AP113" i="43" s="1"/>
  <c r="AO111" i="43"/>
  <c r="AP111" i="43"/>
  <c r="AO112" i="43"/>
  <c r="AP112" i="43"/>
  <c r="AO114" i="43"/>
  <c r="AO116" i="43" s="1"/>
  <c r="AP114" i="43"/>
  <c r="AP116" i="43" s="1"/>
  <c r="AO115" i="43"/>
  <c r="AP115" i="43"/>
  <c r="AO117" i="43"/>
  <c r="AP117" i="43"/>
  <c r="AP120" i="43" s="1"/>
  <c r="AO118" i="43"/>
  <c r="AP118" i="43"/>
  <c r="AO119" i="43"/>
  <c r="AP119" i="43"/>
  <c r="AO121" i="43"/>
  <c r="AO125" i="43" s="1"/>
  <c r="AP121" i="43"/>
  <c r="AP125" i="43" s="1"/>
  <c r="AO122" i="43"/>
  <c r="AP122" i="43"/>
  <c r="AO123" i="43"/>
  <c r="AP123" i="43"/>
  <c r="AO124" i="43"/>
  <c r="AP124" i="43"/>
  <c r="AO126" i="43"/>
  <c r="AP126" i="43"/>
  <c r="AP132" i="43" s="1"/>
  <c r="AO127" i="43"/>
  <c r="AP127" i="43"/>
  <c r="AO128" i="43"/>
  <c r="AP128" i="43"/>
  <c r="AO129" i="43"/>
  <c r="AP129" i="43"/>
  <c r="AO130" i="43"/>
  <c r="AP130" i="43"/>
  <c r="AO131" i="43"/>
  <c r="AP131" i="43"/>
  <c r="AO133" i="43"/>
  <c r="AO139" i="43" s="1"/>
  <c r="AP133" i="43"/>
  <c r="AP139" i="43" s="1"/>
  <c r="AO134" i="43"/>
  <c r="AP134" i="43"/>
  <c r="AO135" i="43"/>
  <c r="AP135" i="43"/>
  <c r="AO136" i="43"/>
  <c r="AP136" i="43"/>
  <c r="AO137" i="43"/>
  <c r="AP137" i="43"/>
  <c r="AO138" i="43"/>
  <c r="AP138" i="43"/>
  <c r="AO140" i="43"/>
  <c r="AP140" i="43"/>
  <c r="AP145" i="43" s="1"/>
  <c r="AO141" i="43"/>
  <c r="AP141" i="43"/>
  <c r="AO142" i="43"/>
  <c r="AP142" i="43"/>
  <c r="AO143" i="43"/>
  <c r="AP143" i="43"/>
  <c r="AO144" i="43"/>
  <c r="AP144" i="43"/>
  <c r="AO146" i="43"/>
  <c r="AO151" i="43" s="1"/>
  <c r="AP146" i="43"/>
  <c r="AP151" i="43" s="1"/>
  <c r="AO147" i="43"/>
  <c r="AP147" i="43"/>
  <c r="AO148" i="43"/>
  <c r="AP148" i="43"/>
  <c r="AO149" i="43"/>
  <c r="AP149" i="43"/>
  <c r="AO150" i="43"/>
  <c r="AP150" i="43"/>
  <c r="AO152" i="43"/>
  <c r="AP152" i="43"/>
  <c r="AP157" i="43" s="1"/>
  <c r="AO153" i="43"/>
  <c r="AP153" i="43"/>
  <c r="AO154" i="43"/>
  <c r="AP154" i="43"/>
  <c r="AO155" i="43"/>
  <c r="AP155" i="43"/>
  <c r="AO156" i="43"/>
  <c r="AP156" i="43"/>
  <c r="AO158" i="43"/>
  <c r="AO162" i="43" s="1"/>
  <c r="AP158" i="43"/>
  <c r="AP162" i="43" s="1"/>
  <c r="AO159" i="43"/>
  <c r="AP159" i="43"/>
  <c r="AO160" i="43"/>
  <c r="AP160" i="43"/>
  <c r="AO161" i="43"/>
  <c r="AP161" i="43"/>
  <c r="AO163" i="43"/>
  <c r="AP163" i="43"/>
  <c r="AP168" i="43" s="1"/>
  <c r="AO164" i="43"/>
  <c r="AP164" i="43"/>
  <c r="AO165" i="43"/>
  <c r="AP165" i="43"/>
  <c r="AO166" i="43"/>
  <c r="AP166" i="43"/>
  <c r="AO167" i="43"/>
  <c r="AP167" i="43"/>
  <c r="AO169" i="43"/>
  <c r="AO174" i="43" s="1"/>
  <c r="AP169" i="43"/>
  <c r="AP174" i="43" s="1"/>
  <c r="AO170" i="43"/>
  <c r="AP170" i="43"/>
  <c r="AO171" i="43"/>
  <c r="AP171" i="43"/>
  <c r="AO172" i="43"/>
  <c r="AP172" i="43"/>
  <c r="AO173" i="43"/>
  <c r="AP173" i="43"/>
  <c r="AO175" i="43"/>
  <c r="AP175" i="43"/>
  <c r="AP180" i="43" s="1"/>
  <c r="AO176" i="43"/>
  <c r="AP176" i="43"/>
  <c r="AO177" i="43"/>
  <c r="AP177" i="43"/>
  <c r="AO178" i="43"/>
  <c r="AP178" i="43"/>
  <c r="AO179" i="43"/>
  <c r="AP179" i="43"/>
  <c r="AO181" i="43"/>
  <c r="AO187" i="43" s="1"/>
  <c r="AP181" i="43"/>
  <c r="AP187" i="43" s="1"/>
  <c r="AO182" i="43"/>
  <c r="AP182" i="43"/>
  <c r="AO183" i="43"/>
  <c r="AP183" i="43"/>
  <c r="AO184" i="43"/>
  <c r="AP184" i="43"/>
  <c r="AO185" i="43"/>
  <c r="AP185" i="43"/>
  <c r="AO186" i="43"/>
  <c r="AP186" i="43"/>
  <c r="AO188" i="43"/>
  <c r="AP188" i="43"/>
  <c r="AP194" i="43" s="1"/>
  <c r="AO189" i="43"/>
  <c r="AP189" i="43"/>
  <c r="AO190" i="43"/>
  <c r="AP190" i="43"/>
  <c r="AO191" i="43"/>
  <c r="AP191" i="43"/>
  <c r="AO192" i="43"/>
  <c r="AP192" i="43"/>
  <c r="AO193" i="43"/>
  <c r="AP193" i="43"/>
  <c r="AO195" i="43"/>
  <c r="AO200" i="43" s="1"/>
  <c r="AP195" i="43"/>
  <c r="AP200" i="43" s="1"/>
  <c r="AO196" i="43"/>
  <c r="AP196" i="43"/>
  <c r="AO197" i="43"/>
  <c r="AP197" i="43"/>
  <c r="AO198" i="43"/>
  <c r="AP198" i="43"/>
  <c r="AO199" i="43"/>
  <c r="AP199" i="43"/>
  <c r="AO201" i="43"/>
  <c r="AP201" i="43"/>
  <c r="AP206" i="43" s="1"/>
  <c r="AO202" i="43"/>
  <c r="AP202" i="43"/>
  <c r="AO203" i="43"/>
  <c r="AP203" i="43"/>
  <c r="AO204" i="43"/>
  <c r="AP204" i="43"/>
  <c r="AO205" i="43"/>
  <c r="AP205" i="43"/>
  <c r="AO207" i="43"/>
  <c r="AO213" i="43" s="1"/>
  <c r="AP207" i="43"/>
  <c r="AP213" i="43" s="1"/>
  <c r="AO208" i="43"/>
  <c r="AP208" i="43"/>
  <c r="AO209" i="43"/>
  <c r="AP209" i="43"/>
  <c r="AO210" i="43"/>
  <c r="AP210" i="43"/>
  <c r="AO211" i="43"/>
  <c r="AP211" i="43"/>
  <c r="AO212" i="43"/>
  <c r="AP212" i="43"/>
  <c r="AO214" i="43"/>
  <c r="AP214" i="43"/>
  <c r="AP219" i="43" s="1"/>
  <c r="AO215" i="43"/>
  <c r="AP215" i="43"/>
  <c r="AO216" i="43"/>
  <c r="AP216" i="43"/>
  <c r="AO217" i="43"/>
  <c r="AP217" i="43"/>
  <c r="AO218" i="43"/>
  <c r="AP218" i="43"/>
  <c r="AO220" i="43"/>
  <c r="AO225" i="43" s="1"/>
  <c r="AP220" i="43"/>
  <c r="AP225" i="43" s="1"/>
  <c r="AO221" i="43"/>
  <c r="AP221" i="43"/>
  <c r="AO222" i="43"/>
  <c r="AP222" i="43"/>
  <c r="AO223" i="43"/>
  <c r="AP223" i="43"/>
  <c r="AO224" i="43"/>
  <c r="AP224" i="43"/>
  <c r="AO226" i="43"/>
  <c r="AP226" i="43"/>
  <c r="AP231" i="43" s="1"/>
  <c r="AO227" i="43"/>
  <c r="AP227" i="43"/>
  <c r="AO228" i="43"/>
  <c r="AP228" i="43"/>
  <c r="AO229" i="43"/>
  <c r="AP229" i="43"/>
  <c r="AO230" i="43"/>
  <c r="AP230" i="43"/>
  <c r="AO232" i="43"/>
  <c r="AO237" i="43" s="1"/>
  <c r="AP232" i="43"/>
  <c r="AP237" i="43" s="1"/>
  <c r="AO233" i="43"/>
  <c r="AP233" i="43"/>
  <c r="AO234" i="43"/>
  <c r="AP234" i="43"/>
  <c r="AO235" i="43"/>
  <c r="AP235" i="43"/>
  <c r="AO236" i="43"/>
  <c r="AP236" i="43"/>
  <c r="AO238" i="43"/>
  <c r="AP238" i="43"/>
  <c r="AP243" i="43" s="1"/>
  <c r="AO239" i="43"/>
  <c r="AP239" i="43"/>
  <c r="AO240" i="43"/>
  <c r="AP240" i="43"/>
  <c r="AO241" i="43"/>
  <c r="AP241" i="43"/>
  <c r="AO242" i="43"/>
  <c r="AP242" i="43"/>
  <c r="AO244" i="43"/>
  <c r="AO249" i="43" s="1"/>
  <c r="AP244" i="43"/>
  <c r="AP249" i="43" s="1"/>
  <c r="AO245" i="43"/>
  <c r="AP245" i="43"/>
  <c r="AO246" i="43"/>
  <c r="AP246" i="43"/>
  <c r="AO247" i="43"/>
  <c r="AP247" i="43"/>
  <c r="AO248" i="43"/>
  <c r="AP248" i="43"/>
  <c r="AO250" i="43"/>
  <c r="AP250" i="43"/>
  <c r="AP256" i="43" s="1"/>
  <c r="AO251" i="43"/>
  <c r="AP251" i="43"/>
  <c r="AO252" i="43"/>
  <c r="AP252" i="43"/>
  <c r="AO253" i="43"/>
  <c r="AP253" i="43"/>
  <c r="AO254" i="43"/>
  <c r="AP254" i="43"/>
  <c r="AO255" i="43"/>
  <c r="AP255" i="43"/>
  <c r="AO257" i="43"/>
  <c r="AO258" i="43" s="1"/>
  <c r="AP257" i="43"/>
  <c r="AP258" i="43" s="1"/>
  <c r="AO259" i="43"/>
  <c r="AP259" i="43"/>
  <c r="AP262" i="43" s="1"/>
  <c r="AO260" i="43"/>
  <c r="AP260" i="43"/>
  <c r="AO261" i="43"/>
  <c r="AP261" i="43"/>
  <c r="AO263" i="43"/>
  <c r="AO266" i="43" s="1"/>
  <c r="AP263" i="43"/>
  <c r="AP266" i="43" s="1"/>
  <c r="AO264" i="43"/>
  <c r="AP264" i="43"/>
  <c r="AO265" i="43"/>
  <c r="AP265" i="43"/>
  <c r="AO267" i="43"/>
  <c r="AP267" i="43"/>
  <c r="AP272" i="43" s="1"/>
  <c r="AO268" i="43"/>
  <c r="AP268" i="43"/>
  <c r="AO269" i="43"/>
  <c r="AP269" i="43"/>
  <c r="AO270" i="43"/>
  <c r="AP270" i="43"/>
  <c r="AO271" i="43"/>
  <c r="AP271" i="43"/>
  <c r="AO273" i="43"/>
  <c r="AO276" i="43" s="1"/>
  <c r="AP273" i="43"/>
  <c r="AP276" i="43" s="1"/>
  <c r="AO274" i="43"/>
  <c r="AP274" i="43"/>
  <c r="AO275" i="43"/>
  <c r="AP275" i="43"/>
  <c r="AO277" i="43"/>
  <c r="AP277" i="43"/>
  <c r="AP283" i="43" s="1"/>
  <c r="AO278" i="43"/>
  <c r="AP278" i="43"/>
  <c r="AO279" i="43"/>
  <c r="AP279" i="43"/>
  <c r="AO280" i="43"/>
  <c r="AP280" i="43"/>
  <c r="AO281" i="43"/>
  <c r="AP281" i="43"/>
  <c r="AO282" i="43"/>
  <c r="AP282" i="43"/>
  <c r="AO284" i="43"/>
  <c r="AO288" i="43" s="1"/>
  <c r="AP284" i="43"/>
  <c r="AP288" i="43" s="1"/>
  <c r="AO285" i="43"/>
  <c r="AP285" i="43"/>
  <c r="AO286" i="43"/>
  <c r="AP286" i="43"/>
  <c r="AO287" i="43"/>
  <c r="AP287" i="43"/>
  <c r="AO289" i="43"/>
  <c r="AP289" i="43"/>
  <c r="AP296" i="43" s="1"/>
  <c r="AO290" i="43"/>
  <c r="AP290" i="43"/>
  <c r="AO291" i="43"/>
  <c r="AP291" i="43"/>
  <c r="AO292" i="43"/>
  <c r="AP292" i="43"/>
  <c r="AO293" i="43"/>
  <c r="AP293" i="43"/>
  <c r="AO294" i="43"/>
  <c r="AP294" i="43"/>
  <c r="AO295" i="43"/>
  <c r="AP295" i="43"/>
  <c r="AO297" i="43"/>
  <c r="AO298" i="43" s="1"/>
  <c r="AP297" i="43"/>
  <c r="AP298" i="43" s="1"/>
  <c r="AO299" i="43"/>
  <c r="AP299" i="43"/>
  <c r="AP305" i="43" s="1"/>
  <c r="AO300" i="43"/>
  <c r="AP300" i="43"/>
  <c r="AO301" i="43"/>
  <c r="AP301" i="43"/>
  <c r="AO302" i="43"/>
  <c r="AP302" i="43"/>
  <c r="AO303" i="43"/>
  <c r="AP303" i="43"/>
  <c r="AO304" i="43"/>
  <c r="AP304" i="43"/>
  <c r="AO306" i="43"/>
  <c r="AO312" i="43" s="1"/>
  <c r="AP306" i="43"/>
  <c r="AP312" i="43" s="1"/>
  <c r="AO307" i="43"/>
  <c r="AP307" i="43"/>
  <c r="AO308" i="43"/>
  <c r="AP308" i="43"/>
  <c r="AO309" i="43"/>
  <c r="AP309" i="43"/>
  <c r="AO310" i="43"/>
  <c r="AP310" i="43"/>
  <c r="AO311" i="43"/>
  <c r="AP311" i="43"/>
  <c r="AO313" i="43"/>
  <c r="AP313" i="43"/>
  <c r="AP316" i="43" s="1"/>
  <c r="AO314" i="43"/>
  <c r="AP314" i="43"/>
  <c r="AO315" i="43"/>
  <c r="AP315" i="43"/>
  <c r="AO317" i="43"/>
  <c r="AO322" i="43" s="1"/>
  <c r="AP317" i="43"/>
  <c r="AP322" i="43" s="1"/>
  <c r="AO318" i="43"/>
  <c r="AP318" i="43"/>
  <c r="AO319" i="43"/>
  <c r="AP319" i="43"/>
  <c r="AO320" i="43"/>
  <c r="AP320" i="43"/>
  <c r="AO321" i="43"/>
  <c r="AP321" i="43"/>
  <c r="AO323" i="43"/>
  <c r="AP323" i="43"/>
  <c r="AP324" i="43" s="1"/>
  <c r="AO325" i="43"/>
  <c r="AO328" i="43" s="1"/>
  <c r="AP325" i="43"/>
  <c r="AP328" i="43" s="1"/>
  <c r="AO326" i="43"/>
  <c r="AP326" i="43"/>
  <c r="AO327" i="43"/>
  <c r="AP327" i="43"/>
  <c r="AO329" i="43"/>
  <c r="AP329" i="43"/>
  <c r="AP332" i="43" s="1"/>
  <c r="AO330" i="43"/>
  <c r="AP330" i="43"/>
  <c r="AO331" i="43"/>
  <c r="AP331" i="43"/>
  <c r="AO333" i="43"/>
  <c r="AO335" i="43" s="1"/>
  <c r="AP333" i="43"/>
  <c r="AP335" i="43" s="1"/>
  <c r="AO334" i="43"/>
  <c r="AP334" i="43"/>
  <c r="AO336" i="43"/>
  <c r="AP336" i="43"/>
  <c r="AP344" i="43" s="1"/>
  <c r="AO337" i="43"/>
  <c r="AP337" i="43"/>
  <c r="AO338" i="43"/>
  <c r="AP338" i="43"/>
  <c r="AO339" i="43"/>
  <c r="AP339" i="43"/>
  <c r="AO340" i="43"/>
  <c r="AP340" i="43"/>
  <c r="AO341" i="43"/>
  <c r="AP341" i="43"/>
  <c r="AO342" i="43"/>
  <c r="AP342" i="43"/>
  <c r="AO343" i="43"/>
  <c r="AP343" i="43"/>
  <c r="AO345" i="43"/>
  <c r="AO350" i="43" s="1"/>
  <c r="AP345" i="43"/>
  <c r="AP350" i="43" s="1"/>
  <c r="AO346" i="43"/>
  <c r="AP346" i="43"/>
  <c r="AO347" i="43"/>
  <c r="AP347" i="43"/>
  <c r="AO348" i="43"/>
  <c r="AP348" i="43"/>
  <c r="AO349" i="43"/>
  <c r="AP349" i="43"/>
  <c r="AO351" i="43"/>
  <c r="AP351" i="43"/>
  <c r="AP357" i="43" s="1"/>
  <c r="AO352" i="43"/>
  <c r="AP352" i="43"/>
  <c r="AO353" i="43"/>
  <c r="AP353" i="43"/>
  <c r="AO354" i="43"/>
  <c r="AP354" i="43"/>
  <c r="AO355" i="43"/>
  <c r="AP355" i="43"/>
  <c r="AO356" i="43"/>
  <c r="AP356" i="43"/>
  <c r="AO358" i="43"/>
  <c r="AO362" i="43" s="1"/>
  <c r="AP358" i="43"/>
  <c r="AP362" i="43" s="1"/>
  <c r="AO359" i="43"/>
  <c r="AP359" i="43"/>
  <c r="AO360" i="43"/>
  <c r="AP360" i="43"/>
  <c r="AO361" i="43"/>
  <c r="AP361" i="43"/>
  <c r="AO363" i="43"/>
  <c r="AP363" i="43"/>
  <c r="AP369" i="43" s="1"/>
  <c r="AO364" i="43"/>
  <c r="AP364" i="43"/>
  <c r="AO365" i="43"/>
  <c r="AP365" i="43"/>
  <c r="AO366" i="43"/>
  <c r="AP366" i="43"/>
  <c r="AO367" i="43"/>
  <c r="AP367" i="43"/>
  <c r="AO368" i="43"/>
  <c r="AP368" i="43"/>
  <c r="AO370" i="43"/>
  <c r="AO373" i="43" s="1"/>
  <c r="AP370" i="43"/>
  <c r="AP373" i="43" s="1"/>
  <c r="AO371" i="43"/>
  <c r="AP371" i="43"/>
  <c r="AO372" i="43"/>
  <c r="AP372" i="43"/>
  <c r="AO374" i="43"/>
  <c r="AP374" i="43"/>
  <c r="AP375" i="43" s="1"/>
  <c r="AO376" i="43"/>
  <c r="AO382" i="43" s="1"/>
  <c r="AP376" i="43"/>
  <c r="AP382" i="43" s="1"/>
  <c r="AO377" i="43"/>
  <c r="AP377" i="43"/>
  <c r="AO378" i="43"/>
  <c r="AP378" i="43"/>
  <c r="AO379" i="43"/>
  <c r="AP379" i="43"/>
  <c r="AO380" i="43"/>
  <c r="AP380" i="43"/>
  <c r="AO381" i="43"/>
  <c r="AP381" i="43"/>
  <c r="AO383" i="43"/>
  <c r="AP383" i="43"/>
  <c r="AP388" i="43" s="1"/>
  <c r="AO384" i="43"/>
  <c r="AP384" i="43"/>
  <c r="AO385" i="43"/>
  <c r="AP385" i="43"/>
  <c r="AO386" i="43"/>
  <c r="AP386" i="43"/>
  <c r="AO387" i="43"/>
  <c r="AP387" i="43"/>
  <c r="AO389" i="43"/>
  <c r="AO392" i="43" s="1"/>
  <c r="AP389" i="43"/>
  <c r="AP392" i="43" s="1"/>
  <c r="AO390" i="43"/>
  <c r="AP390" i="43"/>
  <c r="AO391" i="43"/>
  <c r="AP391" i="43"/>
  <c r="AO393" i="43"/>
  <c r="AP393" i="43"/>
  <c r="AP399" i="43" s="1"/>
  <c r="AO394" i="43"/>
  <c r="AP394" i="43"/>
  <c r="AO395" i="43"/>
  <c r="AP395" i="43"/>
  <c r="AO396" i="43"/>
  <c r="AP396" i="43"/>
  <c r="AO397" i="43"/>
  <c r="AP397" i="43"/>
  <c r="AO398" i="43"/>
  <c r="AP398" i="43"/>
  <c r="AO400" i="43"/>
  <c r="AO406" i="43" s="1"/>
  <c r="AP400" i="43"/>
  <c r="AP406" i="43" s="1"/>
  <c r="AO401" i="43"/>
  <c r="AP401" i="43"/>
  <c r="AO402" i="43"/>
  <c r="AP402" i="43"/>
  <c r="AO403" i="43"/>
  <c r="AP403" i="43"/>
  <c r="AO404" i="43"/>
  <c r="AP404" i="43"/>
  <c r="AO405" i="43"/>
  <c r="AP405" i="43"/>
  <c r="AO407" i="43"/>
  <c r="AP407" i="43"/>
  <c r="AP409" i="43" s="1"/>
  <c r="AO408" i="43"/>
  <c r="AP408" i="43"/>
  <c r="AO410" i="43"/>
  <c r="AO415" i="43" s="1"/>
  <c r="AP410" i="43"/>
  <c r="AP415" i="43" s="1"/>
  <c r="AO411" i="43"/>
  <c r="AP411" i="43"/>
  <c r="AO412" i="43"/>
  <c r="AP412" i="43"/>
  <c r="AO413" i="43"/>
  <c r="AP413" i="43"/>
  <c r="AO414" i="43"/>
  <c r="AP414" i="43"/>
  <c r="AO416" i="43"/>
  <c r="AP416" i="43"/>
  <c r="AP422" i="43" s="1"/>
  <c r="AO417" i="43"/>
  <c r="AP417" i="43"/>
  <c r="AO418" i="43"/>
  <c r="AP418" i="43"/>
  <c r="AO419" i="43"/>
  <c r="AP419" i="43"/>
  <c r="AO420" i="43"/>
  <c r="AP420" i="43"/>
  <c r="AO421" i="43"/>
  <c r="AP421" i="43"/>
  <c r="AO423" i="43"/>
  <c r="AO429" i="43" s="1"/>
  <c r="AP423" i="43"/>
  <c r="AP429" i="43" s="1"/>
  <c r="AO424" i="43"/>
  <c r="AP424" i="43"/>
  <c r="AO425" i="43"/>
  <c r="AP425" i="43"/>
  <c r="AO426" i="43"/>
  <c r="AP426" i="43"/>
  <c r="AO427" i="43"/>
  <c r="AP427" i="43"/>
  <c r="AO428" i="43"/>
  <c r="AP428" i="43"/>
  <c r="AO430" i="43"/>
  <c r="AP430" i="43"/>
  <c r="AP436" i="43" s="1"/>
  <c r="AO431" i="43"/>
  <c r="AP431" i="43"/>
  <c r="AO432" i="43"/>
  <c r="AP432" i="43"/>
  <c r="AO433" i="43"/>
  <c r="AP433" i="43"/>
  <c r="AO434" i="43"/>
  <c r="AP434" i="43"/>
  <c r="AO435" i="43"/>
  <c r="AP435" i="43"/>
  <c r="AO437" i="43"/>
  <c r="AP437" i="43"/>
  <c r="AO438" i="43"/>
  <c r="AP438" i="43"/>
  <c r="AO439" i="43"/>
  <c r="AP439" i="43"/>
  <c r="AO440" i="43"/>
  <c r="AP440" i="43"/>
  <c r="AO441" i="43"/>
  <c r="AP441" i="43"/>
  <c r="AO442" i="43"/>
  <c r="AP442" i="43"/>
  <c r="AO444" i="43"/>
  <c r="AP444" i="43"/>
  <c r="AP450" i="43" s="1"/>
  <c r="AO445" i="43"/>
  <c r="AP445" i="43"/>
  <c r="AO446" i="43"/>
  <c r="AP446" i="43"/>
  <c r="AO447" i="43"/>
  <c r="AP447" i="43"/>
  <c r="AO448" i="43"/>
  <c r="AP448" i="43"/>
  <c r="AO449" i="43"/>
  <c r="AP449" i="43"/>
  <c r="AO451" i="43"/>
  <c r="AO457" i="43" s="1"/>
  <c r="AP451" i="43"/>
  <c r="AP457" i="43" s="1"/>
  <c r="AO452" i="43"/>
  <c r="AP452" i="43"/>
  <c r="AO453" i="43"/>
  <c r="AP453" i="43"/>
  <c r="AO454" i="43"/>
  <c r="AP454" i="43"/>
  <c r="AO455" i="43"/>
  <c r="AP455" i="43"/>
  <c r="AO456" i="43"/>
  <c r="AP456" i="43"/>
  <c r="AO458" i="43"/>
  <c r="AP458" i="43"/>
  <c r="AP460" i="43" s="1"/>
  <c r="AO459" i="43"/>
  <c r="AP459" i="43"/>
  <c r="AO461" i="43"/>
  <c r="AO464" i="43" s="1"/>
  <c r="AP461" i="43"/>
  <c r="AP464" i="43" s="1"/>
  <c r="AO462" i="43"/>
  <c r="AP462" i="43"/>
  <c r="AO463" i="43"/>
  <c r="AP463" i="43"/>
  <c r="AP12" i="43"/>
  <c r="AP13" i="43" s="1"/>
  <c r="AO12" i="43"/>
  <c r="AP443" i="43" l="1"/>
  <c r="AO443" i="43"/>
  <c r="AK135" i="44"/>
  <c r="AL135" i="44"/>
  <c r="AK136" i="44"/>
  <c r="AL136" i="44"/>
  <c r="AK137" i="44"/>
  <c r="AL137" i="44"/>
  <c r="AK138" i="44"/>
  <c r="AL138" i="44"/>
  <c r="AK139" i="44"/>
  <c r="AL139" i="44"/>
  <c r="AK140" i="44"/>
  <c r="AL140" i="44"/>
  <c r="AK141" i="44"/>
  <c r="AL141" i="44"/>
  <c r="AK142" i="44"/>
  <c r="AL142" i="44"/>
  <c r="AK143" i="44"/>
  <c r="AL143" i="44"/>
  <c r="AK144" i="44"/>
  <c r="AL144" i="44"/>
  <c r="AK469" i="43"/>
  <c r="AL469" i="43"/>
  <c r="AK470" i="43"/>
  <c r="AL470" i="43"/>
  <c r="AK471" i="43"/>
  <c r="AL471" i="43"/>
  <c r="AK472" i="43"/>
  <c r="AL472" i="43"/>
  <c r="AK473" i="43"/>
  <c r="AL473" i="43"/>
  <c r="AK474" i="43"/>
  <c r="AL474" i="43"/>
  <c r="AK475" i="43"/>
  <c r="AL475" i="43"/>
  <c r="AK476" i="43"/>
  <c r="AL476" i="43"/>
  <c r="AK477" i="43"/>
  <c r="AL477" i="43"/>
  <c r="AK478" i="43"/>
  <c r="AL478" i="43"/>
  <c r="AL130" i="44"/>
  <c r="AK130" i="44"/>
  <c r="AL124" i="44"/>
  <c r="AK124" i="44"/>
  <c r="AL115" i="44"/>
  <c r="AK115" i="44"/>
  <c r="AL113" i="44"/>
  <c r="AK113" i="44"/>
  <c r="AL107" i="44"/>
  <c r="AK107" i="44"/>
  <c r="AL105" i="44"/>
  <c r="AK105" i="44"/>
  <c r="AL101" i="44"/>
  <c r="AK101" i="44"/>
  <c r="AL95" i="44"/>
  <c r="AK95" i="44"/>
  <c r="AL91" i="44"/>
  <c r="AK91" i="44"/>
  <c r="AL84" i="44"/>
  <c r="AK84" i="44"/>
  <c r="AL77" i="44"/>
  <c r="AK77" i="44"/>
  <c r="AL70" i="44"/>
  <c r="AK70" i="44"/>
  <c r="AL63" i="44"/>
  <c r="AK63" i="44"/>
  <c r="AL56" i="44"/>
  <c r="AK56" i="44"/>
  <c r="AL49" i="44"/>
  <c r="AK49" i="44"/>
  <c r="AL42" i="44"/>
  <c r="AK42" i="44"/>
  <c r="AL35" i="44"/>
  <c r="AK35" i="44"/>
  <c r="AL28" i="44"/>
  <c r="AK28" i="44"/>
  <c r="AL19" i="44"/>
  <c r="AK19" i="44"/>
  <c r="AL13" i="44"/>
  <c r="AK13" i="44"/>
  <c r="AL464" i="43"/>
  <c r="AK464" i="43"/>
  <c r="AL460" i="43"/>
  <c r="AK460" i="43"/>
  <c r="AL457" i="43"/>
  <c r="AK457" i="43"/>
  <c r="AL450" i="43"/>
  <c r="AK450" i="43"/>
  <c r="AL443" i="43"/>
  <c r="AK443" i="43"/>
  <c r="AL436" i="43"/>
  <c r="AK436" i="43"/>
  <c r="AL429" i="43"/>
  <c r="AK429" i="43"/>
  <c r="AL422" i="43"/>
  <c r="AK422" i="43"/>
  <c r="AL415" i="43"/>
  <c r="AK415" i="43"/>
  <c r="AL409" i="43"/>
  <c r="AK409" i="43"/>
  <c r="AL406" i="43"/>
  <c r="AK406" i="43"/>
  <c r="AL399" i="43"/>
  <c r="AK399" i="43"/>
  <c r="AL392" i="43"/>
  <c r="AK392" i="43"/>
  <c r="AL388" i="43"/>
  <c r="AK388" i="43"/>
  <c r="AL382" i="43"/>
  <c r="AK382" i="43"/>
  <c r="AL375" i="43"/>
  <c r="AK375" i="43"/>
  <c r="AL373" i="43"/>
  <c r="AK373" i="43"/>
  <c r="AL369" i="43"/>
  <c r="AK369" i="43"/>
  <c r="AL362" i="43"/>
  <c r="AK362" i="43"/>
  <c r="AL357" i="43"/>
  <c r="AK357" i="43"/>
  <c r="AL350" i="43"/>
  <c r="AK350" i="43"/>
  <c r="AL344" i="43"/>
  <c r="AK344" i="43"/>
  <c r="AL335" i="43"/>
  <c r="AK335" i="43"/>
  <c r="AL332" i="43"/>
  <c r="AK332" i="43"/>
  <c r="AL328" i="43"/>
  <c r="AK328" i="43"/>
  <c r="AL324" i="43"/>
  <c r="AK324" i="43"/>
  <c r="AL322" i="43"/>
  <c r="AK322" i="43"/>
  <c r="AL316" i="43"/>
  <c r="AK316" i="43"/>
  <c r="AL312" i="43"/>
  <c r="AK312" i="43"/>
  <c r="AL305" i="43"/>
  <c r="AK305" i="43"/>
  <c r="AL298" i="43"/>
  <c r="AK298" i="43"/>
  <c r="AL296" i="43"/>
  <c r="AK296" i="43"/>
  <c r="AL288" i="43"/>
  <c r="AK288" i="43"/>
  <c r="AL283" i="43"/>
  <c r="AK283" i="43"/>
  <c r="AL276" i="43"/>
  <c r="AK276" i="43"/>
  <c r="AL272" i="43"/>
  <c r="AK272" i="43"/>
  <c r="AL266" i="43"/>
  <c r="AK266" i="43"/>
  <c r="AL262" i="43"/>
  <c r="AK262" i="43"/>
  <c r="AL258" i="43"/>
  <c r="AK258" i="43"/>
  <c r="AL256" i="43"/>
  <c r="AK256" i="43"/>
  <c r="AL249" i="43"/>
  <c r="AK249" i="43"/>
  <c r="AL243" i="43"/>
  <c r="AK243" i="43"/>
  <c r="AL237" i="43"/>
  <c r="AK237" i="43"/>
  <c r="AL231" i="43"/>
  <c r="AK231" i="43"/>
  <c r="AL225" i="43"/>
  <c r="AK225" i="43"/>
  <c r="AL219" i="43"/>
  <c r="AK219" i="43"/>
  <c r="AL213" i="43"/>
  <c r="AK213" i="43"/>
  <c r="AL206" i="43"/>
  <c r="AK206" i="43"/>
  <c r="AL200" i="43"/>
  <c r="AK200" i="43"/>
  <c r="AL194" i="43"/>
  <c r="AK194" i="43"/>
  <c r="AL187" i="43"/>
  <c r="AK187" i="43"/>
  <c r="AL180" i="43"/>
  <c r="AK180" i="43"/>
  <c r="AL174" i="43"/>
  <c r="AK174" i="43"/>
  <c r="AL168" i="43"/>
  <c r="AK168" i="43"/>
  <c r="AL162" i="43"/>
  <c r="AK162" i="43"/>
  <c r="AL157" i="43"/>
  <c r="AK157" i="43"/>
  <c r="AL151" i="43"/>
  <c r="AK151" i="43"/>
  <c r="AL145" i="43"/>
  <c r="AK145" i="43"/>
  <c r="AL139" i="43"/>
  <c r="AK139" i="43"/>
  <c r="AL132" i="43"/>
  <c r="AK132" i="43"/>
  <c r="AL125" i="43"/>
  <c r="AK125" i="43"/>
  <c r="AL120" i="43"/>
  <c r="AK120" i="43"/>
  <c r="AL116" i="43"/>
  <c r="AK116" i="43"/>
  <c r="AL113" i="43"/>
  <c r="AK113" i="43"/>
  <c r="AL109" i="43"/>
  <c r="AK109" i="43"/>
  <c r="AL105" i="43"/>
  <c r="AK105" i="43"/>
  <c r="AL102" i="43"/>
  <c r="AK102" i="43"/>
  <c r="AL98" i="43"/>
  <c r="AK98" i="43"/>
  <c r="AL94" i="43"/>
  <c r="AK94" i="43"/>
  <c r="AL90" i="43"/>
  <c r="AK90" i="43"/>
  <c r="AL86" i="43"/>
  <c r="AK86" i="43"/>
  <c r="AL82" i="43"/>
  <c r="AK82" i="43"/>
  <c r="AL79" i="43"/>
  <c r="AK79" i="43"/>
  <c r="AL75" i="43"/>
  <c r="AK75" i="43"/>
  <c r="AL70" i="43"/>
  <c r="AK70" i="43"/>
  <c r="AL67" i="43"/>
  <c r="AK67" i="43"/>
  <c r="AL63" i="43"/>
  <c r="AK63" i="43"/>
  <c r="AL59" i="43"/>
  <c r="AK59" i="43"/>
  <c r="AL55" i="43"/>
  <c r="AK55" i="43"/>
  <c r="AL52" i="43"/>
  <c r="AK52" i="43"/>
  <c r="AL49" i="43"/>
  <c r="AK49" i="43"/>
  <c r="AL46" i="43"/>
  <c r="AK46" i="43"/>
  <c r="AL42" i="43"/>
  <c r="AK42" i="43"/>
  <c r="AL39" i="43"/>
  <c r="AK39" i="43"/>
  <c r="AL35" i="43"/>
  <c r="AK35" i="43"/>
  <c r="AL31" i="43"/>
  <c r="AK31" i="43"/>
  <c r="AL27" i="43"/>
  <c r="AK27" i="43"/>
  <c r="AL22" i="43"/>
  <c r="AK22" i="43"/>
  <c r="AL18" i="43"/>
  <c r="AK18" i="43"/>
  <c r="AL13" i="43"/>
  <c r="AK13" i="43"/>
  <c r="AK465" i="43" l="1"/>
  <c r="AD23" i="47" s="1"/>
  <c r="AL468" i="43"/>
  <c r="AL465" i="43"/>
  <c r="AK468" i="43"/>
  <c r="AK131" i="44"/>
  <c r="AL134" i="44"/>
  <c r="AL131" i="44"/>
  <c r="AK134" i="44"/>
  <c r="T438" i="43"/>
  <c r="U21" i="44"/>
  <c r="K135" i="44"/>
  <c r="K136" i="44"/>
  <c r="K137" i="44"/>
  <c r="K138" i="44"/>
  <c r="K139" i="44"/>
  <c r="K140" i="44"/>
  <c r="K141" i="44"/>
  <c r="K142" i="44"/>
  <c r="K143" i="44"/>
  <c r="K144" i="44"/>
  <c r="K131" i="44"/>
  <c r="AE26" i="47" l="1"/>
  <c r="AE23" i="47"/>
  <c r="AD26" i="47"/>
  <c r="K134" i="44"/>
  <c r="K469" i="43"/>
  <c r="K470" i="43"/>
  <c r="K471" i="43"/>
  <c r="K472" i="43"/>
  <c r="K473" i="43"/>
  <c r="K474" i="43"/>
  <c r="K475" i="43"/>
  <c r="K476" i="43"/>
  <c r="K477" i="43"/>
  <c r="K478" i="43"/>
  <c r="K465" i="43"/>
  <c r="D23" i="47" s="1"/>
  <c r="R12" i="43"/>
  <c r="R13" i="43" s="1"/>
  <c r="R14" i="43"/>
  <c r="R15" i="43"/>
  <c r="R16" i="43"/>
  <c r="R17" i="43"/>
  <c r="R19" i="43"/>
  <c r="R20" i="43"/>
  <c r="R21" i="43"/>
  <c r="R23" i="43"/>
  <c r="R24" i="43"/>
  <c r="R25" i="43"/>
  <c r="R26" i="43"/>
  <c r="R28" i="43"/>
  <c r="R29" i="43"/>
  <c r="R30" i="43"/>
  <c r="R32" i="43"/>
  <c r="R33" i="43"/>
  <c r="R34" i="43"/>
  <c r="R36" i="43"/>
  <c r="R37" i="43"/>
  <c r="R38" i="43"/>
  <c r="R40" i="43"/>
  <c r="R41" i="43"/>
  <c r="R43" i="43"/>
  <c r="R44" i="43"/>
  <c r="R45" i="43"/>
  <c r="R47" i="43"/>
  <c r="R48" i="43"/>
  <c r="R50" i="43"/>
  <c r="R51" i="43"/>
  <c r="R53" i="43"/>
  <c r="R54" i="43"/>
  <c r="R56" i="43"/>
  <c r="R57" i="43"/>
  <c r="R58" i="43"/>
  <c r="R60" i="43"/>
  <c r="R61" i="43"/>
  <c r="R62" i="43"/>
  <c r="R64" i="43"/>
  <c r="R65" i="43"/>
  <c r="R66" i="43"/>
  <c r="R68" i="43"/>
  <c r="R69" i="43"/>
  <c r="R71" i="43"/>
  <c r="R72" i="43"/>
  <c r="R73" i="43"/>
  <c r="R74" i="43"/>
  <c r="R76" i="43"/>
  <c r="R77" i="43"/>
  <c r="R78" i="43"/>
  <c r="R80" i="43"/>
  <c r="R81" i="43"/>
  <c r="R83" i="43"/>
  <c r="R84" i="43"/>
  <c r="R85" i="43"/>
  <c r="R87" i="43"/>
  <c r="R88" i="43"/>
  <c r="R89" i="43"/>
  <c r="R91" i="43"/>
  <c r="R92" i="43"/>
  <c r="R93" i="43"/>
  <c r="R95" i="43"/>
  <c r="R96" i="43"/>
  <c r="R97" i="43"/>
  <c r="R99" i="43"/>
  <c r="R100" i="43"/>
  <c r="R101" i="43"/>
  <c r="R103" i="43"/>
  <c r="R104" i="43"/>
  <c r="R106" i="43"/>
  <c r="R107" i="43"/>
  <c r="R108" i="43"/>
  <c r="R110" i="43"/>
  <c r="R111" i="43"/>
  <c r="R112" i="43"/>
  <c r="R114" i="43"/>
  <c r="R115" i="43"/>
  <c r="R117" i="43"/>
  <c r="R118" i="43"/>
  <c r="R119" i="43"/>
  <c r="R121" i="43"/>
  <c r="R122" i="43"/>
  <c r="R123" i="43"/>
  <c r="R124" i="43"/>
  <c r="R126" i="43"/>
  <c r="R127" i="43"/>
  <c r="R128" i="43"/>
  <c r="R129" i="43"/>
  <c r="R130" i="43"/>
  <c r="R131" i="43"/>
  <c r="R133" i="43"/>
  <c r="R134" i="43"/>
  <c r="R135" i="43"/>
  <c r="R136" i="43"/>
  <c r="R137" i="43"/>
  <c r="R138" i="43"/>
  <c r="R140" i="43"/>
  <c r="R141" i="43"/>
  <c r="R142" i="43"/>
  <c r="R143" i="43"/>
  <c r="R144" i="43"/>
  <c r="R146" i="43"/>
  <c r="R147" i="43"/>
  <c r="R148" i="43"/>
  <c r="R149" i="43"/>
  <c r="R150" i="43"/>
  <c r="R152" i="43"/>
  <c r="R153" i="43"/>
  <c r="R154" i="43"/>
  <c r="R155" i="43"/>
  <c r="R156" i="43"/>
  <c r="R158" i="43"/>
  <c r="R159" i="43"/>
  <c r="R160" i="43"/>
  <c r="R161" i="43"/>
  <c r="R163" i="43"/>
  <c r="R164" i="43"/>
  <c r="R165" i="43"/>
  <c r="R166" i="43"/>
  <c r="R167" i="43"/>
  <c r="R169" i="43"/>
  <c r="R170" i="43"/>
  <c r="R171" i="43"/>
  <c r="R172" i="43"/>
  <c r="R173" i="43"/>
  <c r="R175" i="43"/>
  <c r="R176" i="43"/>
  <c r="R177" i="43"/>
  <c r="R178" i="43"/>
  <c r="R179" i="43"/>
  <c r="R181" i="43"/>
  <c r="R182" i="43"/>
  <c r="R183" i="43"/>
  <c r="R184" i="43"/>
  <c r="R185" i="43"/>
  <c r="R186" i="43"/>
  <c r="R188" i="43"/>
  <c r="R189" i="43"/>
  <c r="R190" i="43"/>
  <c r="R191" i="43"/>
  <c r="R192" i="43"/>
  <c r="R193" i="43"/>
  <c r="R195" i="43"/>
  <c r="R196" i="43"/>
  <c r="R197" i="43"/>
  <c r="R198" i="43"/>
  <c r="R199" i="43"/>
  <c r="R201" i="43"/>
  <c r="R202" i="43"/>
  <c r="R203" i="43"/>
  <c r="R204" i="43"/>
  <c r="R205" i="43"/>
  <c r="R207" i="43"/>
  <c r="R208" i="43"/>
  <c r="R209" i="43"/>
  <c r="R210" i="43"/>
  <c r="R211" i="43"/>
  <c r="R212" i="43"/>
  <c r="R214" i="43"/>
  <c r="R215" i="43"/>
  <c r="R216" i="43"/>
  <c r="R217" i="43"/>
  <c r="R218" i="43"/>
  <c r="R220" i="43"/>
  <c r="R221" i="43"/>
  <c r="R222" i="43"/>
  <c r="R223" i="43"/>
  <c r="R224" i="43"/>
  <c r="R226" i="43"/>
  <c r="R227" i="43"/>
  <c r="R228" i="43"/>
  <c r="R229" i="43"/>
  <c r="R230" i="43"/>
  <c r="R232" i="43"/>
  <c r="R233" i="43"/>
  <c r="R234" i="43"/>
  <c r="R235" i="43"/>
  <c r="R236" i="43"/>
  <c r="R238" i="43"/>
  <c r="R239" i="43"/>
  <c r="R240" i="43"/>
  <c r="R241" i="43"/>
  <c r="R242" i="43"/>
  <c r="R244" i="43"/>
  <c r="R245" i="43"/>
  <c r="R246" i="43"/>
  <c r="R247" i="43"/>
  <c r="R248" i="43"/>
  <c r="R250" i="43"/>
  <c r="R251" i="43"/>
  <c r="R252" i="43"/>
  <c r="R253" i="43"/>
  <c r="R254" i="43"/>
  <c r="R255" i="43"/>
  <c r="R257" i="43"/>
  <c r="R258" i="43" s="1"/>
  <c r="R259" i="43"/>
  <c r="R260" i="43"/>
  <c r="R261" i="43"/>
  <c r="R263" i="43"/>
  <c r="R264" i="43"/>
  <c r="R265" i="43"/>
  <c r="R267" i="43"/>
  <c r="R268" i="43"/>
  <c r="R269" i="43"/>
  <c r="R270" i="43"/>
  <c r="R271" i="43"/>
  <c r="R273" i="43"/>
  <c r="R274" i="43"/>
  <c r="R275" i="43"/>
  <c r="R277" i="43"/>
  <c r="R278" i="43"/>
  <c r="R279" i="43"/>
  <c r="R280" i="43"/>
  <c r="R281" i="43"/>
  <c r="R282" i="43"/>
  <c r="R284" i="43"/>
  <c r="R285" i="43"/>
  <c r="R286" i="43"/>
  <c r="R287" i="43"/>
  <c r="R289" i="43"/>
  <c r="R290" i="43"/>
  <c r="R291" i="43"/>
  <c r="R292" i="43"/>
  <c r="R293" i="43"/>
  <c r="R294" i="43"/>
  <c r="R295" i="43"/>
  <c r="R297" i="43"/>
  <c r="R298" i="43" s="1"/>
  <c r="R299" i="43"/>
  <c r="R300" i="43"/>
  <c r="R301" i="43"/>
  <c r="R302" i="43"/>
  <c r="R303" i="43"/>
  <c r="R304" i="43"/>
  <c r="R306" i="43"/>
  <c r="R307" i="43"/>
  <c r="R308" i="43"/>
  <c r="R309" i="43"/>
  <c r="R310" i="43"/>
  <c r="R311" i="43"/>
  <c r="R313" i="43"/>
  <c r="R314" i="43"/>
  <c r="R315" i="43"/>
  <c r="R317" i="43"/>
  <c r="R318" i="43"/>
  <c r="R319" i="43"/>
  <c r="R320" i="43"/>
  <c r="R321" i="43"/>
  <c r="R323" i="43"/>
  <c r="R324" i="43" s="1"/>
  <c r="R325" i="43"/>
  <c r="R326" i="43"/>
  <c r="R327" i="43"/>
  <c r="R329" i="43"/>
  <c r="R330" i="43"/>
  <c r="R331" i="43"/>
  <c r="R333" i="43"/>
  <c r="R334" i="43"/>
  <c r="R336" i="43"/>
  <c r="R337" i="43"/>
  <c r="R338" i="43"/>
  <c r="R339" i="43"/>
  <c r="R340" i="43"/>
  <c r="R341" i="43"/>
  <c r="R342" i="43"/>
  <c r="R343" i="43"/>
  <c r="R345" i="43"/>
  <c r="R346" i="43"/>
  <c r="R347" i="43"/>
  <c r="R348" i="43"/>
  <c r="R349" i="43"/>
  <c r="R351" i="43"/>
  <c r="R352" i="43"/>
  <c r="R353" i="43"/>
  <c r="R354" i="43"/>
  <c r="R355" i="43"/>
  <c r="R356" i="43"/>
  <c r="R358" i="43"/>
  <c r="R359" i="43"/>
  <c r="R360" i="43"/>
  <c r="R361" i="43"/>
  <c r="R363" i="43"/>
  <c r="R364" i="43"/>
  <c r="R365" i="43"/>
  <c r="R366" i="43"/>
  <c r="R367" i="43"/>
  <c r="R368" i="43"/>
  <c r="R370" i="43"/>
  <c r="R371" i="43"/>
  <c r="R372" i="43"/>
  <c r="R374" i="43"/>
  <c r="R375" i="43" s="1"/>
  <c r="R376" i="43"/>
  <c r="R377" i="43"/>
  <c r="R378" i="43"/>
  <c r="R379" i="43"/>
  <c r="R380" i="43"/>
  <c r="R381" i="43"/>
  <c r="R383" i="43"/>
  <c r="R384" i="43"/>
  <c r="R385" i="43"/>
  <c r="R386" i="43"/>
  <c r="R387" i="43"/>
  <c r="R389" i="43"/>
  <c r="R390" i="43"/>
  <c r="R391" i="43"/>
  <c r="R393" i="43"/>
  <c r="R394" i="43"/>
  <c r="R395" i="43"/>
  <c r="R396" i="43"/>
  <c r="R397" i="43"/>
  <c r="R398" i="43"/>
  <c r="R400" i="43"/>
  <c r="R401" i="43"/>
  <c r="R402" i="43"/>
  <c r="R403" i="43"/>
  <c r="R404" i="43"/>
  <c r="R405" i="43"/>
  <c r="R407" i="43"/>
  <c r="R408" i="43"/>
  <c r="R410" i="43"/>
  <c r="R411" i="43"/>
  <c r="R412" i="43"/>
  <c r="R413" i="43"/>
  <c r="R414" i="43"/>
  <c r="R416" i="43"/>
  <c r="R417" i="43"/>
  <c r="R418" i="43"/>
  <c r="R419" i="43"/>
  <c r="R420" i="43"/>
  <c r="R421" i="43"/>
  <c r="R423" i="43"/>
  <c r="R424" i="43"/>
  <c r="R425" i="43"/>
  <c r="R426" i="43"/>
  <c r="R427" i="43"/>
  <c r="R428" i="43"/>
  <c r="R430" i="43"/>
  <c r="R431" i="43"/>
  <c r="R432" i="43"/>
  <c r="R433" i="43"/>
  <c r="R434" i="43"/>
  <c r="R435" i="43"/>
  <c r="R437" i="43"/>
  <c r="R438" i="43"/>
  <c r="R439" i="43"/>
  <c r="R440" i="43"/>
  <c r="R441" i="43"/>
  <c r="R442" i="43"/>
  <c r="R444" i="43"/>
  <c r="R445" i="43"/>
  <c r="R446" i="43"/>
  <c r="R447" i="43"/>
  <c r="R448" i="43"/>
  <c r="R449" i="43"/>
  <c r="R451" i="43"/>
  <c r="R452" i="43"/>
  <c r="R453" i="43"/>
  <c r="R454" i="43"/>
  <c r="R455" i="43"/>
  <c r="R456" i="43"/>
  <c r="R458" i="43"/>
  <c r="R459" i="43"/>
  <c r="R461" i="43"/>
  <c r="R462" i="43"/>
  <c r="R463" i="43"/>
  <c r="W130" i="44"/>
  <c r="W124" i="44"/>
  <c r="W115" i="44"/>
  <c r="W113" i="44"/>
  <c r="W107" i="44"/>
  <c r="W105" i="44"/>
  <c r="W101" i="44"/>
  <c r="W95" i="44"/>
  <c r="W91" i="44"/>
  <c r="W84" i="44"/>
  <c r="W77" i="44"/>
  <c r="W70" i="44"/>
  <c r="W63" i="44"/>
  <c r="W56" i="44"/>
  <c r="W49" i="44"/>
  <c r="W42" i="44"/>
  <c r="W35" i="44"/>
  <c r="W28" i="44"/>
  <c r="W19" i="44"/>
  <c r="W13" i="44"/>
  <c r="AI130" i="44"/>
  <c r="AH130" i="44"/>
  <c r="AI124" i="44"/>
  <c r="AH124" i="44"/>
  <c r="AI115" i="44"/>
  <c r="AH115" i="44"/>
  <c r="AI113" i="44"/>
  <c r="AH113" i="44"/>
  <c r="AI107" i="44"/>
  <c r="AH107" i="44"/>
  <c r="AI105" i="44"/>
  <c r="AH105" i="44"/>
  <c r="AI101" i="44"/>
  <c r="AH101" i="44"/>
  <c r="AI95" i="44"/>
  <c r="AH95" i="44"/>
  <c r="AI91" i="44"/>
  <c r="AH91" i="44"/>
  <c r="AI84" i="44"/>
  <c r="AH84" i="44"/>
  <c r="AI77" i="44"/>
  <c r="AH77" i="44"/>
  <c r="AI70" i="44"/>
  <c r="AH70" i="44"/>
  <c r="AI63" i="44"/>
  <c r="AH63" i="44"/>
  <c r="AI56" i="44"/>
  <c r="AH56" i="44"/>
  <c r="AI49" i="44"/>
  <c r="AH49" i="44"/>
  <c r="AI42" i="44"/>
  <c r="AH42" i="44"/>
  <c r="AI35" i="44"/>
  <c r="AH35" i="44"/>
  <c r="AI28" i="44"/>
  <c r="AH28" i="44"/>
  <c r="AI19" i="44"/>
  <c r="AH19" i="44"/>
  <c r="AI13" i="44"/>
  <c r="AH13" i="44"/>
  <c r="W464" i="43"/>
  <c r="W460" i="43"/>
  <c r="W457" i="43"/>
  <c r="W450" i="43"/>
  <c r="W443" i="43"/>
  <c r="W436" i="43"/>
  <c r="W429" i="43"/>
  <c r="W422" i="43"/>
  <c r="W415" i="43"/>
  <c r="W409" i="43"/>
  <c r="W406" i="43"/>
  <c r="W399" i="43"/>
  <c r="W392" i="43"/>
  <c r="W388" i="43"/>
  <c r="W382" i="43"/>
  <c r="W375" i="43"/>
  <c r="W373" i="43"/>
  <c r="W369" i="43"/>
  <c r="W362" i="43"/>
  <c r="W357" i="43"/>
  <c r="W350" i="43"/>
  <c r="W344" i="43"/>
  <c r="W335" i="43"/>
  <c r="W332" i="43"/>
  <c r="W328" i="43"/>
  <c r="W324" i="43"/>
  <c r="W322" i="43"/>
  <c r="W316" i="43"/>
  <c r="W312" i="43"/>
  <c r="W305" i="43"/>
  <c r="W298" i="43"/>
  <c r="W296" i="43"/>
  <c r="W288" i="43"/>
  <c r="W283" i="43"/>
  <c r="W276" i="43"/>
  <c r="W272" i="43"/>
  <c r="W266" i="43"/>
  <c r="W262" i="43"/>
  <c r="W258" i="43"/>
  <c r="W256" i="43"/>
  <c r="W249" i="43"/>
  <c r="W243" i="43"/>
  <c r="W237" i="43"/>
  <c r="W231" i="43"/>
  <c r="W225" i="43"/>
  <c r="W219" i="43"/>
  <c r="W213" i="43"/>
  <c r="W206" i="43"/>
  <c r="W200" i="43"/>
  <c r="W194" i="43"/>
  <c r="W187" i="43"/>
  <c r="W180" i="43"/>
  <c r="W174" i="43"/>
  <c r="W168" i="43"/>
  <c r="W162" i="43"/>
  <c r="W157" i="43"/>
  <c r="W151" i="43"/>
  <c r="W145" i="43"/>
  <c r="W139" i="43"/>
  <c r="W132" i="43"/>
  <c r="W125" i="43"/>
  <c r="W120" i="43"/>
  <c r="W116" i="43"/>
  <c r="W113" i="43"/>
  <c r="W109" i="43"/>
  <c r="W105" i="43"/>
  <c r="W102" i="43"/>
  <c r="W98" i="43"/>
  <c r="W94" i="43"/>
  <c r="W90" i="43"/>
  <c r="W86" i="43"/>
  <c r="W82" i="43"/>
  <c r="W79" i="43"/>
  <c r="W75" i="43"/>
  <c r="W70" i="43"/>
  <c r="W67" i="43"/>
  <c r="W63" i="43"/>
  <c r="W59" i="43"/>
  <c r="W55" i="43"/>
  <c r="W52" i="43"/>
  <c r="W49" i="43"/>
  <c r="W46" i="43"/>
  <c r="W42" i="43"/>
  <c r="W39" i="43"/>
  <c r="W35" i="43"/>
  <c r="W31" i="43"/>
  <c r="W27" i="43"/>
  <c r="W22" i="43"/>
  <c r="W18" i="43"/>
  <c r="W13" i="43"/>
  <c r="AJ464" i="43"/>
  <c r="AI464" i="43"/>
  <c r="AH464" i="43"/>
  <c r="AJ460" i="43"/>
  <c r="AI460" i="43"/>
  <c r="AH460" i="43"/>
  <c r="AJ457" i="43"/>
  <c r="AI457" i="43"/>
  <c r="AH457" i="43"/>
  <c r="AJ450" i="43"/>
  <c r="AI450" i="43"/>
  <c r="AH450" i="43"/>
  <c r="AJ443" i="43"/>
  <c r="AI443" i="43"/>
  <c r="AH443" i="43"/>
  <c r="AJ436" i="43"/>
  <c r="AI436" i="43"/>
  <c r="AH436" i="43"/>
  <c r="AJ429" i="43"/>
  <c r="AI429" i="43"/>
  <c r="AH429" i="43"/>
  <c r="AJ422" i="43"/>
  <c r="AI422" i="43"/>
  <c r="AH422" i="43"/>
  <c r="AJ415" i="43"/>
  <c r="AI415" i="43"/>
  <c r="AH415" i="43"/>
  <c r="AJ409" i="43"/>
  <c r="AI409" i="43"/>
  <c r="AH409" i="43"/>
  <c r="AJ406" i="43"/>
  <c r="AI406" i="43"/>
  <c r="AH406" i="43"/>
  <c r="AJ399" i="43"/>
  <c r="AI399" i="43"/>
  <c r="AH399" i="43"/>
  <c r="AJ392" i="43"/>
  <c r="AI392" i="43"/>
  <c r="AH392" i="43"/>
  <c r="AJ388" i="43"/>
  <c r="AI388" i="43"/>
  <c r="AH388" i="43"/>
  <c r="AJ382" i="43"/>
  <c r="AI382" i="43"/>
  <c r="AH382" i="43"/>
  <c r="AJ375" i="43"/>
  <c r="AI375" i="43"/>
  <c r="AH375" i="43"/>
  <c r="AJ373" i="43"/>
  <c r="AI373" i="43"/>
  <c r="AH373" i="43"/>
  <c r="AJ369" i="43"/>
  <c r="AI369" i="43"/>
  <c r="AH369" i="43"/>
  <c r="AJ362" i="43"/>
  <c r="AI362" i="43"/>
  <c r="AH362" i="43"/>
  <c r="AJ357" i="43"/>
  <c r="AI357" i="43"/>
  <c r="AH357" i="43"/>
  <c r="AJ350" i="43"/>
  <c r="AI350" i="43"/>
  <c r="AH350" i="43"/>
  <c r="AJ344" i="43"/>
  <c r="AI344" i="43"/>
  <c r="AH344" i="43"/>
  <c r="AJ335" i="43"/>
  <c r="AI335" i="43"/>
  <c r="AH335" i="43"/>
  <c r="AJ332" i="43"/>
  <c r="AI332" i="43"/>
  <c r="AH332" i="43"/>
  <c r="AJ328" i="43"/>
  <c r="AI328" i="43"/>
  <c r="AH328" i="43"/>
  <c r="AJ324" i="43"/>
  <c r="AI324" i="43"/>
  <c r="AH324" i="43"/>
  <c r="AJ322" i="43"/>
  <c r="AI322" i="43"/>
  <c r="AH322" i="43"/>
  <c r="AJ316" i="43"/>
  <c r="AI316" i="43"/>
  <c r="AH316" i="43"/>
  <c r="AJ312" i="43"/>
  <c r="AI312" i="43"/>
  <c r="AH312" i="43"/>
  <c r="AJ305" i="43"/>
  <c r="AI305" i="43"/>
  <c r="AH305" i="43"/>
  <c r="AJ298" i="43"/>
  <c r="AI298" i="43"/>
  <c r="AH298" i="43"/>
  <c r="AJ296" i="43"/>
  <c r="AI296" i="43"/>
  <c r="AH296" i="43"/>
  <c r="AJ288" i="43"/>
  <c r="AI288" i="43"/>
  <c r="AH288" i="43"/>
  <c r="AJ283" i="43"/>
  <c r="AI283" i="43"/>
  <c r="AH283" i="43"/>
  <c r="AJ276" i="43"/>
  <c r="AI276" i="43"/>
  <c r="AH276" i="43"/>
  <c r="AJ272" i="43"/>
  <c r="AI272" i="43"/>
  <c r="AH272" i="43"/>
  <c r="AJ266" i="43"/>
  <c r="AI266" i="43"/>
  <c r="AH266" i="43"/>
  <c r="AJ262" i="43"/>
  <c r="AI262" i="43"/>
  <c r="AH262" i="43"/>
  <c r="AJ258" i="43"/>
  <c r="AI258" i="43"/>
  <c r="AH258" i="43"/>
  <c r="AJ256" i="43"/>
  <c r="AI256" i="43"/>
  <c r="AH256" i="43"/>
  <c r="AJ249" i="43"/>
  <c r="AI249" i="43"/>
  <c r="AH249" i="43"/>
  <c r="AJ243" i="43"/>
  <c r="AI243" i="43"/>
  <c r="AH243" i="43"/>
  <c r="AJ237" i="43"/>
  <c r="AI237" i="43"/>
  <c r="AH237" i="43"/>
  <c r="AJ231" i="43"/>
  <c r="AI231" i="43"/>
  <c r="AH231" i="43"/>
  <c r="AJ225" i="43"/>
  <c r="AI225" i="43"/>
  <c r="AH225" i="43"/>
  <c r="AJ219" i="43"/>
  <c r="AI219" i="43"/>
  <c r="AH219" i="43"/>
  <c r="AJ213" i="43"/>
  <c r="AI213" i="43"/>
  <c r="AH213" i="43"/>
  <c r="AJ206" i="43"/>
  <c r="AI206" i="43"/>
  <c r="AH206" i="43"/>
  <c r="AJ200" i="43"/>
  <c r="AI200" i="43"/>
  <c r="AH200" i="43"/>
  <c r="AJ194" i="43"/>
  <c r="AI194" i="43"/>
  <c r="AH194" i="43"/>
  <c r="AJ187" i="43"/>
  <c r="AI187" i="43"/>
  <c r="AH187" i="43"/>
  <c r="AJ180" i="43"/>
  <c r="AI180" i="43"/>
  <c r="AH180" i="43"/>
  <c r="AJ174" i="43"/>
  <c r="AI174" i="43"/>
  <c r="AH174" i="43"/>
  <c r="AJ168" i="43"/>
  <c r="AI168" i="43"/>
  <c r="AH168" i="43"/>
  <c r="AJ162" i="43"/>
  <c r="AI162" i="43"/>
  <c r="AH162" i="43"/>
  <c r="AJ157" i="43"/>
  <c r="AI157" i="43"/>
  <c r="AH157" i="43"/>
  <c r="AJ151" i="43"/>
  <c r="AI151" i="43"/>
  <c r="AH151" i="43"/>
  <c r="AJ145" i="43"/>
  <c r="AI145" i="43"/>
  <c r="AH145" i="43"/>
  <c r="AJ139" i="43"/>
  <c r="AI139" i="43"/>
  <c r="AH139" i="43"/>
  <c r="AJ132" i="43"/>
  <c r="AI132" i="43"/>
  <c r="AH132" i="43"/>
  <c r="AJ125" i="43"/>
  <c r="AI125" i="43"/>
  <c r="AH125" i="43"/>
  <c r="AJ120" i="43"/>
  <c r="AI120" i="43"/>
  <c r="AH120" i="43"/>
  <c r="AJ116" i="43"/>
  <c r="AI116" i="43"/>
  <c r="AH116" i="43"/>
  <c r="AJ113" i="43"/>
  <c r="AI113" i="43"/>
  <c r="AH113" i="43"/>
  <c r="AJ109" i="43"/>
  <c r="AI109" i="43"/>
  <c r="AH109" i="43"/>
  <c r="AJ105" i="43"/>
  <c r="AI105" i="43"/>
  <c r="AH105" i="43"/>
  <c r="AJ102" i="43"/>
  <c r="AI102" i="43"/>
  <c r="AH102" i="43"/>
  <c r="AJ98" i="43"/>
  <c r="AI98" i="43"/>
  <c r="AH98" i="43"/>
  <c r="AJ94" i="43"/>
  <c r="AI94" i="43"/>
  <c r="AH94" i="43"/>
  <c r="AJ90" i="43"/>
  <c r="AI90" i="43"/>
  <c r="AH90" i="43"/>
  <c r="AJ86" i="43"/>
  <c r="AI86" i="43"/>
  <c r="AH86" i="43"/>
  <c r="AJ82" i="43"/>
  <c r="AI82" i="43"/>
  <c r="AH82" i="43"/>
  <c r="AJ79" i="43"/>
  <c r="AI79" i="43"/>
  <c r="AH79" i="43"/>
  <c r="AJ75" i="43"/>
  <c r="AI75" i="43"/>
  <c r="AH75" i="43"/>
  <c r="AJ70" i="43"/>
  <c r="AI70" i="43"/>
  <c r="AH70" i="43"/>
  <c r="AJ67" i="43"/>
  <c r="AI67" i="43"/>
  <c r="AH67" i="43"/>
  <c r="AJ63" i="43"/>
  <c r="AI63" i="43"/>
  <c r="AH63" i="43"/>
  <c r="AJ59" i="43"/>
  <c r="AI59" i="43"/>
  <c r="AH59" i="43"/>
  <c r="AJ55" i="43"/>
  <c r="AI55" i="43"/>
  <c r="AH55" i="43"/>
  <c r="AJ52" i="43"/>
  <c r="AI52" i="43"/>
  <c r="AH52" i="43"/>
  <c r="AJ49" i="43"/>
  <c r="AI49" i="43"/>
  <c r="AH49" i="43"/>
  <c r="AJ46" i="43"/>
  <c r="AI46" i="43"/>
  <c r="AH46" i="43"/>
  <c r="AJ42" i="43"/>
  <c r="AI42" i="43"/>
  <c r="AH42" i="43"/>
  <c r="AJ39" i="43"/>
  <c r="AI39" i="43"/>
  <c r="AH39" i="43"/>
  <c r="AJ35" i="43"/>
  <c r="AI35" i="43"/>
  <c r="AH35" i="43"/>
  <c r="AJ31" i="43"/>
  <c r="AI31" i="43"/>
  <c r="AH31" i="43"/>
  <c r="AJ27" i="43"/>
  <c r="AI27" i="43"/>
  <c r="AH27" i="43"/>
  <c r="AJ22" i="43"/>
  <c r="AI22" i="43"/>
  <c r="AH22" i="43"/>
  <c r="AJ18" i="43"/>
  <c r="AI18" i="43"/>
  <c r="AH18" i="43"/>
  <c r="AJ13" i="43"/>
  <c r="AI13" i="43"/>
  <c r="AH13" i="43"/>
  <c r="W135" i="44"/>
  <c r="W136" i="44"/>
  <c r="W137" i="44"/>
  <c r="W138" i="44"/>
  <c r="W139" i="44"/>
  <c r="W140" i="44"/>
  <c r="W141" i="44"/>
  <c r="W142" i="44"/>
  <c r="W143" i="44"/>
  <c r="W144" i="44"/>
  <c r="K468" i="43" l="1"/>
  <c r="D26" i="47"/>
  <c r="R332" i="43"/>
  <c r="R82" i="43"/>
  <c r="R49" i="43"/>
  <c r="R70" i="43"/>
  <c r="R316" i="43"/>
  <c r="R373" i="43"/>
  <c r="R335" i="43"/>
  <c r="R151" i="43"/>
  <c r="R120" i="43"/>
  <c r="R75" i="43"/>
  <c r="R52" i="43"/>
  <c r="R328" i="43"/>
  <c r="R460" i="43"/>
  <c r="R113" i="43"/>
  <c r="R18" i="43"/>
  <c r="R200" i="43"/>
  <c r="R116" i="43"/>
  <c r="R105" i="43"/>
  <c r="R86" i="43"/>
  <c r="R42" i="43"/>
  <c r="R409" i="43"/>
  <c r="R357" i="43"/>
  <c r="R305" i="43"/>
  <c r="R206" i="43"/>
  <c r="R46" i="43"/>
  <c r="R225" i="43"/>
  <c r="R67" i="43"/>
  <c r="R59" i="43"/>
  <c r="R436" i="43"/>
  <c r="R322" i="43"/>
  <c r="R288" i="43"/>
  <c r="R266" i="43"/>
  <c r="R262" i="43"/>
  <c r="R249" i="43"/>
  <c r="R243" i="43"/>
  <c r="R219" i="43"/>
  <c r="R213" i="43"/>
  <c r="R187" i="43"/>
  <c r="R157" i="43"/>
  <c r="R109" i="43"/>
  <c r="R79" i="43"/>
  <c r="R63" i="43"/>
  <c r="R55" i="43"/>
  <c r="R31" i="43"/>
  <c r="R22" i="43"/>
  <c r="R392" i="43"/>
  <c r="R388" i="43"/>
  <c r="R174" i="43"/>
  <c r="R464" i="43"/>
  <c r="R312" i="43"/>
  <c r="R237" i="43"/>
  <c r="R369" i="43"/>
  <c r="W465" i="43"/>
  <c r="R466" i="43" s="1"/>
  <c r="R194" i="43"/>
  <c r="R168" i="43"/>
  <c r="R125" i="43"/>
  <c r="R98" i="43"/>
  <c r="R145" i="43"/>
  <c r="R350" i="43"/>
  <c r="R139" i="43"/>
  <c r="R94" i="43"/>
  <c r="R39" i="43"/>
  <c r="R344" i="43"/>
  <c r="R256" i="43"/>
  <c r="R162" i="43"/>
  <c r="R27" i="43"/>
  <c r="R422" i="43"/>
  <c r="R443" i="43"/>
  <c r="R415" i="43"/>
  <c r="R382" i="43"/>
  <c r="R296" i="43"/>
  <c r="R283" i="43"/>
  <c r="R231" i="43"/>
  <c r="R180" i="43"/>
  <c r="R35" i="43"/>
  <c r="R429" i="43"/>
  <c r="R399" i="43"/>
  <c r="R362" i="43"/>
  <c r="R276" i="43"/>
  <c r="R102" i="43"/>
  <c r="R457" i="43"/>
  <c r="R450" i="43"/>
  <c r="R406" i="43"/>
  <c r="R272" i="43"/>
  <c r="R132" i="43"/>
  <c r="R90" i="43"/>
  <c r="W131" i="44"/>
  <c r="W134" i="44"/>
  <c r="R465" i="43" l="1"/>
  <c r="R132" i="44" l="1"/>
  <c r="S130" i="44" l="1"/>
  <c r="S124" i="44"/>
  <c r="S115" i="44"/>
  <c r="S113" i="44"/>
  <c r="S107" i="44"/>
  <c r="S105" i="44"/>
  <c r="S101" i="44"/>
  <c r="S95" i="44"/>
  <c r="S91" i="44"/>
  <c r="S84" i="44"/>
  <c r="S77" i="44"/>
  <c r="S70" i="44"/>
  <c r="S63" i="44"/>
  <c r="S56" i="44"/>
  <c r="S49" i="44"/>
  <c r="S42" i="44"/>
  <c r="S35" i="44"/>
  <c r="S28" i="44"/>
  <c r="S19" i="44"/>
  <c r="S13" i="44"/>
  <c r="AD130" i="44"/>
  <c r="AD124" i="44"/>
  <c r="AD115" i="44"/>
  <c r="AD113" i="44"/>
  <c r="AD107" i="44"/>
  <c r="AD105" i="44"/>
  <c r="AD101" i="44"/>
  <c r="AD95" i="44"/>
  <c r="AD91" i="44"/>
  <c r="AD84" i="44"/>
  <c r="AD77" i="44"/>
  <c r="AD70" i="44"/>
  <c r="AD63" i="44"/>
  <c r="AD56" i="44"/>
  <c r="AD49" i="44"/>
  <c r="AD42" i="44"/>
  <c r="AD35" i="44"/>
  <c r="AD28" i="44"/>
  <c r="AD19" i="44"/>
  <c r="AD13" i="44"/>
  <c r="AJ130" i="44"/>
  <c r="AJ124" i="44"/>
  <c r="AJ115" i="44"/>
  <c r="AJ113" i="44"/>
  <c r="AJ107" i="44"/>
  <c r="AJ105" i="44"/>
  <c r="AJ101" i="44"/>
  <c r="AJ95" i="44"/>
  <c r="AJ91" i="44"/>
  <c r="AJ84" i="44"/>
  <c r="AJ77" i="44"/>
  <c r="AJ70" i="44"/>
  <c r="AJ63" i="44"/>
  <c r="AJ56" i="44"/>
  <c r="AJ49" i="44"/>
  <c r="AJ42" i="44"/>
  <c r="AJ35" i="44"/>
  <c r="AJ28" i="44"/>
  <c r="AJ19" i="44"/>
  <c r="AJ13" i="44"/>
  <c r="AD464" i="43"/>
  <c r="AD460" i="43"/>
  <c r="AD457" i="43"/>
  <c r="AD450" i="43"/>
  <c r="AD443" i="43"/>
  <c r="AD436" i="43"/>
  <c r="AD429" i="43"/>
  <c r="AD422" i="43"/>
  <c r="AD415" i="43"/>
  <c r="AD409" i="43"/>
  <c r="AD406" i="43"/>
  <c r="AD399" i="43"/>
  <c r="AD392" i="43"/>
  <c r="AD388" i="43"/>
  <c r="AD382" i="43"/>
  <c r="AD375" i="43"/>
  <c r="AD373" i="43"/>
  <c r="AD369" i="43"/>
  <c r="AD362" i="43"/>
  <c r="AD357" i="43"/>
  <c r="AD350" i="43"/>
  <c r="AD344" i="43"/>
  <c r="AD335" i="43"/>
  <c r="AD332" i="43"/>
  <c r="AD328" i="43"/>
  <c r="AD324" i="43"/>
  <c r="AD322" i="43"/>
  <c r="AD316" i="43"/>
  <c r="AD312" i="43"/>
  <c r="AD305" i="43"/>
  <c r="AD298" i="43"/>
  <c r="AD296" i="43"/>
  <c r="AD288" i="43"/>
  <c r="AD283" i="43"/>
  <c r="AD276" i="43"/>
  <c r="AD272" i="43"/>
  <c r="AD266" i="43"/>
  <c r="AD262" i="43"/>
  <c r="AD258" i="43"/>
  <c r="AD256" i="43"/>
  <c r="AD249" i="43"/>
  <c r="AD243" i="43"/>
  <c r="AD237" i="43"/>
  <c r="AD231" i="43"/>
  <c r="AD225" i="43"/>
  <c r="AD219" i="43"/>
  <c r="AD213" i="43"/>
  <c r="AD206" i="43"/>
  <c r="AD200" i="43"/>
  <c r="AD194" i="43"/>
  <c r="AD187" i="43"/>
  <c r="AD180" i="43"/>
  <c r="AD174" i="43"/>
  <c r="AD168" i="43"/>
  <c r="AD162" i="43"/>
  <c r="AD157" i="43"/>
  <c r="AD151" i="43"/>
  <c r="AD145" i="43"/>
  <c r="AD139" i="43"/>
  <c r="AD132" i="43"/>
  <c r="AD125" i="43"/>
  <c r="AD120" i="43"/>
  <c r="AD116" i="43"/>
  <c r="AD113" i="43"/>
  <c r="AD109" i="43"/>
  <c r="AD105" i="43"/>
  <c r="AD102" i="43"/>
  <c r="AD98" i="43"/>
  <c r="AD94" i="43"/>
  <c r="AD90" i="43"/>
  <c r="AD86" i="43"/>
  <c r="AD82" i="43"/>
  <c r="AD79" i="43"/>
  <c r="AD75" i="43"/>
  <c r="AD70" i="43"/>
  <c r="AD67" i="43"/>
  <c r="AD63" i="43"/>
  <c r="AD59" i="43"/>
  <c r="AD55" i="43"/>
  <c r="AD52" i="43"/>
  <c r="AD49" i="43"/>
  <c r="AD46" i="43"/>
  <c r="AD42" i="43"/>
  <c r="AD39" i="43"/>
  <c r="AD35" i="43"/>
  <c r="AD31" i="43"/>
  <c r="AD27" i="43"/>
  <c r="AD22" i="43"/>
  <c r="AD18" i="43"/>
  <c r="AD13" i="43"/>
  <c r="S464" i="43"/>
  <c r="S460" i="43"/>
  <c r="S457" i="43"/>
  <c r="S450" i="43"/>
  <c r="S443" i="43"/>
  <c r="S436" i="43"/>
  <c r="S429" i="43"/>
  <c r="S422" i="43"/>
  <c r="S415" i="43"/>
  <c r="S409" i="43"/>
  <c r="S406" i="43"/>
  <c r="S399" i="43"/>
  <c r="S392" i="43"/>
  <c r="S388" i="43"/>
  <c r="S382" i="43"/>
  <c r="S375" i="43"/>
  <c r="S373" i="43"/>
  <c r="S369" i="43"/>
  <c r="S362" i="43"/>
  <c r="S357" i="43"/>
  <c r="S350" i="43"/>
  <c r="S344" i="43"/>
  <c r="S335" i="43"/>
  <c r="S332" i="43"/>
  <c r="S328" i="43"/>
  <c r="S324" i="43"/>
  <c r="S322" i="43"/>
  <c r="S316" i="43"/>
  <c r="S312" i="43"/>
  <c r="S305" i="43"/>
  <c r="S298" i="43"/>
  <c r="S296" i="43"/>
  <c r="S288" i="43"/>
  <c r="S283" i="43"/>
  <c r="S276" i="43"/>
  <c r="S272" i="43"/>
  <c r="S266" i="43"/>
  <c r="S262" i="43"/>
  <c r="S258" i="43"/>
  <c r="S256" i="43"/>
  <c r="S249" i="43"/>
  <c r="S243" i="43"/>
  <c r="S237" i="43"/>
  <c r="S231" i="43"/>
  <c r="S225" i="43"/>
  <c r="S219" i="43"/>
  <c r="S213" i="43"/>
  <c r="S206" i="43"/>
  <c r="S200" i="43"/>
  <c r="S194" i="43"/>
  <c r="S187" i="43"/>
  <c r="S180" i="43"/>
  <c r="S174" i="43"/>
  <c r="S168" i="43"/>
  <c r="S162" i="43"/>
  <c r="S157" i="43"/>
  <c r="S151" i="43"/>
  <c r="S145" i="43"/>
  <c r="S139" i="43"/>
  <c r="S132" i="43"/>
  <c r="S125" i="43"/>
  <c r="S120" i="43"/>
  <c r="S116" i="43"/>
  <c r="S113" i="43"/>
  <c r="S109" i="43"/>
  <c r="S105" i="43"/>
  <c r="S102" i="43"/>
  <c r="S98" i="43"/>
  <c r="S94" i="43"/>
  <c r="S90" i="43"/>
  <c r="S86" i="43"/>
  <c r="S82" i="43"/>
  <c r="S79" i="43"/>
  <c r="S75" i="43"/>
  <c r="S70" i="43"/>
  <c r="S67" i="43"/>
  <c r="S63" i="43"/>
  <c r="S59" i="43"/>
  <c r="S55" i="43"/>
  <c r="S52" i="43"/>
  <c r="S49" i="43"/>
  <c r="S46" i="43"/>
  <c r="S42" i="43"/>
  <c r="S39" i="43"/>
  <c r="S35" i="43"/>
  <c r="S31" i="43"/>
  <c r="S27" i="43"/>
  <c r="S22" i="43"/>
  <c r="S18" i="43"/>
  <c r="S13" i="43"/>
  <c r="S465" i="43" l="1"/>
  <c r="S131" i="44"/>
  <c r="X18" i="43" l="1"/>
  <c r="X22" i="43"/>
  <c r="X27" i="43"/>
  <c r="X31" i="43"/>
  <c r="X35" i="43"/>
  <c r="X39" i="43"/>
  <c r="X42" i="43"/>
  <c r="X46" i="43"/>
  <c r="X49" i="43"/>
  <c r="X52" i="43"/>
  <c r="X55" i="43"/>
  <c r="X59" i="43"/>
  <c r="X63" i="43"/>
  <c r="X67" i="43"/>
  <c r="X70" i="43"/>
  <c r="X75" i="43"/>
  <c r="X79" i="43"/>
  <c r="X82" i="43"/>
  <c r="X86" i="43"/>
  <c r="X90" i="43"/>
  <c r="X94" i="43"/>
  <c r="X98" i="43"/>
  <c r="X102" i="43"/>
  <c r="X105" i="43"/>
  <c r="X109" i="43"/>
  <c r="X113" i="43"/>
  <c r="X116" i="43"/>
  <c r="X120" i="43"/>
  <c r="X125" i="43"/>
  <c r="X132" i="43"/>
  <c r="X139" i="43"/>
  <c r="X145" i="43"/>
  <c r="X151" i="43"/>
  <c r="X157" i="43"/>
  <c r="X162" i="43"/>
  <c r="X168" i="43"/>
  <c r="X174" i="43"/>
  <c r="X180" i="43"/>
  <c r="X187" i="43"/>
  <c r="X194" i="43"/>
  <c r="X200" i="43"/>
  <c r="X206" i="43"/>
  <c r="X213" i="43"/>
  <c r="X219" i="43"/>
  <c r="X225" i="43"/>
  <c r="X231" i="43"/>
  <c r="X237" i="43"/>
  <c r="X243" i="43"/>
  <c r="X249" i="43"/>
  <c r="X256" i="43"/>
  <c r="X258" i="43"/>
  <c r="X262" i="43"/>
  <c r="X266" i="43"/>
  <c r="X272" i="43"/>
  <c r="X276" i="43"/>
  <c r="X283" i="43"/>
  <c r="X288" i="43"/>
  <c r="X296" i="43"/>
  <c r="X298" i="43"/>
  <c r="X305" i="43"/>
  <c r="X312" i="43"/>
  <c r="X316" i="43"/>
  <c r="X322" i="43"/>
  <c r="X324" i="43"/>
  <c r="X328" i="43"/>
  <c r="X332" i="43"/>
  <c r="X335" i="43"/>
  <c r="X344" i="43"/>
  <c r="X350" i="43"/>
  <c r="X357" i="43"/>
  <c r="X362" i="43"/>
  <c r="X369" i="43"/>
  <c r="X373" i="43"/>
  <c r="X375" i="43"/>
  <c r="X382" i="43"/>
  <c r="X388" i="43"/>
  <c r="X392" i="43"/>
  <c r="X399" i="43"/>
  <c r="X406" i="43"/>
  <c r="X409" i="43"/>
  <c r="X415" i="43"/>
  <c r="X422" i="43"/>
  <c r="X429" i="43"/>
  <c r="X436" i="43"/>
  <c r="X443" i="43"/>
  <c r="X450" i="43"/>
  <c r="X457" i="43"/>
  <c r="X460" i="43"/>
  <c r="X464" i="43"/>
  <c r="AZ92" i="43"/>
  <c r="AY92" i="43"/>
  <c r="AF92" i="43"/>
  <c r="AW92" i="43" s="1"/>
  <c r="Z92" i="43"/>
  <c r="AT92" i="43" s="1"/>
  <c r="V92" i="43"/>
  <c r="AS92" i="43" s="1"/>
  <c r="AA92" i="43" l="1"/>
  <c r="AC92" i="43"/>
  <c r="AV92" i="43" s="1"/>
  <c r="AB92" i="43"/>
  <c r="AU92" i="43" s="1"/>
  <c r="AQ92" i="43"/>
  <c r="AX92" i="43" s="1"/>
  <c r="AG92" i="43" l="1"/>
  <c r="AR92" i="43" s="1"/>
  <c r="J465" i="43" l="1"/>
  <c r="AY208" i="43" l="1"/>
  <c r="AZ208" i="43"/>
  <c r="AY202" i="43"/>
  <c r="AZ202" i="43"/>
  <c r="AY196" i="43"/>
  <c r="AZ196" i="43"/>
  <c r="AZ29" i="43" l="1"/>
  <c r="AY29" i="43"/>
  <c r="AF29" i="43"/>
  <c r="AW29" i="43" s="1"/>
  <c r="Z29" i="43"/>
  <c r="AT29" i="43" s="1"/>
  <c r="V29" i="43"/>
  <c r="AS29" i="43" s="1"/>
  <c r="AA29" i="43" l="1"/>
  <c r="AC29" i="43"/>
  <c r="AV29" i="43" s="1"/>
  <c r="AB29" i="43"/>
  <c r="AU29" i="43" s="1"/>
  <c r="AQ29" i="43"/>
  <c r="AX29" i="43" s="1"/>
  <c r="J135" i="44"/>
  <c r="N135" i="44"/>
  <c r="P135" i="44"/>
  <c r="Q135" i="44"/>
  <c r="S135" i="44"/>
  <c r="T135" i="44"/>
  <c r="U135" i="44"/>
  <c r="X135" i="44"/>
  <c r="Y135" i="44"/>
  <c r="AD135" i="44"/>
  <c r="AE135" i="44"/>
  <c r="AH135" i="44"/>
  <c r="AI135" i="44"/>
  <c r="AJ135" i="44"/>
  <c r="AM135" i="44"/>
  <c r="AN135" i="44"/>
  <c r="J136" i="44"/>
  <c r="N136" i="44"/>
  <c r="P136" i="44"/>
  <c r="Q136" i="44"/>
  <c r="S136" i="44"/>
  <c r="T136" i="44"/>
  <c r="U136" i="44"/>
  <c r="X136" i="44"/>
  <c r="Y136" i="44"/>
  <c r="AD136" i="44"/>
  <c r="AE136" i="44"/>
  <c r="AH136" i="44"/>
  <c r="AI136" i="44"/>
  <c r="AJ136" i="44"/>
  <c r="AM136" i="44"/>
  <c r="AN136" i="44"/>
  <c r="J137" i="44"/>
  <c r="N137" i="44"/>
  <c r="P137" i="44"/>
  <c r="Q137" i="44"/>
  <c r="S137" i="44"/>
  <c r="T137" i="44"/>
  <c r="U137" i="44"/>
  <c r="X137" i="44"/>
  <c r="Y137" i="44"/>
  <c r="AD137" i="44"/>
  <c r="AE137" i="44"/>
  <c r="AH137" i="44"/>
  <c r="AI137" i="44"/>
  <c r="AJ137" i="44"/>
  <c r="AM137" i="44"/>
  <c r="AN137" i="44"/>
  <c r="J138" i="44"/>
  <c r="N138" i="44"/>
  <c r="P138" i="44"/>
  <c r="Q138" i="44"/>
  <c r="S138" i="44"/>
  <c r="T138" i="44"/>
  <c r="U138" i="44"/>
  <c r="X138" i="44"/>
  <c r="Y138" i="44"/>
  <c r="AD138" i="44"/>
  <c r="AE138" i="44"/>
  <c r="AH138" i="44"/>
  <c r="AI138" i="44"/>
  <c r="AJ138" i="44"/>
  <c r="AM138" i="44"/>
  <c r="AN138" i="44"/>
  <c r="I139" i="44"/>
  <c r="J139" i="44"/>
  <c r="L139" i="44"/>
  <c r="M139" i="44"/>
  <c r="N139" i="44"/>
  <c r="O139" i="44"/>
  <c r="P139" i="44"/>
  <c r="Q139" i="44"/>
  <c r="R139" i="44"/>
  <c r="S139" i="44"/>
  <c r="T139" i="44"/>
  <c r="U139" i="44"/>
  <c r="V139" i="44"/>
  <c r="X139" i="44"/>
  <c r="Y139" i="44"/>
  <c r="Z139" i="44"/>
  <c r="AA139" i="44"/>
  <c r="AB139" i="44"/>
  <c r="AC139" i="44"/>
  <c r="AD139" i="44"/>
  <c r="AE139" i="44"/>
  <c r="AF139" i="44"/>
  <c r="AG139" i="44"/>
  <c r="AH139" i="44"/>
  <c r="AI139" i="44"/>
  <c r="AJ139" i="44"/>
  <c r="AM139" i="44"/>
  <c r="AN139" i="44"/>
  <c r="AO139" i="44"/>
  <c r="AP139" i="44"/>
  <c r="AQ139" i="44"/>
  <c r="AR139" i="44"/>
  <c r="AS139" i="44"/>
  <c r="AT139" i="44"/>
  <c r="AU139" i="44"/>
  <c r="AV139" i="44"/>
  <c r="AW139" i="44"/>
  <c r="AX139" i="44"/>
  <c r="AY139" i="44"/>
  <c r="AZ139" i="44"/>
  <c r="I140" i="44"/>
  <c r="J140" i="44"/>
  <c r="L140" i="44"/>
  <c r="M140" i="44"/>
  <c r="N140" i="44"/>
  <c r="O140" i="44"/>
  <c r="P140" i="44"/>
  <c r="Q140" i="44"/>
  <c r="R140" i="44"/>
  <c r="S140" i="44"/>
  <c r="T140" i="44"/>
  <c r="U140" i="44"/>
  <c r="V140" i="44"/>
  <c r="X140" i="44"/>
  <c r="Y140" i="44"/>
  <c r="Z140" i="44"/>
  <c r="AA140" i="44"/>
  <c r="AB140" i="44"/>
  <c r="AC140" i="44"/>
  <c r="AD140" i="44"/>
  <c r="AE140" i="44"/>
  <c r="AF140" i="44"/>
  <c r="AG140" i="44"/>
  <c r="AH140" i="44"/>
  <c r="AI140" i="44"/>
  <c r="AJ140" i="44"/>
  <c r="AM140" i="44"/>
  <c r="AN140" i="44"/>
  <c r="AO140" i="44"/>
  <c r="AP140" i="44"/>
  <c r="AQ140" i="44"/>
  <c r="AR140" i="44"/>
  <c r="AS140" i="44"/>
  <c r="AT140" i="44"/>
  <c r="AU140" i="44"/>
  <c r="AV140" i="44"/>
  <c r="AW140" i="44"/>
  <c r="AX140" i="44"/>
  <c r="AY140" i="44"/>
  <c r="AZ140" i="44"/>
  <c r="J141" i="44"/>
  <c r="N141" i="44"/>
  <c r="P141" i="44"/>
  <c r="Q141" i="44"/>
  <c r="S141" i="44"/>
  <c r="T141" i="44"/>
  <c r="U141" i="44"/>
  <c r="X141" i="44"/>
  <c r="Y141" i="44"/>
  <c r="AD141" i="44"/>
  <c r="AE141" i="44"/>
  <c r="AH141" i="44"/>
  <c r="AI141" i="44"/>
  <c r="AJ141" i="44"/>
  <c r="AM141" i="44"/>
  <c r="AN141" i="44"/>
  <c r="J142" i="44"/>
  <c r="N142" i="44"/>
  <c r="P142" i="44"/>
  <c r="Q142" i="44"/>
  <c r="S142" i="44"/>
  <c r="T142" i="44"/>
  <c r="U142" i="44"/>
  <c r="X142" i="44"/>
  <c r="Y142" i="44"/>
  <c r="AD142" i="44"/>
  <c r="AE142" i="44"/>
  <c r="AH142" i="44"/>
  <c r="AI142" i="44"/>
  <c r="AJ142" i="44"/>
  <c r="AM142" i="44"/>
  <c r="AN142" i="44"/>
  <c r="J143" i="44"/>
  <c r="N143" i="44"/>
  <c r="P143" i="44"/>
  <c r="Q143" i="44"/>
  <c r="S143" i="44"/>
  <c r="T143" i="44"/>
  <c r="U143" i="44"/>
  <c r="X143" i="44"/>
  <c r="Y143" i="44"/>
  <c r="AD143" i="44"/>
  <c r="AE143" i="44"/>
  <c r="AH143" i="44"/>
  <c r="AI143" i="44"/>
  <c r="AJ143" i="44"/>
  <c r="AM143" i="44"/>
  <c r="AN143" i="44"/>
  <c r="J144" i="44"/>
  <c r="N144" i="44"/>
  <c r="P144" i="44"/>
  <c r="Q144" i="44"/>
  <c r="S144" i="44"/>
  <c r="T144" i="44"/>
  <c r="U144" i="44"/>
  <c r="X144" i="44"/>
  <c r="Y144" i="44"/>
  <c r="AD144" i="44"/>
  <c r="AE144" i="44"/>
  <c r="AH144" i="44"/>
  <c r="AI144" i="44"/>
  <c r="AJ144" i="44"/>
  <c r="AM144" i="44"/>
  <c r="AN144" i="44"/>
  <c r="AN130" i="44"/>
  <c r="AM130" i="44"/>
  <c r="AE130" i="44"/>
  <c r="Y130" i="44"/>
  <c r="X130" i="44"/>
  <c r="U130" i="44"/>
  <c r="T130" i="44"/>
  <c r="AN124" i="44"/>
  <c r="AM124" i="44"/>
  <c r="AE124" i="44"/>
  <c r="Y124" i="44"/>
  <c r="X124" i="44"/>
  <c r="U124" i="44"/>
  <c r="T124" i="44"/>
  <c r="AN115" i="44"/>
  <c r="AM115" i="44"/>
  <c r="AE115" i="44"/>
  <c r="Y115" i="44"/>
  <c r="X115" i="44"/>
  <c r="U115" i="44"/>
  <c r="T115" i="44"/>
  <c r="AN113" i="44"/>
  <c r="AM113" i="44"/>
  <c r="AE113" i="44"/>
  <c r="Y113" i="44"/>
  <c r="X113" i="44"/>
  <c r="U113" i="44"/>
  <c r="T113" i="44"/>
  <c r="AN107" i="44"/>
  <c r="AM107" i="44"/>
  <c r="AE107" i="44"/>
  <c r="Y107" i="44"/>
  <c r="X107" i="44"/>
  <c r="U107" i="44"/>
  <c r="T107" i="44"/>
  <c r="AN105" i="44"/>
  <c r="AM105" i="44"/>
  <c r="AE105" i="44"/>
  <c r="Y105" i="44"/>
  <c r="X105" i="44"/>
  <c r="U105" i="44"/>
  <c r="T105" i="44"/>
  <c r="AN101" i="44"/>
  <c r="AM101" i="44"/>
  <c r="AE101" i="44"/>
  <c r="Y101" i="44"/>
  <c r="X101" i="44"/>
  <c r="U101" i="44"/>
  <c r="T101" i="44"/>
  <c r="AN95" i="44"/>
  <c r="AM95" i="44"/>
  <c r="AE95" i="44"/>
  <c r="Y95" i="44"/>
  <c r="X95" i="44"/>
  <c r="U95" i="44"/>
  <c r="T95" i="44"/>
  <c r="AN91" i="44"/>
  <c r="AM91" i="44"/>
  <c r="AE91" i="44"/>
  <c r="Y91" i="44"/>
  <c r="X91" i="44"/>
  <c r="U91" i="44"/>
  <c r="T91" i="44"/>
  <c r="AN84" i="44"/>
  <c r="AM84" i="44"/>
  <c r="AE84" i="44"/>
  <c r="Y84" i="44"/>
  <c r="X84" i="44"/>
  <c r="U84" i="44"/>
  <c r="T84" i="44"/>
  <c r="AN77" i="44"/>
  <c r="AM77" i="44"/>
  <c r="AE77" i="44"/>
  <c r="Y77" i="44"/>
  <c r="X77" i="44"/>
  <c r="U77" i="44"/>
  <c r="T77" i="44"/>
  <c r="AN70" i="44"/>
  <c r="AM70" i="44"/>
  <c r="AE70" i="44"/>
  <c r="Y70" i="44"/>
  <c r="X70" i="44"/>
  <c r="U70" i="44"/>
  <c r="T70" i="44"/>
  <c r="AN63" i="44"/>
  <c r="AM63" i="44"/>
  <c r="AE63" i="44"/>
  <c r="Y63" i="44"/>
  <c r="X63" i="44"/>
  <c r="U63" i="44"/>
  <c r="T63" i="44"/>
  <c r="AN56" i="44"/>
  <c r="AM56" i="44"/>
  <c r="AE56" i="44"/>
  <c r="Y56" i="44"/>
  <c r="X56" i="44"/>
  <c r="U56" i="44"/>
  <c r="T56" i="44"/>
  <c r="AN49" i="44"/>
  <c r="AM49" i="44"/>
  <c r="AE49" i="44"/>
  <c r="Y49" i="44"/>
  <c r="X49" i="44"/>
  <c r="U49" i="44"/>
  <c r="T49" i="44"/>
  <c r="AN42" i="44"/>
  <c r="AM42" i="44"/>
  <c r="AE42" i="44"/>
  <c r="Y42" i="44"/>
  <c r="X42" i="44"/>
  <c r="U42" i="44"/>
  <c r="T42" i="44"/>
  <c r="AN35" i="44"/>
  <c r="AM35" i="44"/>
  <c r="AE35" i="44"/>
  <c r="Y35" i="44"/>
  <c r="X35" i="44"/>
  <c r="U35" i="44"/>
  <c r="T35" i="44"/>
  <c r="AN28" i="44"/>
  <c r="AM28" i="44"/>
  <c r="AE28" i="44"/>
  <c r="Y28" i="44"/>
  <c r="X28" i="44"/>
  <c r="U28" i="44"/>
  <c r="T28" i="44"/>
  <c r="AN19" i="44"/>
  <c r="AM19" i="44"/>
  <c r="AE19" i="44"/>
  <c r="Y19" i="44"/>
  <c r="X19" i="44"/>
  <c r="U19" i="44"/>
  <c r="T19" i="44"/>
  <c r="AN13" i="44"/>
  <c r="AM13" i="44"/>
  <c r="AE13" i="44"/>
  <c r="Y13" i="44"/>
  <c r="X13" i="44"/>
  <c r="U13" i="44"/>
  <c r="T13" i="44"/>
  <c r="J469" i="43"/>
  <c r="N469" i="43"/>
  <c r="P469" i="43"/>
  <c r="Q469" i="43"/>
  <c r="S469" i="43"/>
  <c r="T469" i="43"/>
  <c r="U469" i="43"/>
  <c r="W469" i="43"/>
  <c r="X469" i="43"/>
  <c r="Y469" i="43"/>
  <c r="AD469" i="43"/>
  <c r="AE469" i="43"/>
  <c r="AH469" i="43"/>
  <c r="AI469" i="43"/>
  <c r="AJ469" i="43"/>
  <c r="AM469" i="43"/>
  <c r="AN469" i="43"/>
  <c r="J470" i="43"/>
  <c r="N470" i="43"/>
  <c r="P470" i="43"/>
  <c r="Q470" i="43"/>
  <c r="S470" i="43"/>
  <c r="T470" i="43"/>
  <c r="U470" i="43"/>
  <c r="W470" i="43"/>
  <c r="X470" i="43"/>
  <c r="Y470" i="43"/>
  <c r="AD470" i="43"/>
  <c r="AE470" i="43"/>
  <c r="AH470" i="43"/>
  <c r="AI470" i="43"/>
  <c r="AJ470" i="43"/>
  <c r="AM470" i="43"/>
  <c r="AN470" i="43"/>
  <c r="J471" i="43"/>
  <c r="N471" i="43"/>
  <c r="P471" i="43"/>
  <c r="Q471" i="43"/>
  <c r="S471" i="43"/>
  <c r="T471" i="43"/>
  <c r="U471" i="43"/>
  <c r="W471" i="43"/>
  <c r="X471" i="43"/>
  <c r="Y471" i="43"/>
  <c r="AD471" i="43"/>
  <c r="AE471" i="43"/>
  <c r="AH471" i="43"/>
  <c r="AI471" i="43"/>
  <c r="AJ471" i="43"/>
  <c r="AM471" i="43"/>
  <c r="AN471" i="43"/>
  <c r="J472" i="43"/>
  <c r="N472" i="43"/>
  <c r="P472" i="43"/>
  <c r="Q472" i="43"/>
  <c r="S472" i="43"/>
  <c r="T472" i="43"/>
  <c r="U472" i="43"/>
  <c r="W472" i="43"/>
  <c r="X472" i="43"/>
  <c r="Y472" i="43"/>
  <c r="AD472" i="43"/>
  <c r="AE472" i="43"/>
  <c r="AH472" i="43"/>
  <c r="AI472" i="43"/>
  <c r="AJ472" i="43"/>
  <c r="AM472" i="43"/>
  <c r="AN472" i="43"/>
  <c r="I473" i="43"/>
  <c r="J473" i="43"/>
  <c r="L473" i="43"/>
  <c r="M473" i="43"/>
  <c r="N473" i="43"/>
  <c r="O473" i="43"/>
  <c r="P473" i="43"/>
  <c r="Q473" i="43"/>
  <c r="R473" i="43"/>
  <c r="S473" i="43"/>
  <c r="T473" i="43"/>
  <c r="U473" i="43"/>
  <c r="V473" i="43"/>
  <c r="W473" i="43"/>
  <c r="X473" i="43"/>
  <c r="Y473" i="43"/>
  <c r="Z473" i="43"/>
  <c r="AA473" i="43"/>
  <c r="AB473" i="43"/>
  <c r="AC473" i="43"/>
  <c r="AD473" i="43"/>
  <c r="AE473" i="43"/>
  <c r="AF473" i="43"/>
  <c r="AG473" i="43"/>
  <c r="AH473" i="43"/>
  <c r="AI473" i="43"/>
  <c r="AJ473" i="43"/>
  <c r="AM473" i="43"/>
  <c r="AN473" i="43"/>
  <c r="AO473" i="43"/>
  <c r="AP473" i="43"/>
  <c r="AQ473" i="43"/>
  <c r="AR473" i="43"/>
  <c r="AS473" i="43"/>
  <c r="AT473" i="43"/>
  <c r="AU473" i="43"/>
  <c r="AV473" i="43"/>
  <c r="AW473" i="43"/>
  <c r="AX473" i="43"/>
  <c r="AY473" i="43"/>
  <c r="AZ473" i="43"/>
  <c r="I474" i="43"/>
  <c r="J474" i="43"/>
  <c r="L474" i="43"/>
  <c r="M474" i="43"/>
  <c r="N474" i="43"/>
  <c r="O474" i="43"/>
  <c r="P474" i="43"/>
  <c r="Q474" i="43"/>
  <c r="R474" i="43"/>
  <c r="S474" i="43"/>
  <c r="T474" i="43"/>
  <c r="U474" i="43"/>
  <c r="V474" i="43"/>
  <c r="W474" i="43"/>
  <c r="X474" i="43"/>
  <c r="Y474" i="43"/>
  <c r="Z474" i="43"/>
  <c r="AA474" i="43"/>
  <c r="AB474" i="43"/>
  <c r="AC474" i="43"/>
  <c r="AD474" i="43"/>
  <c r="AE474" i="43"/>
  <c r="AF474" i="43"/>
  <c r="AG474" i="43"/>
  <c r="AH474" i="43"/>
  <c r="AI474" i="43"/>
  <c r="AJ474" i="43"/>
  <c r="AM474" i="43"/>
  <c r="AN474" i="43"/>
  <c r="AO474" i="43"/>
  <c r="AP474" i="43"/>
  <c r="AQ474" i="43"/>
  <c r="AR474" i="43"/>
  <c r="AS474" i="43"/>
  <c r="AT474" i="43"/>
  <c r="AU474" i="43"/>
  <c r="AV474" i="43"/>
  <c r="AW474" i="43"/>
  <c r="AX474" i="43"/>
  <c r="AY474" i="43"/>
  <c r="AZ474" i="43"/>
  <c r="J475" i="43"/>
  <c r="N475" i="43"/>
  <c r="P475" i="43"/>
  <c r="Q475" i="43"/>
  <c r="S475" i="43"/>
  <c r="T475" i="43"/>
  <c r="U475" i="43"/>
  <c r="W475" i="43"/>
  <c r="X475" i="43"/>
  <c r="Y475" i="43"/>
  <c r="AD475" i="43"/>
  <c r="AE475" i="43"/>
  <c r="AH475" i="43"/>
  <c r="AI475" i="43"/>
  <c r="AJ475" i="43"/>
  <c r="AM475" i="43"/>
  <c r="AN475" i="43"/>
  <c r="J476" i="43"/>
  <c r="N476" i="43"/>
  <c r="P476" i="43"/>
  <c r="Q476" i="43"/>
  <c r="S476" i="43"/>
  <c r="T476" i="43"/>
  <c r="U476" i="43"/>
  <c r="W476" i="43"/>
  <c r="X476" i="43"/>
  <c r="Y476" i="43"/>
  <c r="AD476" i="43"/>
  <c r="AE476" i="43"/>
  <c r="AH476" i="43"/>
  <c r="AI476" i="43"/>
  <c r="AJ476" i="43"/>
  <c r="AM476" i="43"/>
  <c r="AN476" i="43"/>
  <c r="J477" i="43"/>
  <c r="N477" i="43"/>
  <c r="P477" i="43"/>
  <c r="Q477" i="43"/>
  <c r="S477" i="43"/>
  <c r="T477" i="43"/>
  <c r="U477" i="43"/>
  <c r="W477" i="43"/>
  <c r="X477" i="43"/>
  <c r="Y477" i="43"/>
  <c r="AD477" i="43"/>
  <c r="AE477" i="43"/>
  <c r="AH477" i="43"/>
  <c r="AI477" i="43"/>
  <c r="AJ477" i="43"/>
  <c r="AM477" i="43"/>
  <c r="AN477" i="43"/>
  <c r="J478" i="43"/>
  <c r="N478" i="43"/>
  <c r="P478" i="43"/>
  <c r="Q478" i="43"/>
  <c r="S478" i="43"/>
  <c r="T478" i="43"/>
  <c r="U478" i="43"/>
  <c r="W478" i="43"/>
  <c r="X478" i="43"/>
  <c r="Y478" i="43"/>
  <c r="AD478" i="43"/>
  <c r="AE478" i="43"/>
  <c r="AH478" i="43"/>
  <c r="AI478" i="43"/>
  <c r="AJ478" i="43"/>
  <c r="AM478" i="43"/>
  <c r="AN478" i="43"/>
  <c r="AZ129" i="44"/>
  <c r="AY129" i="44"/>
  <c r="AF129" i="44"/>
  <c r="AW129" i="44" s="1"/>
  <c r="Z129" i="44"/>
  <c r="AT129" i="44" s="1"/>
  <c r="R129" i="44"/>
  <c r="V129" i="44" s="1"/>
  <c r="AS129" i="44" s="1"/>
  <c r="AZ128" i="44"/>
  <c r="AY128" i="44"/>
  <c r="AF128" i="44"/>
  <c r="AW128" i="44" s="1"/>
  <c r="Z128" i="44"/>
  <c r="AT128" i="44" s="1"/>
  <c r="R128" i="44"/>
  <c r="V128" i="44" s="1"/>
  <c r="AS128" i="44" s="1"/>
  <c r="AZ127" i="44"/>
  <c r="AY127" i="44"/>
  <c r="AF127" i="44"/>
  <c r="AW127" i="44" s="1"/>
  <c r="Z127" i="44"/>
  <c r="AT127" i="44" s="1"/>
  <c r="R127" i="44"/>
  <c r="V127" i="44" s="1"/>
  <c r="AS127" i="44" s="1"/>
  <c r="AZ126" i="44"/>
  <c r="AY126" i="44"/>
  <c r="AF126" i="44"/>
  <c r="AW126" i="44" s="1"/>
  <c r="Z126" i="44"/>
  <c r="AT126" i="44" s="1"/>
  <c r="R126" i="44"/>
  <c r="V126" i="44" s="1"/>
  <c r="AS126" i="44" s="1"/>
  <c r="AZ125" i="44"/>
  <c r="AY125" i="44"/>
  <c r="AF125" i="44"/>
  <c r="AW125" i="44" s="1"/>
  <c r="Z125" i="44"/>
  <c r="AT125" i="44" s="1"/>
  <c r="R125" i="44"/>
  <c r="AZ123" i="44"/>
  <c r="AY123" i="44"/>
  <c r="AF123" i="44"/>
  <c r="AW123" i="44" s="1"/>
  <c r="Z123" i="44"/>
  <c r="AT123" i="44" s="1"/>
  <c r="R123" i="44"/>
  <c r="V123" i="44" s="1"/>
  <c r="AS123" i="44" s="1"/>
  <c r="AZ122" i="44"/>
  <c r="AY122" i="44"/>
  <c r="AF122" i="44"/>
  <c r="AW122" i="44" s="1"/>
  <c r="Z122" i="44"/>
  <c r="AT122" i="44" s="1"/>
  <c r="R122" i="44"/>
  <c r="V122" i="44" s="1"/>
  <c r="AS122" i="44" s="1"/>
  <c r="AZ121" i="44"/>
  <c r="AY121" i="44"/>
  <c r="AF121" i="44"/>
  <c r="AW121" i="44" s="1"/>
  <c r="Z121" i="44"/>
  <c r="AT121" i="44" s="1"/>
  <c r="R121" i="44"/>
  <c r="V121" i="44" s="1"/>
  <c r="AS121" i="44" s="1"/>
  <c r="AZ120" i="44"/>
  <c r="AY120" i="44"/>
  <c r="AF120" i="44"/>
  <c r="AW120" i="44" s="1"/>
  <c r="Z120" i="44"/>
  <c r="AT120" i="44" s="1"/>
  <c r="R120" i="44"/>
  <c r="V120" i="44" s="1"/>
  <c r="AS120" i="44" s="1"/>
  <c r="AZ119" i="44"/>
  <c r="AY119" i="44"/>
  <c r="AF119" i="44"/>
  <c r="AW119" i="44" s="1"/>
  <c r="Z119" i="44"/>
  <c r="AT119" i="44" s="1"/>
  <c r="R119" i="44"/>
  <c r="V119" i="44" s="1"/>
  <c r="AS119" i="44" s="1"/>
  <c r="AZ118" i="44"/>
  <c r="AY118" i="44"/>
  <c r="AF118" i="44"/>
  <c r="AW118" i="44" s="1"/>
  <c r="Z118" i="44"/>
  <c r="AT118" i="44" s="1"/>
  <c r="R118" i="44"/>
  <c r="V118" i="44" s="1"/>
  <c r="AS118" i="44" s="1"/>
  <c r="AZ117" i="44"/>
  <c r="AY117" i="44"/>
  <c r="AF117" i="44"/>
  <c r="AW117" i="44" s="1"/>
  <c r="Z117" i="44"/>
  <c r="AT117" i="44" s="1"/>
  <c r="R117" i="44"/>
  <c r="V117" i="44" s="1"/>
  <c r="AS117" i="44" s="1"/>
  <c r="AZ116" i="44"/>
  <c r="AY116" i="44"/>
  <c r="AF116" i="44"/>
  <c r="AW116" i="44" s="1"/>
  <c r="Z116" i="44"/>
  <c r="AT116" i="44" s="1"/>
  <c r="R116" i="44"/>
  <c r="AZ114" i="44"/>
  <c r="AZ115" i="44" s="1"/>
  <c r="AY114" i="44"/>
  <c r="AY115" i="44" s="1"/>
  <c r="AF114" i="44"/>
  <c r="AW114" i="44" s="1"/>
  <c r="AW115" i="44" s="1"/>
  <c r="Z114" i="44"/>
  <c r="R114" i="44"/>
  <c r="AZ112" i="44"/>
  <c r="AY112" i="44"/>
  <c r="AF112" i="44"/>
  <c r="AW112" i="44" s="1"/>
  <c r="Z112" i="44"/>
  <c r="AT112" i="44" s="1"/>
  <c r="R112" i="44"/>
  <c r="V112" i="44" s="1"/>
  <c r="AS112" i="44" s="1"/>
  <c r="AZ111" i="44"/>
  <c r="AY111" i="44"/>
  <c r="AF111" i="44"/>
  <c r="AW111" i="44" s="1"/>
  <c r="Z111" i="44"/>
  <c r="AT111" i="44" s="1"/>
  <c r="R111" i="44"/>
  <c r="V111" i="44" s="1"/>
  <c r="AS111" i="44" s="1"/>
  <c r="AZ110" i="44"/>
  <c r="AY110" i="44"/>
  <c r="AF110" i="44"/>
  <c r="AW110" i="44" s="1"/>
  <c r="Z110" i="44"/>
  <c r="AT110" i="44" s="1"/>
  <c r="R110" i="44"/>
  <c r="V110" i="44" s="1"/>
  <c r="AS110" i="44" s="1"/>
  <c r="AZ109" i="44"/>
  <c r="AY109" i="44"/>
  <c r="AF109" i="44"/>
  <c r="AW109" i="44" s="1"/>
  <c r="Z109" i="44"/>
  <c r="AT109" i="44" s="1"/>
  <c r="R109" i="44"/>
  <c r="V109" i="44" s="1"/>
  <c r="AS109" i="44" s="1"/>
  <c r="AZ108" i="44"/>
  <c r="AY108" i="44"/>
  <c r="AF108" i="44"/>
  <c r="AW108" i="44" s="1"/>
  <c r="Z108" i="44"/>
  <c r="AT108" i="44" s="1"/>
  <c r="R108" i="44"/>
  <c r="V108" i="44" s="1"/>
  <c r="AS108" i="44" s="1"/>
  <c r="AZ106" i="44"/>
  <c r="AZ107" i="44" s="1"/>
  <c r="AY106" i="44"/>
  <c r="AY107" i="44" s="1"/>
  <c r="AF106" i="44"/>
  <c r="AW106" i="44" s="1"/>
  <c r="AW107" i="44" s="1"/>
  <c r="Z106" i="44"/>
  <c r="R106" i="44"/>
  <c r="AZ104" i="44"/>
  <c r="AY104" i="44"/>
  <c r="AF104" i="44"/>
  <c r="AW104" i="44" s="1"/>
  <c r="Z104" i="44"/>
  <c r="AT104" i="44" s="1"/>
  <c r="R104" i="44"/>
  <c r="V104" i="44" s="1"/>
  <c r="AS104" i="44" s="1"/>
  <c r="AZ103" i="44"/>
  <c r="AY103" i="44"/>
  <c r="AF103" i="44"/>
  <c r="AW103" i="44" s="1"/>
  <c r="Z103" i="44"/>
  <c r="AT103" i="44" s="1"/>
  <c r="R103" i="44"/>
  <c r="V103" i="44" s="1"/>
  <c r="AS103" i="44" s="1"/>
  <c r="AZ102" i="44"/>
  <c r="AY102" i="44"/>
  <c r="AF102" i="44"/>
  <c r="AW102" i="44" s="1"/>
  <c r="Z102" i="44"/>
  <c r="AT102" i="44" s="1"/>
  <c r="R102" i="44"/>
  <c r="AZ100" i="44"/>
  <c r="AY100" i="44"/>
  <c r="AF100" i="44"/>
  <c r="AW100" i="44" s="1"/>
  <c r="Z100" i="44"/>
  <c r="AT100" i="44" s="1"/>
  <c r="R100" i="44"/>
  <c r="V100" i="44" s="1"/>
  <c r="AS100" i="44" s="1"/>
  <c r="AZ99" i="44"/>
  <c r="AY99" i="44"/>
  <c r="AF99" i="44"/>
  <c r="AW99" i="44" s="1"/>
  <c r="Z99" i="44"/>
  <c r="AT99" i="44" s="1"/>
  <c r="R99" i="44"/>
  <c r="V99" i="44" s="1"/>
  <c r="AS99" i="44" s="1"/>
  <c r="AZ98" i="44"/>
  <c r="AY98" i="44"/>
  <c r="AF98" i="44"/>
  <c r="AW98" i="44" s="1"/>
  <c r="Z98" i="44"/>
  <c r="AT98" i="44" s="1"/>
  <c r="R98" i="44"/>
  <c r="V98" i="44" s="1"/>
  <c r="AS98" i="44" s="1"/>
  <c r="AZ97" i="44"/>
  <c r="AY97" i="44"/>
  <c r="AF97" i="44"/>
  <c r="AW97" i="44" s="1"/>
  <c r="Z97" i="44"/>
  <c r="AT97" i="44" s="1"/>
  <c r="R97" i="44"/>
  <c r="V97" i="44" s="1"/>
  <c r="AS97" i="44" s="1"/>
  <c r="AZ96" i="44"/>
  <c r="AY96" i="44"/>
  <c r="AF96" i="44"/>
  <c r="AW96" i="44" s="1"/>
  <c r="Z96" i="44"/>
  <c r="AT96" i="44" s="1"/>
  <c r="R96" i="44"/>
  <c r="AZ94" i="44"/>
  <c r="AY94" i="44"/>
  <c r="AF94" i="44"/>
  <c r="AW94" i="44" s="1"/>
  <c r="Z94" i="44"/>
  <c r="AT94" i="44" s="1"/>
  <c r="R94" i="44"/>
  <c r="V94" i="44" s="1"/>
  <c r="AS94" i="44" s="1"/>
  <c r="AZ93" i="44"/>
  <c r="AY93" i="44"/>
  <c r="AF93" i="44"/>
  <c r="AW93" i="44" s="1"/>
  <c r="Z93" i="44"/>
  <c r="AT93" i="44" s="1"/>
  <c r="R93" i="44"/>
  <c r="V93" i="44" s="1"/>
  <c r="AS93" i="44" s="1"/>
  <c r="AZ92" i="44"/>
  <c r="AY92" i="44"/>
  <c r="AF92" i="44"/>
  <c r="AW92" i="44" s="1"/>
  <c r="Z92" i="44"/>
  <c r="AT92" i="44" s="1"/>
  <c r="R92" i="44"/>
  <c r="V92" i="44" s="1"/>
  <c r="AS92" i="44" s="1"/>
  <c r="AZ90" i="44"/>
  <c r="AY90" i="44"/>
  <c r="AF90" i="44"/>
  <c r="AW90" i="44" s="1"/>
  <c r="Z90" i="44"/>
  <c r="AT90" i="44" s="1"/>
  <c r="R90" i="44"/>
  <c r="V90" i="44" s="1"/>
  <c r="AS90" i="44" s="1"/>
  <c r="AZ89" i="44"/>
  <c r="AY89" i="44"/>
  <c r="AF89" i="44"/>
  <c r="AW89" i="44" s="1"/>
  <c r="Z89" i="44"/>
  <c r="AT89" i="44" s="1"/>
  <c r="R89" i="44"/>
  <c r="V89" i="44" s="1"/>
  <c r="AS89" i="44" s="1"/>
  <c r="AZ88" i="44"/>
  <c r="AY88" i="44"/>
  <c r="AF88" i="44"/>
  <c r="AW88" i="44" s="1"/>
  <c r="Z88" i="44"/>
  <c r="AT88" i="44" s="1"/>
  <c r="R88" i="44"/>
  <c r="V88" i="44" s="1"/>
  <c r="AS88" i="44" s="1"/>
  <c r="AZ87" i="44"/>
  <c r="AY87" i="44"/>
  <c r="AF87" i="44"/>
  <c r="AW87" i="44" s="1"/>
  <c r="Z87" i="44"/>
  <c r="AT87" i="44" s="1"/>
  <c r="R87" i="44"/>
  <c r="V87" i="44" s="1"/>
  <c r="AS87" i="44" s="1"/>
  <c r="AZ86" i="44"/>
  <c r="AY86" i="44"/>
  <c r="AF86" i="44"/>
  <c r="AW86" i="44" s="1"/>
  <c r="Z86" i="44"/>
  <c r="AT86" i="44" s="1"/>
  <c r="R86" i="44"/>
  <c r="V86" i="44" s="1"/>
  <c r="AS86" i="44" s="1"/>
  <c r="AZ85" i="44"/>
  <c r="AY85" i="44"/>
  <c r="AF85" i="44"/>
  <c r="AW85" i="44" s="1"/>
  <c r="Z85" i="44"/>
  <c r="AT85" i="44" s="1"/>
  <c r="R85" i="44"/>
  <c r="AZ83" i="44"/>
  <c r="AY83" i="44"/>
  <c r="AF83" i="44"/>
  <c r="AW83" i="44" s="1"/>
  <c r="Z83" i="44"/>
  <c r="AT83" i="44" s="1"/>
  <c r="R83" i="44"/>
  <c r="V83" i="44" s="1"/>
  <c r="AS83" i="44" s="1"/>
  <c r="AZ82" i="44"/>
  <c r="AY82" i="44"/>
  <c r="AF82" i="44"/>
  <c r="AW82" i="44" s="1"/>
  <c r="Z82" i="44"/>
  <c r="AT82" i="44" s="1"/>
  <c r="R82" i="44"/>
  <c r="V82" i="44" s="1"/>
  <c r="AS82" i="44" s="1"/>
  <c r="AZ81" i="44"/>
  <c r="AY81" i="44"/>
  <c r="AF81" i="44"/>
  <c r="AW81" i="44" s="1"/>
  <c r="Z81" i="44"/>
  <c r="AT81" i="44" s="1"/>
  <c r="R81" i="44"/>
  <c r="V81" i="44" s="1"/>
  <c r="AS81" i="44" s="1"/>
  <c r="AZ80" i="44"/>
  <c r="AY80" i="44"/>
  <c r="AF80" i="44"/>
  <c r="AW80" i="44" s="1"/>
  <c r="Z80" i="44"/>
  <c r="AT80" i="44" s="1"/>
  <c r="R80" i="44"/>
  <c r="V80" i="44" s="1"/>
  <c r="AS80" i="44" s="1"/>
  <c r="AZ79" i="44"/>
  <c r="AY79" i="44"/>
  <c r="AF79" i="44"/>
  <c r="AW79" i="44" s="1"/>
  <c r="Z79" i="44"/>
  <c r="AT79" i="44" s="1"/>
  <c r="R79" i="44"/>
  <c r="V79" i="44" s="1"/>
  <c r="AS79" i="44" s="1"/>
  <c r="AZ78" i="44"/>
  <c r="AY78" i="44"/>
  <c r="AF78" i="44"/>
  <c r="AW78" i="44" s="1"/>
  <c r="Z78" i="44"/>
  <c r="AT78" i="44" s="1"/>
  <c r="R78" i="44"/>
  <c r="AZ76" i="44"/>
  <c r="AY76" i="44"/>
  <c r="AF76" i="44"/>
  <c r="AW76" i="44" s="1"/>
  <c r="Z76" i="44"/>
  <c r="AT76" i="44" s="1"/>
  <c r="R76" i="44"/>
  <c r="V76" i="44" s="1"/>
  <c r="AS76" i="44" s="1"/>
  <c r="AZ75" i="44"/>
  <c r="AY75" i="44"/>
  <c r="AF75" i="44"/>
  <c r="AW75" i="44" s="1"/>
  <c r="Z75" i="44"/>
  <c r="AT75" i="44" s="1"/>
  <c r="R75" i="44"/>
  <c r="V75" i="44" s="1"/>
  <c r="AS75" i="44" s="1"/>
  <c r="AZ74" i="44"/>
  <c r="AY74" i="44"/>
  <c r="AF74" i="44"/>
  <c r="AW74" i="44" s="1"/>
  <c r="Z74" i="44"/>
  <c r="AT74" i="44" s="1"/>
  <c r="R74" i="44"/>
  <c r="V74" i="44" s="1"/>
  <c r="AS74" i="44" s="1"/>
  <c r="AZ73" i="44"/>
  <c r="AY73" i="44"/>
  <c r="AF73" i="44"/>
  <c r="AW73" i="44" s="1"/>
  <c r="Z73" i="44"/>
  <c r="AT73" i="44" s="1"/>
  <c r="R73" i="44"/>
  <c r="V73" i="44" s="1"/>
  <c r="AS73" i="44" s="1"/>
  <c r="AZ72" i="44"/>
  <c r="AY72" i="44"/>
  <c r="AF72" i="44"/>
  <c r="AW72" i="44" s="1"/>
  <c r="Z72" i="44"/>
  <c r="AT72" i="44" s="1"/>
  <c r="R72" i="44"/>
  <c r="V72" i="44" s="1"/>
  <c r="AS72" i="44" s="1"/>
  <c r="AZ71" i="44"/>
  <c r="AY71" i="44"/>
  <c r="AF71" i="44"/>
  <c r="AW71" i="44" s="1"/>
  <c r="Z71" i="44"/>
  <c r="AT71" i="44" s="1"/>
  <c r="R71" i="44"/>
  <c r="AZ69" i="44"/>
  <c r="AY69" i="44"/>
  <c r="AF69" i="44"/>
  <c r="AW69" i="44" s="1"/>
  <c r="Z69" i="44"/>
  <c r="AT69" i="44" s="1"/>
  <c r="R69" i="44"/>
  <c r="V69" i="44" s="1"/>
  <c r="AS69" i="44" s="1"/>
  <c r="AZ68" i="44"/>
  <c r="AY68" i="44"/>
  <c r="AF68" i="44"/>
  <c r="AW68" i="44" s="1"/>
  <c r="Z68" i="44"/>
  <c r="AT68" i="44" s="1"/>
  <c r="R68" i="44"/>
  <c r="V68" i="44" s="1"/>
  <c r="AS68" i="44" s="1"/>
  <c r="AZ67" i="44"/>
  <c r="AY67" i="44"/>
  <c r="AF67" i="44"/>
  <c r="AW67" i="44" s="1"/>
  <c r="Z67" i="44"/>
  <c r="AT67" i="44" s="1"/>
  <c r="R67" i="44"/>
  <c r="V67" i="44" s="1"/>
  <c r="AS67" i="44" s="1"/>
  <c r="AZ66" i="44"/>
  <c r="AY66" i="44"/>
  <c r="AF66" i="44"/>
  <c r="AW66" i="44" s="1"/>
  <c r="Z66" i="44"/>
  <c r="AT66" i="44" s="1"/>
  <c r="R66" i="44"/>
  <c r="V66" i="44" s="1"/>
  <c r="AS66" i="44" s="1"/>
  <c r="AZ65" i="44"/>
  <c r="AY65" i="44"/>
  <c r="AF65" i="44"/>
  <c r="AW65" i="44" s="1"/>
  <c r="Z65" i="44"/>
  <c r="AT65" i="44" s="1"/>
  <c r="R65" i="44"/>
  <c r="V65" i="44" s="1"/>
  <c r="AS65" i="44" s="1"/>
  <c r="AZ64" i="44"/>
  <c r="AY64" i="44"/>
  <c r="AF64" i="44"/>
  <c r="AW64" i="44" s="1"/>
  <c r="Z64" i="44"/>
  <c r="AT64" i="44" s="1"/>
  <c r="R64" i="44"/>
  <c r="AZ62" i="44"/>
  <c r="AY62" i="44"/>
  <c r="AF62" i="44"/>
  <c r="AW62" i="44" s="1"/>
  <c r="Z62" i="44"/>
  <c r="AT62" i="44" s="1"/>
  <c r="R62" i="44"/>
  <c r="V62" i="44" s="1"/>
  <c r="AS62" i="44" s="1"/>
  <c r="AZ61" i="44"/>
  <c r="AY61" i="44"/>
  <c r="AF61" i="44"/>
  <c r="AW61" i="44" s="1"/>
  <c r="Z61" i="44"/>
  <c r="AT61" i="44" s="1"/>
  <c r="R61" i="44"/>
  <c r="V61" i="44" s="1"/>
  <c r="AS61" i="44" s="1"/>
  <c r="AZ60" i="44"/>
  <c r="AY60" i="44"/>
  <c r="AF60" i="44"/>
  <c r="AW60" i="44" s="1"/>
  <c r="Z60" i="44"/>
  <c r="AT60" i="44" s="1"/>
  <c r="R60" i="44"/>
  <c r="V60" i="44" s="1"/>
  <c r="AS60" i="44" s="1"/>
  <c r="AZ59" i="44"/>
  <c r="AY59" i="44"/>
  <c r="AF59" i="44"/>
  <c r="AW59" i="44" s="1"/>
  <c r="Z59" i="44"/>
  <c r="AT59" i="44" s="1"/>
  <c r="R59" i="44"/>
  <c r="V59" i="44" s="1"/>
  <c r="AS59" i="44" s="1"/>
  <c r="AZ58" i="44"/>
  <c r="AY58" i="44"/>
  <c r="AF58" i="44"/>
  <c r="AW58" i="44" s="1"/>
  <c r="Z58" i="44"/>
  <c r="AT58" i="44" s="1"/>
  <c r="R58" i="44"/>
  <c r="V58" i="44" s="1"/>
  <c r="AS58" i="44" s="1"/>
  <c r="AZ57" i="44"/>
  <c r="AY57" i="44"/>
  <c r="AF57" i="44"/>
  <c r="AW57" i="44" s="1"/>
  <c r="Z57" i="44"/>
  <c r="AT57" i="44" s="1"/>
  <c r="R57" i="44"/>
  <c r="AZ55" i="44"/>
  <c r="AY55" i="44"/>
  <c r="AF55" i="44"/>
  <c r="AW55" i="44" s="1"/>
  <c r="Z55" i="44"/>
  <c r="AT55" i="44" s="1"/>
  <c r="R55" i="44"/>
  <c r="V55" i="44" s="1"/>
  <c r="AS55" i="44" s="1"/>
  <c r="AZ54" i="44"/>
  <c r="AY54" i="44"/>
  <c r="AF54" i="44"/>
  <c r="AW54" i="44" s="1"/>
  <c r="Z54" i="44"/>
  <c r="AT54" i="44" s="1"/>
  <c r="R54" i="44"/>
  <c r="V54" i="44" s="1"/>
  <c r="AS54" i="44" s="1"/>
  <c r="AZ53" i="44"/>
  <c r="AY53" i="44"/>
  <c r="AF53" i="44"/>
  <c r="AW53" i="44" s="1"/>
  <c r="Z53" i="44"/>
  <c r="AT53" i="44" s="1"/>
  <c r="R53" i="44"/>
  <c r="V53" i="44" s="1"/>
  <c r="AS53" i="44" s="1"/>
  <c r="AZ52" i="44"/>
  <c r="AY52" i="44"/>
  <c r="AF52" i="44"/>
  <c r="AW52" i="44" s="1"/>
  <c r="Z52" i="44"/>
  <c r="AT52" i="44" s="1"/>
  <c r="R52" i="44"/>
  <c r="V52" i="44" s="1"/>
  <c r="AS52" i="44" s="1"/>
  <c r="AZ51" i="44"/>
  <c r="AY51" i="44"/>
  <c r="AF51" i="44"/>
  <c r="AW51" i="44" s="1"/>
  <c r="Z51" i="44"/>
  <c r="AT51" i="44" s="1"/>
  <c r="R51" i="44"/>
  <c r="V51" i="44" s="1"/>
  <c r="AS51" i="44" s="1"/>
  <c r="AZ50" i="44"/>
  <c r="AY50" i="44"/>
  <c r="AF50" i="44"/>
  <c r="AW50" i="44" s="1"/>
  <c r="Z50" i="44"/>
  <c r="AT50" i="44" s="1"/>
  <c r="R50" i="44"/>
  <c r="V50" i="44" s="1"/>
  <c r="AS50" i="44" s="1"/>
  <c r="AZ48" i="44"/>
  <c r="AY48" i="44"/>
  <c r="AF48" i="44"/>
  <c r="AW48" i="44" s="1"/>
  <c r="Z48" i="44"/>
  <c r="AT48" i="44" s="1"/>
  <c r="R48" i="44"/>
  <c r="V48" i="44" s="1"/>
  <c r="AS48" i="44" s="1"/>
  <c r="AZ47" i="44"/>
  <c r="AY47" i="44"/>
  <c r="AF47" i="44"/>
  <c r="AW47" i="44" s="1"/>
  <c r="Z47" i="44"/>
  <c r="AT47" i="44" s="1"/>
  <c r="R47" i="44"/>
  <c r="V47" i="44" s="1"/>
  <c r="AS47" i="44" s="1"/>
  <c r="AZ46" i="44"/>
  <c r="AY46" i="44"/>
  <c r="AF46" i="44"/>
  <c r="AW46" i="44" s="1"/>
  <c r="Z46" i="44"/>
  <c r="AT46" i="44" s="1"/>
  <c r="R46" i="44"/>
  <c r="V46" i="44" s="1"/>
  <c r="AS46" i="44" s="1"/>
  <c r="AZ45" i="44"/>
  <c r="AY45" i="44"/>
  <c r="AF45" i="44"/>
  <c r="AW45" i="44" s="1"/>
  <c r="Z45" i="44"/>
  <c r="AT45" i="44" s="1"/>
  <c r="R45" i="44"/>
  <c r="V45" i="44" s="1"/>
  <c r="AS45" i="44" s="1"/>
  <c r="AZ44" i="44"/>
  <c r="AY44" i="44"/>
  <c r="AF44" i="44"/>
  <c r="AW44" i="44" s="1"/>
  <c r="Z44" i="44"/>
  <c r="AT44" i="44" s="1"/>
  <c r="R44" i="44"/>
  <c r="V44" i="44" s="1"/>
  <c r="AS44" i="44" s="1"/>
  <c r="AZ43" i="44"/>
  <c r="AY43" i="44"/>
  <c r="AF43" i="44"/>
  <c r="AW43" i="44" s="1"/>
  <c r="Z43" i="44"/>
  <c r="AT43" i="44" s="1"/>
  <c r="R43" i="44"/>
  <c r="AZ41" i="44"/>
  <c r="AY41" i="44"/>
  <c r="AF41" i="44"/>
  <c r="AW41" i="44" s="1"/>
  <c r="Z41" i="44"/>
  <c r="AT41" i="44" s="1"/>
  <c r="R41" i="44"/>
  <c r="V41" i="44" s="1"/>
  <c r="AS41" i="44" s="1"/>
  <c r="AZ40" i="44"/>
  <c r="AY40" i="44"/>
  <c r="AF40" i="44"/>
  <c r="AW40" i="44" s="1"/>
  <c r="Z40" i="44"/>
  <c r="AT40" i="44" s="1"/>
  <c r="R40" i="44"/>
  <c r="V40" i="44" s="1"/>
  <c r="AS40" i="44" s="1"/>
  <c r="AZ39" i="44"/>
  <c r="AY39" i="44"/>
  <c r="AF39" i="44"/>
  <c r="AW39" i="44" s="1"/>
  <c r="Z39" i="44"/>
  <c r="AT39" i="44" s="1"/>
  <c r="R39" i="44"/>
  <c r="V39" i="44" s="1"/>
  <c r="AS39" i="44" s="1"/>
  <c r="AZ38" i="44"/>
  <c r="AY38" i="44"/>
  <c r="AF38" i="44"/>
  <c r="AW38" i="44" s="1"/>
  <c r="Z38" i="44"/>
  <c r="AT38" i="44" s="1"/>
  <c r="R38" i="44"/>
  <c r="V38" i="44" s="1"/>
  <c r="AS38" i="44" s="1"/>
  <c r="AZ37" i="44"/>
  <c r="AY37" i="44"/>
  <c r="AF37" i="44"/>
  <c r="AW37" i="44" s="1"/>
  <c r="Z37" i="44"/>
  <c r="AT37" i="44" s="1"/>
  <c r="R37" i="44"/>
  <c r="V37" i="44" s="1"/>
  <c r="AS37" i="44" s="1"/>
  <c r="AZ36" i="44"/>
  <c r="AY36" i="44"/>
  <c r="AF36" i="44"/>
  <c r="AW36" i="44" s="1"/>
  <c r="Z36" i="44"/>
  <c r="AT36" i="44" s="1"/>
  <c r="R36" i="44"/>
  <c r="V36" i="44" s="1"/>
  <c r="AS36" i="44" s="1"/>
  <c r="AZ34" i="44"/>
  <c r="AY34" i="44"/>
  <c r="AF34" i="44"/>
  <c r="AW34" i="44" s="1"/>
  <c r="Z34" i="44"/>
  <c r="AT34" i="44" s="1"/>
  <c r="R34" i="44"/>
  <c r="V34" i="44" s="1"/>
  <c r="AS34" i="44" s="1"/>
  <c r="AZ33" i="44"/>
  <c r="AY33" i="44"/>
  <c r="AF33" i="44"/>
  <c r="AW33" i="44" s="1"/>
  <c r="Z33" i="44"/>
  <c r="AT33" i="44" s="1"/>
  <c r="R33" i="44"/>
  <c r="V33" i="44" s="1"/>
  <c r="AS33" i="44" s="1"/>
  <c r="AZ32" i="44"/>
  <c r="AY32" i="44"/>
  <c r="AF32" i="44"/>
  <c r="AW32" i="44" s="1"/>
  <c r="Z32" i="44"/>
  <c r="AT32" i="44" s="1"/>
  <c r="R32" i="44"/>
  <c r="V32" i="44" s="1"/>
  <c r="AS32" i="44" s="1"/>
  <c r="AZ31" i="44"/>
  <c r="AY31" i="44"/>
  <c r="AF31" i="44"/>
  <c r="AW31" i="44" s="1"/>
  <c r="Z31" i="44"/>
  <c r="AT31" i="44" s="1"/>
  <c r="R31" i="44"/>
  <c r="V31" i="44" s="1"/>
  <c r="AS31" i="44" s="1"/>
  <c r="AZ30" i="44"/>
  <c r="AY30" i="44"/>
  <c r="AF30" i="44"/>
  <c r="AW30" i="44" s="1"/>
  <c r="Z30" i="44"/>
  <c r="AT30" i="44" s="1"/>
  <c r="R30" i="44"/>
  <c r="AZ29" i="44"/>
  <c r="AY29" i="44"/>
  <c r="AF29" i="44"/>
  <c r="AW29" i="44" s="1"/>
  <c r="Z29" i="44"/>
  <c r="AT29" i="44" s="1"/>
  <c r="R29" i="44"/>
  <c r="V29" i="44" s="1"/>
  <c r="AS29" i="44" s="1"/>
  <c r="AZ27" i="44"/>
  <c r="AY27" i="44"/>
  <c r="AF27" i="44"/>
  <c r="AW27" i="44" s="1"/>
  <c r="Z27" i="44"/>
  <c r="AT27" i="44" s="1"/>
  <c r="R27" i="44"/>
  <c r="V27" i="44" s="1"/>
  <c r="AS27" i="44" s="1"/>
  <c r="AZ26" i="44"/>
  <c r="AY26" i="44"/>
  <c r="AF26" i="44"/>
  <c r="AW26" i="44" s="1"/>
  <c r="Z26" i="44"/>
  <c r="AT26" i="44" s="1"/>
  <c r="R26" i="44"/>
  <c r="AZ25" i="44"/>
  <c r="AY25" i="44"/>
  <c r="AF25" i="44"/>
  <c r="AW25" i="44" s="1"/>
  <c r="Z25" i="44"/>
  <c r="AT25" i="44" s="1"/>
  <c r="R25" i="44"/>
  <c r="V25" i="44" s="1"/>
  <c r="AS25" i="44" s="1"/>
  <c r="AZ24" i="44"/>
  <c r="AY24" i="44"/>
  <c r="AF24" i="44"/>
  <c r="AW24" i="44" s="1"/>
  <c r="Z24" i="44"/>
  <c r="AT24" i="44" s="1"/>
  <c r="R24" i="44"/>
  <c r="V24" i="44" s="1"/>
  <c r="AS24" i="44" s="1"/>
  <c r="AZ23" i="44"/>
  <c r="AY23" i="44"/>
  <c r="AF23" i="44"/>
  <c r="AW23" i="44" s="1"/>
  <c r="Z23" i="44"/>
  <c r="AT23" i="44" s="1"/>
  <c r="R23" i="44"/>
  <c r="V23" i="44" s="1"/>
  <c r="AS23" i="44" s="1"/>
  <c r="AZ22" i="44"/>
  <c r="AY22" i="44"/>
  <c r="AF22" i="44"/>
  <c r="AW22" i="44" s="1"/>
  <c r="Z22" i="44"/>
  <c r="AT22" i="44" s="1"/>
  <c r="R22" i="44"/>
  <c r="V22" i="44" s="1"/>
  <c r="AS22" i="44" s="1"/>
  <c r="AZ21" i="44"/>
  <c r="AY21" i="44"/>
  <c r="AF21" i="44"/>
  <c r="AW21" i="44" s="1"/>
  <c r="Z21" i="44"/>
  <c r="AT21" i="44" s="1"/>
  <c r="R21" i="44"/>
  <c r="V21" i="44" s="1"/>
  <c r="AS21" i="44" s="1"/>
  <c r="AZ20" i="44"/>
  <c r="AY20" i="44"/>
  <c r="AF20" i="44"/>
  <c r="AW20" i="44" s="1"/>
  <c r="Z20" i="44"/>
  <c r="AT20" i="44" s="1"/>
  <c r="R20" i="44"/>
  <c r="AZ18" i="44"/>
  <c r="AY18" i="44"/>
  <c r="AF18" i="44"/>
  <c r="AW18" i="44" s="1"/>
  <c r="Z18" i="44"/>
  <c r="AT18" i="44" s="1"/>
  <c r="R18" i="44"/>
  <c r="V18" i="44" s="1"/>
  <c r="AS18" i="44" s="1"/>
  <c r="AZ17" i="44"/>
  <c r="AY17" i="44"/>
  <c r="AF17" i="44"/>
  <c r="AW17" i="44" s="1"/>
  <c r="Z17" i="44"/>
  <c r="AT17" i="44" s="1"/>
  <c r="R17" i="44"/>
  <c r="AZ16" i="44"/>
  <c r="AY16" i="44"/>
  <c r="AF16" i="44"/>
  <c r="AW16" i="44" s="1"/>
  <c r="Z16" i="44"/>
  <c r="AT16" i="44" s="1"/>
  <c r="R16" i="44"/>
  <c r="V16" i="44" s="1"/>
  <c r="AS16" i="44" s="1"/>
  <c r="AZ15" i="44"/>
  <c r="AY15" i="44"/>
  <c r="AF15" i="44"/>
  <c r="AW15" i="44" s="1"/>
  <c r="Z15" i="44"/>
  <c r="AT15" i="44" s="1"/>
  <c r="R15" i="44"/>
  <c r="V15" i="44" s="1"/>
  <c r="AS15" i="44" s="1"/>
  <c r="AZ14" i="44"/>
  <c r="AY14" i="44"/>
  <c r="AF14" i="44"/>
  <c r="AW14" i="44" s="1"/>
  <c r="Z14" i="44"/>
  <c r="AT14" i="44" s="1"/>
  <c r="R14" i="44"/>
  <c r="AN464" i="43"/>
  <c r="AM464" i="43"/>
  <c r="AE464" i="43"/>
  <c r="Y464" i="43"/>
  <c r="U464" i="43"/>
  <c r="T464" i="43"/>
  <c r="AN460" i="43"/>
  <c r="AM460" i="43"/>
  <c r="AE460" i="43"/>
  <c r="Y460" i="43"/>
  <c r="U460" i="43"/>
  <c r="T460" i="43"/>
  <c r="AN457" i="43"/>
  <c r="AM457" i="43"/>
  <c r="AE457" i="43"/>
  <c r="Y457" i="43"/>
  <c r="U457" i="43"/>
  <c r="T457" i="43"/>
  <c r="AN450" i="43"/>
  <c r="AM450" i="43"/>
  <c r="AE450" i="43"/>
  <c r="Y450" i="43"/>
  <c r="U450" i="43"/>
  <c r="T450" i="43"/>
  <c r="AN443" i="43"/>
  <c r="AM443" i="43"/>
  <c r="AE443" i="43"/>
  <c r="Y443" i="43"/>
  <c r="U443" i="43"/>
  <c r="T443" i="43"/>
  <c r="AN436" i="43"/>
  <c r="AM436" i="43"/>
  <c r="AE436" i="43"/>
  <c r="Y436" i="43"/>
  <c r="U436" i="43"/>
  <c r="T436" i="43"/>
  <c r="AN429" i="43"/>
  <c r="AM429" i="43"/>
  <c r="AE429" i="43"/>
  <c r="Y429" i="43"/>
  <c r="U429" i="43"/>
  <c r="T429" i="43"/>
  <c r="AN422" i="43"/>
  <c r="AM422" i="43"/>
  <c r="AE422" i="43"/>
  <c r="Y422" i="43"/>
  <c r="U422" i="43"/>
  <c r="T422" i="43"/>
  <c r="AN415" i="43"/>
  <c r="AM415" i="43"/>
  <c r="AE415" i="43"/>
  <c r="Y415" i="43"/>
  <c r="U415" i="43"/>
  <c r="T415" i="43"/>
  <c r="AN409" i="43"/>
  <c r="AM409" i="43"/>
  <c r="AE409" i="43"/>
  <c r="Y409" i="43"/>
  <c r="U409" i="43"/>
  <c r="T409" i="43"/>
  <c r="AN406" i="43"/>
  <c r="AM406" i="43"/>
  <c r="AE406" i="43"/>
  <c r="Y406" i="43"/>
  <c r="U406" i="43"/>
  <c r="T406" i="43"/>
  <c r="AN399" i="43"/>
  <c r="AM399" i="43"/>
  <c r="AE399" i="43"/>
  <c r="Y399" i="43"/>
  <c r="U399" i="43"/>
  <c r="T399" i="43"/>
  <c r="AN392" i="43"/>
  <c r="AM392" i="43"/>
  <c r="AE392" i="43"/>
  <c r="Y392" i="43"/>
  <c r="U392" i="43"/>
  <c r="T392" i="43"/>
  <c r="AN388" i="43"/>
  <c r="AM388" i="43"/>
  <c r="AE388" i="43"/>
  <c r="Y388" i="43"/>
  <c r="U388" i="43"/>
  <c r="T388" i="43"/>
  <c r="AN382" i="43"/>
  <c r="AM382" i="43"/>
  <c r="AE382" i="43"/>
  <c r="Y382" i="43"/>
  <c r="U382" i="43"/>
  <c r="T382" i="43"/>
  <c r="AN375" i="43"/>
  <c r="AM375" i="43"/>
  <c r="AE375" i="43"/>
  <c r="Y375" i="43"/>
  <c r="U375" i="43"/>
  <c r="T375" i="43"/>
  <c r="AN373" i="43"/>
  <c r="AM373" i="43"/>
  <c r="AE373" i="43"/>
  <c r="Y373" i="43"/>
  <c r="U373" i="43"/>
  <c r="T373" i="43"/>
  <c r="AN369" i="43"/>
  <c r="AM369" i="43"/>
  <c r="AE369" i="43"/>
  <c r="Y369" i="43"/>
  <c r="U369" i="43"/>
  <c r="T369" i="43"/>
  <c r="AN362" i="43"/>
  <c r="AM362" i="43"/>
  <c r="AE362" i="43"/>
  <c r="Y362" i="43"/>
  <c r="U362" i="43"/>
  <c r="T362" i="43"/>
  <c r="AN357" i="43"/>
  <c r="AM357" i="43"/>
  <c r="AE357" i="43"/>
  <c r="Y357" i="43"/>
  <c r="U357" i="43"/>
  <c r="T357" i="43"/>
  <c r="AN350" i="43"/>
  <c r="AM350" i="43"/>
  <c r="AE350" i="43"/>
  <c r="Y350" i="43"/>
  <c r="U350" i="43"/>
  <c r="T350" i="43"/>
  <c r="AN344" i="43"/>
  <c r="AM344" i="43"/>
  <c r="AE344" i="43"/>
  <c r="Y344" i="43"/>
  <c r="U344" i="43"/>
  <c r="T344" i="43"/>
  <c r="AN335" i="43"/>
  <c r="AM335" i="43"/>
  <c r="AE335" i="43"/>
  <c r="Y335" i="43"/>
  <c r="U335" i="43"/>
  <c r="T335" i="43"/>
  <c r="AN332" i="43"/>
  <c r="AM332" i="43"/>
  <c r="AE332" i="43"/>
  <c r="Y332" i="43"/>
  <c r="U332" i="43"/>
  <c r="T332" i="43"/>
  <c r="AN328" i="43"/>
  <c r="AM328" i="43"/>
  <c r="AE328" i="43"/>
  <c r="Y328" i="43"/>
  <c r="U328" i="43"/>
  <c r="T328" i="43"/>
  <c r="AN324" i="43"/>
  <c r="AM324" i="43"/>
  <c r="AE324" i="43"/>
  <c r="Y324" i="43"/>
  <c r="U324" i="43"/>
  <c r="T324" i="43"/>
  <c r="AN322" i="43"/>
  <c r="AM322" i="43"/>
  <c r="AE322" i="43"/>
  <c r="Y322" i="43"/>
  <c r="U322" i="43"/>
  <c r="T322" i="43"/>
  <c r="AN316" i="43"/>
  <c r="AM316" i="43"/>
  <c r="AE316" i="43"/>
  <c r="Y316" i="43"/>
  <c r="U316" i="43"/>
  <c r="T316" i="43"/>
  <c r="AN312" i="43"/>
  <c r="AM312" i="43"/>
  <c r="AE312" i="43"/>
  <c r="Y312" i="43"/>
  <c r="U312" i="43"/>
  <c r="T312" i="43"/>
  <c r="AN305" i="43"/>
  <c r="AM305" i="43"/>
  <c r="AE305" i="43"/>
  <c r="Y305" i="43"/>
  <c r="U305" i="43"/>
  <c r="T305" i="43"/>
  <c r="AN298" i="43"/>
  <c r="AM298" i="43"/>
  <c r="AE298" i="43"/>
  <c r="Y298" i="43"/>
  <c r="U298" i="43"/>
  <c r="T298" i="43"/>
  <c r="AN296" i="43"/>
  <c r="AM296" i="43"/>
  <c r="AE296" i="43"/>
  <c r="Y296" i="43"/>
  <c r="U296" i="43"/>
  <c r="T296" i="43"/>
  <c r="AN288" i="43"/>
  <c r="AM288" i="43"/>
  <c r="AE288" i="43"/>
  <c r="Y288" i="43"/>
  <c r="U288" i="43"/>
  <c r="T288" i="43"/>
  <c r="AN283" i="43"/>
  <c r="AM283" i="43"/>
  <c r="AE283" i="43"/>
  <c r="Y283" i="43"/>
  <c r="U283" i="43"/>
  <c r="T283" i="43"/>
  <c r="AN276" i="43"/>
  <c r="AM276" i="43"/>
  <c r="AE276" i="43"/>
  <c r="Y276" i="43"/>
  <c r="U276" i="43"/>
  <c r="T276" i="43"/>
  <c r="AN272" i="43"/>
  <c r="AM272" i="43"/>
  <c r="AE272" i="43"/>
  <c r="Y272" i="43"/>
  <c r="U272" i="43"/>
  <c r="T272" i="43"/>
  <c r="AN266" i="43"/>
  <c r="AM266" i="43"/>
  <c r="AE266" i="43"/>
  <c r="Y266" i="43"/>
  <c r="U266" i="43"/>
  <c r="T266" i="43"/>
  <c r="AN262" i="43"/>
  <c r="AM262" i="43"/>
  <c r="AE262" i="43"/>
  <c r="Y262" i="43"/>
  <c r="U262" i="43"/>
  <c r="T262" i="43"/>
  <c r="AN258" i="43"/>
  <c r="AM258" i="43"/>
  <c r="AE258" i="43"/>
  <c r="Y258" i="43"/>
  <c r="U258" i="43"/>
  <c r="T258" i="43"/>
  <c r="AN256" i="43"/>
  <c r="AM256" i="43"/>
  <c r="AE256" i="43"/>
  <c r="Y256" i="43"/>
  <c r="U256" i="43"/>
  <c r="T256" i="43"/>
  <c r="AN249" i="43"/>
  <c r="AM249" i="43"/>
  <c r="AE249" i="43"/>
  <c r="Y249" i="43"/>
  <c r="U249" i="43"/>
  <c r="T249" i="43"/>
  <c r="AN243" i="43"/>
  <c r="AM243" i="43"/>
  <c r="AE243" i="43"/>
  <c r="Y243" i="43"/>
  <c r="U243" i="43"/>
  <c r="T243" i="43"/>
  <c r="AN237" i="43"/>
  <c r="AM237" i="43"/>
  <c r="AE237" i="43"/>
  <c r="Y237" i="43"/>
  <c r="U237" i="43"/>
  <c r="T237" i="43"/>
  <c r="AN231" i="43"/>
  <c r="AM231" i="43"/>
  <c r="AE231" i="43"/>
  <c r="Y231" i="43"/>
  <c r="U231" i="43"/>
  <c r="T231" i="43"/>
  <c r="AN225" i="43"/>
  <c r="AM225" i="43"/>
  <c r="AE225" i="43"/>
  <c r="Y225" i="43"/>
  <c r="U225" i="43"/>
  <c r="T225" i="43"/>
  <c r="AN219" i="43"/>
  <c r="AM219" i="43"/>
  <c r="AE219" i="43"/>
  <c r="Y219" i="43"/>
  <c r="U219" i="43"/>
  <c r="T219" i="43"/>
  <c r="AN213" i="43"/>
  <c r="AM213" i="43"/>
  <c r="AE213" i="43"/>
  <c r="Y213" i="43"/>
  <c r="U213" i="43"/>
  <c r="T213" i="43"/>
  <c r="AN206" i="43"/>
  <c r="AM206" i="43"/>
  <c r="AE206" i="43"/>
  <c r="Y206" i="43"/>
  <c r="U206" i="43"/>
  <c r="T206" i="43"/>
  <c r="AN200" i="43"/>
  <c r="AM200" i="43"/>
  <c r="AE200" i="43"/>
  <c r="Y200" i="43"/>
  <c r="U200" i="43"/>
  <c r="T200" i="43"/>
  <c r="AN194" i="43"/>
  <c r="AM194" i="43"/>
  <c r="AE194" i="43"/>
  <c r="Y194" i="43"/>
  <c r="U194" i="43"/>
  <c r="T194" i="43"/>
  <c r="AN187" i="43"/>
  <c r="AM187" i="43"/>
  <c r="AE187" i="43"/>
  <c r="Y187" i="43"/>
  <c r="U187" i="43"/>
  <c r="T187" i="43"/>
  <c r="AN180" i="43"/>
  <c r="AM180" i="43"/>
  <c r="AE180" i="43"/>
  <c r="Y180" i="43"/>
  <c r="U180" i="43"/>
  <c r="T180" i="43"/>
  <c r="AN174" i="43"/>
  <c r="AM174" i="43"/>
  <c r="AE174" i="43"/>
  <c r="Y174" i="43"/>
  <c r="U174" i="43"/>
  <c r="T174" i="43"/>
  <c r="AN168" i="43"/>
  <c r="AM168" i="43"/>
  <c r="AE168" i="43"/>
  <c r="Y168" i="43"/>
  <c r="U168" i="43"/>
  <c r="T168" i="43"/>
  <c r="AN162" i="43"/>
  <c r="AM162" i="43"/>
  <c r="AE162" i="43"/>
  <c r="Y162" i="43"/>
  <c r="U162" i="43"/>
  <c r="T162" i="43"/>
  <c r="AN157" i="43"/>
  <c r="AM157" i="43"/>
  <c r="AE157" i="43"/>
  <c r="Y157" i="43"/>
  <c r="U157" i="43"/>
  <c r="T157" i="43"/>
  <c r="AN151" i="43"/>
  <c r="AM151" i="43"/>
  <c r="AE151" i="43"/>
  <c r="Y151" i="43"/>
  <c r="U151" i="43"/>
  <c r="T151" i="43"/>
  <c r="AN145" i="43"/>
  <c r="AM145" i="43"/>
  <c r="AE145" i="43"/>
  <c r="Y145" i="43"/>
  <c r="U145" i="43"/>
  <c r="T145" i="43"/>
  <c r="AN139" i="43"/>
  <c r="AM139" i="43"/>
  <c r="AE139" i="43"/>
  <c r="Y139" i="43"/>
  <c r="U139" i="43"/>
  <c r="T139" i="43"/>
  <c r="AN132" i="43"/>
  <c r="AM132" i="43"/>
  <c r="AE132" i="43"/>
  <c r="Y132" i="43"/>
  <c r="U132" i="43"/>
  <c r="T132" i="43"/>
  <c r="AN125" i="43"/>
  <c r="AM125" i="43"/>
  <c r="AE125" i="43"/>
  <c r="Y125" i="43"/>
  <c r="U125" i="43"/>
  <c r="T125" i="43"/>
  <c r="AN120" i="43"/>
  <c r="AM120" i="43"/>
  <c r="AE120" i="43"/>
  <c r="Y120" i="43"/>
  <c r="U120" i="43"/>
  <c r="T120" i="43"/>
  <c r="AN116" i="43"/>
  <c r="AM116" i="43"/>
  <c r="AE116" i="43"/>
  <c r="Y116" i="43"/>
  <c r="U116" i="43"/>
  <c r="T116" i="43"/>
  <c r="AN113" i="43"/>
  <c r="AM113" i="43"/>
  <c r="AE113" i="43"/>
  <c r="Y113" i="43"/>
  <c r="U113" i="43"/>
  <c r="T113" i="43"/>
  <c r="AN109" i="43"/>
  <c r="AM109" i="43"/>
  <c r="AE109" i="43"/>
  <c r="Y109" i="43"/>
  <c r="U109" i="43"/>
  <c r="T109" i="43"/>
  <c r="AN105" i="43"/>
  <c r="AM105" i="43"/>
  <c r="AE105" i="43"/>
  <c r="Y105" i="43"/>
  <c r="U105" i="43"/>
  <c r="T105" i="43"/>
  <c r="AN102" i="43"/>
  <c r="AM102" i="43"/>
  <c r="AE102" i="43"/>
  <c r="Y102" i="43"/>
  <c r="U102" i="43"/>
  <c r="T102" i="43"/>
  <c r="AN98" i="43"/>
  <c r="AM98" i="43"/>
  <c r="AE98" i="43"/>
  <c r="Y98" i="43"/>
  <c r="U98" i="43"/>
  <c r="T98" i="43"/>
  <c r="AN94" i="43"/>
  <c r="AM94" i="43"/>
  <c r="AE94" i="43"/>
  <c r="Y94" i="43"/>
  <c r="U94" i="43"/>
  <c r="T94" i="43"/>
  <c r="AN90" i="43"/>
  <c r="AM90" i="43"/>
  <c r="AE90" i="43"/>
  <c r="Y90" i="43"/>
  <c r="U90" i="43"/>
  <c r="T90" i="43"/>
  <c r="AN86" i="43"/>
  <c r="AM86" i="43"/>
  <c r="AE86" i="43"/>
  <c r="Y86" i="43"/>
  <c r="U86" i="43"/>
  <c r="T86" i="43"/>
  <c r="AN82" i="43"/>
  <c r="AM82" i="43"/>
  <c r="AE82" i="43"/>
  <c r="Y82" i="43"/>
  <c r="U82" i="43"/>
  <c r="T82" i="43"/>
  <c r="AN79" i="43"/>
  <c r="AM79" i="43"/>
  <c r="AE79" i="43"/>
  <c r="Y79" i="43"/>
  <c r="U79" i="43"/>
  <c r="T79" i="43"/>
  <c r="AN75" i="43"/>
  <c r="AM75" i="43"/>
  <c r="AE75" i="43"/>
  <c r="Y75" i="43"/>
  <c r="U75" i="43"/>
  <c r="T75" i="43"/>
  <c r="AN70" i="43"/>
  <c r="AM70" i="43"/>
  <c r="AE70" i="43"/>
  <c r="Y70" i="43"/>
  <c r="U70" i="43"/>
  <c r="T70" i="43"/>
  <c r="AN67" i="43"/>
  <c r="AM67" i="43"/>
  <c r="AE67" i="43"/>
  <c r="Y67" i="43"/>
  <c r="U67" i="43"/>
  <c r="T67" i="43"/>
  <c r="AN63" i="43"/>
  <c r="AM63" i="43"/>
  <c r="AE63" i="43"/>
  <c r="Y63" i="43"/>
  <c r="U63" i="43"/>
  <c r="T63" i="43"/>
  <c r="AN59" i="43"/>
  <c r="AM59" i="43"/>
  <c r="AE59" i="43"/>
  <c r="Y59" i="43"/>
  <c r="U59" i="43"/>
  <c r="T59" i="43"/>
  <c r="AN55" i="43"/>
  <c r="AM55" i="43"/>
  <c r="AE55" i="43"/>
  <c r="Y55" i="43"/>
  <c r="U55" i="43"/>
  <c r="T55" i="43"/>
  <c r="AN52" i="43"/>
  <c r="AM52" i="43"/>
  <c r="AE52" i="43"/>
  <c r="Y52" i="43"/>
  <c r="U52" i="43"/>
  <c r="T52" i="43"/>
  <c r="AN49" i="43"/>
  <c r="AM49" i="43"/>
  <c r="AE49" i="43"/>
  <c r="Y49" i="43"/>
  <c r="U49" i="43"/>
  <c r="T49" i="43"/>
  <c r="AN46" i="43"/>
  <c r="AM46" i="43"/>
  <c r="AE46" i="43"/>
  <c r="Y46" i="43"/>
  <c r="U46" i="43"/>
  <c r="T46" i="43"/>
  <c r="AN42" i="43"/>
  <c r="AM42" i="43"/>
  <c r="AE42" i="43"/>
  <c r="Y42" i="43"/>
  <c r="U42" i="43"/>
  <c r="T42" i="43"/>
  <c r="AN39" i="43"/>
  <c r="AM39" i="43"/>
  <c r="AE39" i="43"/>
  <c r="Y39" i="43"/>
  <c r="U39" i="43"/>
  <c r="T39" i="43"/>
  <c r="AN35" i="43"/>
  <c r="AM35" i="43"/>
  <c r="AE35" i="43"/>
  <c r="Y35" i="43"/>
  <c r="U35" i="43"/>
  <c r="T35" i="43"/>
  <c r="AN31" i="43"/>
  <c r="AM31" i="43"/>
  <c r="AE31" i="43"/>
  <c r="Y31" i="43"/>
  <c r="U31" i="43"/>
  <c r="T31" i="43"/>
  <c r="AN27" i="43"/>
  <c r="AM27" i="43"/>
  <c r="AE27" i="43"/>
  <c r="Y27" i="43"/>
  <c r="U27" i="43"/>
  <c r="T27" i="43"/>
  <c r="AN22" i="43"/>
  <c r="AM22" i="43"/>
  <c r="AE22" i="43"/>
  <c r="Y22" i="43"/>
  <c r="U22" i="43"/>
  <c r="T22" i="43"/>
  <c r="AN18" i="43"/>
  <c r="AM18" i="43"/>
  <c r="AE18" i="43"/>
  <c r="Y18" i="43"/>
  <c r="U18" i="43"/>
  <c r="T18" i="43"/>
  <c r="AN13" i="43"/>
  <c r="AM13" i="43"/>
  <c r="AE13" i="43"/>
  <c r="Y13" i="43"/>
  <c r="X13" i="43"/>
  <c r="U13" i="43"/>
  <c r="T13" i="43"/>
  <c r="AZ463" i="43"/>
  <c r="AY463" i="43"/>
  <c r="AF463" i="43"/>
  <c r="AW463" i="43" s="1"/>
  <c r="Z463" i="43"/>
  <c r="AT463" i="43" s="1"/>
  <c r="V463" i="43"/>
  <c r="AS463" i="43" s="1"/>
  <c r="AZ462" i="43"/>
  <c r="AY462" i="43"/>
  <c r="AF462" i="43"/>
  <c r="AW462" i="43" s="1"/>
  <c r="Z462" i="43"/>
  <c r="AT462" i="43" s="1"/>
  <c r="V462" i="43"/>
  <c r="AS462" i="43" s="1"/>
  <c r="AZ461" i="43"/>
  <c r="AY461" i="43"/>
  <c r="AF461" i="43"/>
  <c r="AW461" i="43" s="1"/>
  <c r="Z461" i="43"/>
  <c r="AT461" i="43" s="1"/>
  <c r="AZ459" i="43"/>
  <c r="AY459" i="43"/>
  <c r="AF459" i="43"/>
  <c r="AW459" i="43" s="1"/>
  <c r="Z459" i="43"/>
  <c r="AT459" i="43" s="1"/>
  <c r="V459" i="43"/>
  <c r="AS459" i="43" s="1"/>
  <c r="AZ458" i="43"/>
  <c r="AY458" i="43"/>
  <c r="AF458" i="43"/>
  <c r="AW458" i="43" s="1"/>
  <c r="Z458" i="43"/>
  <c r="AT458" i="43" s="1"/>
  <c r="V458" i="43"/>
  <c r="AS458" i="43" s="1"/>
  <c r="AZ456" i="43"/>
  <c r="AY456" i="43"/>
  <c r="AF456" i="43"/>
  <c r="AW456" i="43" s="1"/>
  <c r="Z456" i="43"/>
  <c r="AT456" i="43" s="1"/>
  <c r="V456" i="43"/>
  <c r="AS456" i="43" s="1"/>
  <c r="AZ455" i="43"/>
  <c r="AY455" i="43"/>
  <c r="AF455" i="43"/>
  <c r="AW455" i="43" s="1"/>
  <c r="Z455" i="43"/>
  <c r="AT455" i="43" s="1"/>
  <c r="V455" i="43"/>
  <c r="AS455" i="43" s="1"/>
  <c r="AZ454" i="43"/>
  <c r="AY454" i="43"/>
  <c r="AF454" i="43"/>
  <c r="AW454" i="43" s="1"/>
  <c r="Z454" i="43"/>
  <c r="AT454" i="43" s="1"/>
  <c r="V454" i="43"/>
  <c r="AS454" i="43" s="1"/>
  <c r="AZ453" i="43"/>
  <c r="AY453" i="43"/>
  <c r="AF453" i="43"/>
  <c r="AW453" i="43" s="1"/>
  <c r="Z453" i="43"/>
  <c r="AT453" i="43" s="1"/>
  <c r="V453" i="43"/>
  <c r="AS453" i="43" s="1"/>
  <c r="AZ452" i="43"/>
  <c r="AY452" i="43"/>
  <c r="AF452" i="43"/>
  <c r="AW452" i="43" s="1"/>
  <c r="Z452" i="43"/>
  <c r="AT452" i="43" s="1"/>
  <c r="V452" i="43"/>
  <c r="AS452" i="43" s="1"/>
  <c r="AZ451" i="43"/>
  <c r="AY451" i="43"/>
  <c r="AF451" i="43"/>
  <c r="AW451" i="43" s="1"/>
  <c r="Z451" i="43"/>
  <c r="AT451" i="43" s="1"/>
  <c r="AZ449" i="43"/>
  <c r="AY449" i="43"/>
  <c r="AF449" i="43"/>
  <c r="AW449" i="43" s="1"/>
  <c r="Z449" i="43"/>
  <c r="AT449" i="43" s="1"/>
  <c r="V449" i="43"/>
  <c r="AS449" i="43" s="1"/>
  <c r="AZ448" i="43"/>
  <c r="AY448" i="43"/>
  <c r="AF448" i="43"/>
  <c r="AW448" i="43" s="1"/>
  <c r="Z448" i="43"/>
  <c r="AT448" i="43" s="1"/>
  <c r="V448" i="43"/>
  <c r="AS448" i="43" s="1"/>
  <c r="AZ447" i="43"/>
  <c r="AY447" i="43"/>
  <c r="AF447" i="43"/>
  <c r="AW447" i="43" s="1"/>
  <c r="Z447" i="43"/>
  <c r="AT447" i="43" s="1"/>
  <c r="V447" i="43"/>
  <c r="AS447" i="43" s="1"/>
  <c r="AZ446" i="43"/>
  <c r="AY446" i="43"/>
  <c r="AF446" i="43"/>
  <c r="AW446" i="43" s="1"/>
  <c r="Z446" i="43"/>
  <c r="AT446" i="43" s="1"/>
  <c r="V446" i="43"/>
  <c r="AS446" i="43" s="1"/>
  <c r="AZ445" i="43"/>
  <c r="AY445" i="43"/>
  <c r="AF445" i="43"/>
  <c r="AW445" i="43" s="1"/>
  <c r="Z445" i="43"/>
  <c r="AT445" i="43" s="1"/>
  <c r="V445" i="43"/>
  <c r="AS445" i="43" s="1"/>
  <c r="AZ444" i="43"/>
  <c r="AY444" i="43"/>
  <c r="AF444" i="43"/>
  <c r="AW444" i="43" s="1"/>
  <c r="Z444" i="43"/>
  <c r="AT444" i="43" s="1"/>
  <c r="AZ442" i="43"/>
  <c r="AY442" i="43"/>
  <c r="AF442" i="43"/>
  <c r="AW442" i="43" s="1"/>
  <c r="Z442" i="43"/>
  <c r="AT442" i="43" s="1"/>
  <c r="V442" i="43"/>
  <c r="AS442" i="43" s="1"/>
  <c r="AZ441" i="43"/>
  <c r="AY441" i="43"/>
  <c r="AF441" i="43"/>
  <c r="AW441" i="43" s="1"/>
  <c r="Z441" i="43"/>
  <c r="AT441" i="43" s="1"/>
  <c r="V441" i="43"/>
  <c r="AS441" i="43" s="1"/>
  <c r="AZ440" i="43"/>
  <c r="AY440" i="43"/>
  <c r="AF440" i="43"/>
  <c r="AW440" i="43" s="1"/>
  <c r="Z440" i="43"/>
  <c r="AT440" i="43" s="1"/>
  <c r="V440" i="43"/>
  <c r="AS440" i="43" s="1"/>
  <c r="AZ439" i="43"/>
  <c r="AY439" i="43"/>
  <c r="AF439" i="43"/>
  <c r="AW439" i="43" s="1"/>
  <c r="Z439" i="43"/>
  <c r="AT439" i="43" s="1"/>
  <c r="V439" i="43"/>
  <c r="AS439" i="43" s="1"/>
  <c r="AZ438" i="43"/>
  <c r="AY438" i="43"/>
  <c r="AF438" i="43"/>
  <c r="AW438" i="43" s="1"/>
  <c r="Z438" i="43"/>
  <c r="AT438" i="43" s="1"/>
  <c r="V438" i="43"/>
  <c r="AS438" i="43" s="1"/>
  <c r="AZ437" i="43"/>
  <c r="AY437" i="43"/>
  <c r="AF437" i="43"/>
  <c r="AW437" i="43" s="1"/>
  <c r="Z437" i="43"/>
  <c r="AT437" i="43" s="1"/>
  <c r="AZ435" i="43"/>
  <c r="AY435" i="43"/>
  <c r="AF435" i="43"/>
  <c r="AW435" i="43" s="1"/>
  <c r="Z435" i="43"/>
  <c r="AT435" i="43" s="1"/>
  <c r="V435" i="43"/>
  <c r="AS435" i="43" s="1"/>
  <c r="AZ434" i="43"/>
  <c r="AY434" i="43"/>
  <c r="AF434" i="43"/>
  <c r="AW434" i="43" s="1"/>
  <c r="Z434" i="43"/>
  <c r="AT434" i="43" s="1"/>
  <c r="V434" i="43"/>
  <c r="AS434" i="43" s="1"/>
  <c r="AZ433" i="43"/>
  <c r="AY433" i="43"/>
  <c r="AF433" i="43"/>
  <c r="AW433" i="43" s="1"/>
  <c r="Z433" i="43"/>
  <c r="AT433" i="43" s="1"/>
  <c r="V433" i="43"/>
  <c r="AS433" i="43" s="1"/>
  <c r="AZ432" i="43"/>
  <c r="AY432" i="43"/>
  <c r="AF432" i="43"/>
  <c r="AW432" i="43" s="1"/>
  <c r="Z432" i="43"/>
  <c r="AT432" i="43" s="1"/>
  <c r="V432" i="43"/>
  <c r="AS432" i="43" s="1"/>
  <c r="AZ431" i="43"/>
  <c r="AY431" i="43"/>
  <c r="AF431" i="43"/>
  <c r="AW431" i="43" s="1"/>
  <c r="Z431" i="43"/>
  <c r="AT431" i="43" s="1"/>
  <c r="V431" i="43"/>
  <c r="AS431" i="43" s="1"/>
  <c r="AZ430" i="43"/>
  <c r="AY430" i="43"/>
  <c r="AF430" i="43"/>
  <c r="AW430" i="43" s="1"/>
  <c r="Z430" i="43"/>
  <c r="AT430" i="43" s="1"/>
  <c r="AZ428" i="43"/>
  <c r="AY428" i="43"/>
  <c r="AF428" i="43"/>
  <c r="AW428" i="43" s="1"/>
  <c r="Z428" i="43"/>
  <c r="AT428" i="43" s="1"/>
  <c r="V428" i="43"/>
  <c r="AS428" i="43" s="1"/>
  <c r="AZ427" i="43"/>
  <c r="AY427" i="43"/>
  <c r="AF427" i="43"/>
  <c r="AW427" i="43" s="1"/>
  <c r="Z427" i="43"/>
  <c r="AT427" i="43" s="1"/>
  <c r="V427" i="43"/>
  <c r="AS427" i="43" s="1"/>
  <c r="AZ426" i="43"/>
  <c r="AY426" i="43"/>
  <c r="AF426" i="43"/>
  <c r="AW426" i="43" s="1"/>
  <c r="Z426" i="43"/>
  <c r="AT426" i="43" s="1"/>
  <c r="V426" i="43"/>
  <c r="AS426" i="43" s="1"/>
  <c r="AZ425" i="43"/>
  <c r="AY425" i="43"/>
  <c r="AF425" i="43"/>
  <c r="AW425" i="43" s="1"/>
  <c r="Z425" i="43"/>
  <c r="AT425" i="43" s="1"/>
  <c r="V425" i="43"/>
  <c r="AS425" i="43" s="1"/>
  <c r="AZ424" i="43"/>
  <c r="AY424" i="43"/>
  <c r="AF424" i="43"/>
  <c r="AW424" i="43" s="1"/>
  <c r="Z424" i="43"/>
  <c r="AT424" i="43" s="1"/>
  <c r="V424" i="43"/>
  <c r="AS424" i="43" s="1"/>
  <c r="AZ423" i="43"/>
  <c r="AY423" i="43"/>
  <c r="AF423" i="43"/>
  <c r="AW423" i="43" s="1"/>
  <c r="Z423" i="43"/>
  <c r="AT423" i="43" s="1"/>
  <c r="AZ421" i="43"/>
  <c r="AY421" i="43"/>
  <c r="AF421" i="43"/>
  <c r="AW421" i="43" s="1"/>
  <c r="Z421" i="43"/>
  <c r="AT421" i="43" s="1"/>
  <c r="V421" i="43"/>
  <c r="AS421" i="43" s="1"/>
  <c r="AZ420" i="43"/>
  <c r="AY420" i="43"/>
  <c r="AF420" i="43"/>
  <c r="AW420" i="43" s="1"/>
  <c r="Z420" i="43"/>
  <c r="AT420" i="43" s="1"/>
  <c r="V420" i="43"/>
  <c r="AS420" i="43" s="1"/>
  <c r="AZ419" i="43"/>
  <c r="AY419" i="43"/>
  <c r="AF419" i="43"/>
  <c r="AW419" i="43" s="1"/>
  <c r="Z419" i="43"/>
  <c r="AT419" i="43" s="1"/>
  <c r="V419" i="43"/>
  <c r="AS419" i="43" s="1"/>
  <c r="AZ418" i="43"/>
  <c r="AY418" i="43"/>
  <c r="AF418" i="43"/>
  <c r="AW418" i="43" s="1"/>
  <c r="Z418" i="43"/>
  <c r="AT418" i="43" s="1"/>
  <c r="V418" i="43"/>
  <c r="AS418" i="43" s="1"/>
  <c r="AZ417" i="43"/>
  <c r="AY417" i="43"/>
  <c r="AF417" i="43"/>
  <c r="AW417" i="43" s="1"/>
  <c r="Z417" i="43"/>
  <c r="AT417" i="43" s="1"/>
  <c r="V417" i="43"/>
  <c r="AS417" i="43" s="1"/>
  <c r="AZ416" i="43"/>
  <c r="AY416" i="43"/>
  <c r="AF416" i="43"/>
  <c r="AW416" i="43" s="1"/>
  <c r="Z416" i="43"/>
  <c r="AT416" i="43" s="1"/>
  <c r="AZ414" i="43"/>
  <c r="AY414" i="43"/>
  <c r="AF414" i="43"/>
  <c r="AW414" i="43" s="1"/>
  <c r="Z414" i="43"/>
  <c r="AT414" i="43" s="1"/>
  <c r="V414" i="43"/>
  <c r="AS414" i="43" s="1"/>
  <c r="AZ413" i="43"/>
  <c r="AY413" i="43"/>
  <c r="AF413" i="43"/>
  <c r="AW413" i="43" s="1"/>
  <c r="Z413" i="43"/>
  <c r="AT413" i="43" s="1"/>
  <c r="V413" i="43"/>
  <c r="AS413" i="43" s="1"/>
  <c r="AZ412" i="43"/>
  <c r="AY412" i="43"/>
  <c r="AF412" i="43"/>
  <c r="AW412" i="43" s="1"/>
  <c r="Z412" i="43"/>
  <c r="AT412" i="43" s="1"/>
  <c r="V412" i="43"/>
  <c r="AS412" i="43" s="1"/>
  <c r="AZ411" i="43"/>
  <c r="AY411" i="43"/>
  <c r="AF411" i="43"/>
  <c r="AW411" i="43" s="1"/>
  <c r="Z411" i="43"/>
  <c r="AT411" i="43" s="1"/>
  <c r="V411" i="43"/>
  <c r="AS411" i="43" s="1"/>
  <c r="AZ410" i="43"/>
  <c r="AY410" i="43"/>
  <c r="AF410" i="43"/>
  <c r="AW410" i="43" s="1"/>
  <c r="Z410" i="43"/>
  <c r="AT410" i="43" s="1"/>
  <c r="AZ408" i="43"/>
  <c r="AY408" i="43"/>
  <c r="AF408" i="43"/>
  <c r="AW408" i="43" s="1"/>
  <c r="Z408" i="43"/>
  <c r="AT408" i="43" s="1"/>
  <c r="V408" i="43"/>
  <c r="AS408" i="43" s="1"/>
  <c r="AZ407" i="43"/>
  <c r="AY407" i="43"/>
  <c r="AF407" i="43"/>
  <c r="AW407" i="43" s="1"/>
  <c r="Z407" i="43"/>
  <c r="AT407" i="43" s="1"/>
  <c r="AZ405" i="43"/>
  <c r="AY405" i="43"/>
  <c r="AF405" i="43"/>
  <c r="AW405" i="43" s="1"/>
  <c r="Z405" i="43"/>
  <c r="AT405" i="43" s="1"/>
  <c r="V405" i="43"/>
  <c r="AS405" i="43" s="1"/>
  <c r="AZ404" i="43"/>
  <c r="AY404" i="43"/>
  <c r="AF404" i="43"/>
  <c r="AW404" i="43" s="1"/>
  <c r="Z404" i="43"/>
  <c r="AT404" i="43" s="1"/>
  <c r="V404" i="43"/>
  <c r="AS404" i="43" s="1"/>
  <c r="AZ403" i="43"/>
  <c r="AY403" i="43"/>
  <c r="AF403" i="43"/>
  <c r="AW403" i="43" s="1"/>
  <c r="Z403" i="43"/>
  <c r="AT403" i="43" s="1"/>
  <c r="V403" i="43"/>
  <c r="AS403" i="43" s="1"/>
  <c r="AZ402" i="43"/>
  <c r="AY402" i="43"/>
  <c r="AF402" i="43"/>
  <c r="AW402" i="43" s="1"/>
  <c r="Z402" i="43"/>
  <c r="AT402" i="43" s="1"/>
  <c r="V402" i="43"/>
  <c r="AS402" i="43" s="1"/>
  <c r="AZ401" i="43"/>
  <c r="AY401" i="43"/>
  <c r="AF401" i="43"/>
  <c r="AW401" i="43" s="1"/>
  <c r="Z401" i="43"/>
  <c r="AT401" i="43" s="1"/>
  <c r="V401" i="43"/>
  <c r="AS401" i="43" s="1"/>
  <c r="AZ400" i="43"/>
  <c r="AY400" i="43"/>
  <c r="AF400" i="43"/>
  <c r="AW400" i="43" s="1"/>
  <c r="Z400" i="43"/>
  <c r="AT400" i="43" s="1"/>
  <c r="AZ398" i="43"/>
  <c r="AY398" i="43"/>
  <c r="AF398" i="43"/>
  <c r="AW398" i="43" s="1"/>
  <c r="Z398" i="43"/>
  <c r="AT398" i="43" s="1"/>
  <c r="V398" i="43"/>
  <c r="AS398" i="43" s="1"/>
  <c r="AZ397" i="43"/>
  <c r="AY397" i="43"/>
  <c r="AF397" i="43"/>
  <c r="AW397" i="43" s="1"/>
  <c r="Z397" i="43"/>
  <c r="AT397" i="43" s="1"/>
  <c r="V397" i="43"/>
  <c r="AS397" i="43" s="1"/>
  <c r="AZ396" i="43"/>
  <c r="AY396" i="43"/>
  <c r="AF396" i="43"/>
  <c r="AW396" i="43" s="1"/>
  <c r="Z396" i="43"/>
  <c r="AT396" i="43" s="1"/>
  <c r="V396" i="43"/>
  <c r="AS396" i="43" s="1"/>
  <c r="AZ395" i="43"/>
  <c r="AY395" i="43"/>
  <c r="AF395" i="43"/>
  <c r="AW395" i="43" s="1"/>
  <c r="Z395" i="43"/>
  <c r="AT395" i="43" s="1"/>
  <c r="V395" i="43"/>
  <c r="AS395" i="43" s="1"/>
  <c r="AZ394" i="43"/>
  <c r="AY394" i="43"/>
  <c r="AF394" i="43"/>
  <c r="AW394" i="43" s="1"/>
  <c r="Z394" i="43"/>
  <c r="AT394" i="43" s="1"/>
  <c r="V394" i="43"/>
  <c r="AS394" i="43" s="1"/>
  <c r="AZ393" i="43"/>
  <c r="AY393" i="43"/>
  <c r="AF393" i="43"/>
  <c r="AW393" i="43" s="1"/>
  <c r="Z393" i="43"/>
  <c r="AT393" i="43" s="1"/>
  <c r="AZ391" i="43"/>
  <c r="AY391" i="43"/>
  <c r="AF391" i="43"/>
  <c r="AW391" i="43" s="1"/>
  <c r="Z391" i="43"/>
  <c r="AT391" i="43" s="1"/>
  <c r="V391" i="43"/>
  <c r="AS391" i="43" s="1"/>
  <c r="AZ390" i="43"/>
  <c r="AY390" i="43"/>
  <c r="AF390" i="43"/>
  <c r="AW390" i="43" s="1"/>
  <c r="Z390" i="43"/>
  <c r="AT390" i="43" s="1"/>
  <c r="V390" i="43"/>
  <c r="AS390" i="43" s="1"/>
  <c r="AZ389" i="43"/>
  <c r="AY389" i="43"/>
  <c r="AF389" i="43"/>
  <c r="AW389" i="43" s="1"/>
  <c r="Z389" i="43"/>
  <c r="AT389" i="43" s="1"/>
  <c r="AZ387" i="43"/>
  <c r="AY387" i="43"/>
  <c r="AF387" i="43"/>
  <c r="AW387" i="43" s="1"/>
  <c r="Z387" i="43"/>
  <c r="AT387" i="43" s="1"/>
  <c r="V387" i="43"/>
  <c r="AS387" i="43" s="1"/>
  <c r="AZ386" i="43"/>
  <c r="AY386" i="43"/>
  <c r="AF386" i="43"/>
  <c r="AW386" i="43" s="1"/>
  <c r="Z386" i="43"/>
  <c r="AT386" i="43" s="1"/>
  <c r="V386" i="43"/>
  <c r="AS386" i="43" s="1"/>
  <c r="AZ385" i="43"/>
  <c r="AY385" i="43"/>
  <c r="AF385" i="43"/>
  <c r="AW385" i="43" s="1"/>
  <c r="Z385" i="43"/>
  <c r="AT385" i="43" s="1"/>
  <c r="V385" i="43"/>
  <c r="AS385" i="43" s="1"/>
  <c r="AZ384" i="43"/>
  <c r="AY384" i="43"/>
  <c r="AF384" i="43"/>
  <c r="AW384" i="43" s="1"/>
  <c r="Z384" i="43"/>
  <c r="AT384" i="43" s="1"/>
  <c r="V384" i="43"/>
  <c r="AS384" i="43" s="1"/>
  <c r="AZ383" i="43"/>
  <c r="AY383" i="43"/>
  <c r="AF383" i="43"/>
  <c r="AW383" i="43" s="1"/>
  <c r="Z383" i="43"/>
  <c r="AT383" i="43" s="1"/>
  <c r="AZ381" i="43"/>
  <c r="AY381" i="43"/>
  <c r="AF381" i="43"/>
  <c r="AW381" i="43" s="1"/>
  <c r="Z381" i="43"/>
  <c r="AT381" i="43" s="1"/>
  <c r="V381" i="43"/>
  <c r="AS381" i="43" s="1"/>
  <c r="AZ380" i="43"/>
  <c r="AY380" i="43"/>
  <c r="AF380" i="43"/>
  <c r="AW380" i="43" s="1"/>
  <c r="Z380" i="43"/>
  <c r="AT380" i="43" s="1"/>
  <c r="V380" i="43"/>
  <c r="AS380" i="43" s="1"/>
  <c r="AZ379" i="43"/>
  <c r="AY379" i="43"/>
  <c r="AF379" i="43"/>
  <c r="AW379" i="43" s="1"/>
  <c r="Z379" i="43"/>
  <c r="AT379" i="43" s="1"/>
  <c r="V379" i="43"/>
  <c r="AS379" i="43" s="1"/>
  <c r="AZ378" i="43"/>
  <c r="AY378" i="43"/>
  <c r="AF378" i="43"/>
  <c r="AW378" i="43" s="1"/>
  <c r="Z378" i="43"/>
  <c r="AT378" i="43" s="1"/>
  <c r="V378" i="43"/>
  <c r="AS378" i="43" s="1"/>
  <c r="AZ377" i="43"/>
  <c r="AY377" i="43"/>
  <c r="AF377" i="43"/>
  <c r="AW377" i="43" s="1"/>
  <c r="Z377" i="43"/>
  <c r="AT377" i="43" s="1"/>
  <c r="V377" i="43"/>
  <c r="AS377" i="43" s="1"/>
  <c r="AZ376" i="43"/>
  <c r="AY376" i="43"/>
  <c r="AF376" i="43"/>
  <c r="AW376" i="43" s="1"/>
  <c r="Z376" i="43"/>
  <c r="AT376" i="43" s="1"/>
  <c r="AZ374" i="43"/>
  <c r="AZ375" i="43" s="1"/>
  <c r="AY374" i="43"/>
  <c r="AY375" i="43" s="1"/>
  <c r="AF374" i="43"/>
  <c r="AW374" i="43" s="1"/>
  <c r="AW375" i="43" s="1"/>
  <c r="Z374" i="43"/>
  <c r="AT374" i="43" s="1"/>
  <c r="AZ372" i="43"/>
  <c r="AY372" i="43"/>
  <c r="AF372" i="43"/>
  <c r="AW372" i="43" s="1"/>
  <c r="Z372" i="43"/>
  <c r="AT372" i="43" s="1"/>
  <c r="V372" i="43"/>
  <c r="AS372" i="43" s="1"/>
  <c r="AZ371" i="43"/>
  <c r="AY371" i="43"/>
  <c r="AF371" i="43"/>
  <c r="AW371" i="43" s="1"/>
  <c r="Z371" i="43"/>
  <c r="AT371" i="43" s="1"/>
  <c r="V371" i="43"/>
  <c r="AS371" i="43" s="1"/>
  <c r="AZ370" i="43"/>
  <c r="AY370" i="43"/>
  <c r="AF370" i="43"/>
  <c r="AW370" i="43" s="1"/>
  <c r="Z370" i="43"/>
  <c r="AT370" i="43" s="1"/>
  <c r="AZ368" i="43"/>
  <c r="AY368" i="43"/>
  <c r="AF368" i="43"/>
  <c r="AW368" i="43" s="1"/>
  <c r="Z368" i="43"/>
  <c r="AT368" i="43" s="1"/>
  <c r="V368" i="43"/>
  <c r="AS368" i="43" s="1"/>
  <c r="AZ367" i="43"/>
  <c r="AY367" i="43"/>
  <c r="AF367" i="43"/>
  <c r="AW367" i="43" s="1"/>
  <c r="Z367" i="43"/>
  <c r="AT367" i="43" s="1"/>
  <c r="V367" i="43"/>
  <c r="AS367" i="43" s="1"/>
  <c r="AZ366" i="43"/>
  <c r="AY366" i="43"/>
  <c r="AF366" i="43"/>
  <c r="AW366" i="43" s="1"/>
  <c r="Z366" i="43"/>
  <c r="AT366" i="43" s="1"/>
  <c r="V366" i="43"/>
  <c r="AS366" i="43" s="1"/>
  <c r="AZ365" i="43"/>
  <c r="AY365" i="43"/>
  <c r="AF365" i="43"/>
  <c r="AW365" i="43" s="1"/>
  <c r="Z365" i="43"/>
  <c r="AT365" i="43" s="1"/>
  <c r="V365" i="43"/>
  <c r="AS365" i="43" s="1"/>
  <c r="AZ364" i="43"/>
  <c r="AY364" i="43"/>
  <c r="AF364" i="43"/>
  <c r="AW364" i="43" s="1"/>
  <c r="Z364" i="43"/>
  <c r="AT364" i="43" s="1"/>
  <c r="V364" i="43"/>
  <c r="AS364" i="43" s="1"/>
  <c r="AZ363" i="43"/>
  <c r="AY363" i="43"/>
  <c r="AF363" i="43"/>
  <c r="AW363" i="43" s="1"/>
  <c r="Z363" i="43"/>
  <c r="AT363" i="43" s="1"/>
  <c r="AZ361" i="43"/>
  <c r="AY361" i="43"/>
  <c r="AF361" i="43"/>
  <c r="AW361" i="43" s="1"/>
  <c r="Z361" i="43"/>
  <c r="AT361" i="43" s="1"/>
  <c r="V361" i="43"/>
  <c r="AS361" i="43" s="1"/>
  <c r="AZ360" i="43"/>
  <c r="AY360" i="43"/>
  <c r="AF360" i="43"/>
  <c r="AW360" i="43" s="1"/>
  <c r="Z360" i="43"/>
  <c r="AT360" i="43" s="1"/>
  <c r="V360" i="43"/>
  <c r="AS360" i="43" s="1"/>
  <c r="AZ359" i="43"/>
  <c r="AY359" i="43"/>
  <c r="AF359" i="43"/>
  <c r="AW359" i="43" s="1"/>
  <c r="Z359" i="43"/>
  <c r="AT359" i="43" s="1"/>
  <c r="V359" i="43"/>
  <c r="AS359" i="43" s="1"/>
  <c r="AZ358" i="43"/>
  <c r="AY358" i="43"/>
  <c r="AF358" i="43"/>
  <c r="AW358" i="43" s="1"/>
  <c r="Z358" i="43"/>
  <c r="AT358" i="43" s="1"/>
  <c r="AZ356" i="43"/>
  <c r="AY356" i="43"/>
  <c r="AF356" i="43"/>
  <c r="AW356" i="43" s="1"/>
  <c r="Z356" i="43"/>
  <c r="AT356" i="43" s="1"/>
  <c r="V356" i="43"/>
  <c r="AS356" i="43" s="1"/>
  <c r="AZ355" i="43"/>
  <c r="AY355" i="43"/>
  <c r="AF355" i="43"/>
  <c r="AW355" i="43" s="1"/>
  <c r="Z355" i="43"/>
  <c r="AT355" i="43" s="1"/>
  <c r="V355" i="43"/>
  <c r="AS355" i="43" s="1"/>
  <c r="AZ354" i="43"/>
  <c r="AY354" i="43"/>
  <c r="AF354" i="43"/>
  <c r="AW354" i="43" s="1"/>
  <c r="Z354" i="43"/>
  <c r="AT354" i="43" s="1"/>
  <c r="V354" i="43"/>
  <c r="AS354" i="43" s="1"/>
  <c r="AZ353" i="43"/>
  <c r="AY353" i="43"/>
  <c r="AF353" i="43"/>
  <c r="AW353" i="43" s="1"/>
  <c r="Z353" i="43"/>
  <c r="AT353" i="43" s="1"/>
  <c r="V353" i="43"/>
  <c r="AS353" i="43" s="1"/>
  <c r="AZ352" i="43"/>
  <c r="AY352" i="43"/>
  <c r="AF352" i="43"/>
  <c r="AW352" i="43" s="1"/>
  <c r="Z352" i="43"/>
  <c r="AT352" i="43" s="1"/>
  <c r="V352" i="43"/>
  <c r="AS352" i="43" s="1"/>
  <c r="AZ351" i="43"/>
  <c r="AY351" i="43"/>
  <c r="AF351" i="43"/>
  <c r="AW351" i="43" s="1"/>
  <c r="Z351" i="43"/>
  <c r="AT351" i="43" s="1"/>
  <c r="AZ349" i="43"/>
  <c r="AY349" i="43"/>
  <c r="AF349" i="43"/>
  <c r="AW349" i="43" s="1"/>
  <c r="Z349" i="43"/>
  <c r="AT349" i="43" s="1"/>
  <c r="V349" i="43"/>
  <c r="AS349" i="43" s="1"/>
  <c r="AZ348" i="43"/>
  <c r="AY348" i="43"/>
  <c r="AF348" i="43"/>
  <c r="AW348" i="43" s="1"/>
  <c r="Z348" i="43"/>
  <c r="AT348" i="43" s="1"/>
  <c r="V348" i="43"/>
  <c r="AS348" i="43" s="1"/>
  <c r="AZ347" i="43"/>
  <c r="AY347" i="43"/>
  <c r="AF347" i="43"/>
  <c r="AW347" i="43" s="1"/>
  <c r="Z347" i="43"/>
  <c r="AT347" i="43" s="1"/>
  <c r="V347" i="43"/>
  <c r="AS347" i="43" s="1"/>
  <c r="AZ346" i="43"/>
  <c r="AY346" i="43"/>
  <c r="AF346" i="43"/>
  <c r="AW346" i="43" s="1"/>
  <c r="Z346" i="43"/>
  <c r="AT346" i="43" s="1"/>
  <c r="V346" i="43"/>
  <c r="AS346" i="43" s="1"/>
  <c r="AZ345" i="43"/>
  <c r="AY345" i="43"/>
  <c r="AF345" i="43"/>
  <c r="AW345" i="43" s="1"/>
  <c r="Z345" i="43"/>
  <c r="AT345" i="43" s="1"/>
  <c r="AZ343" i="43"/>
  <c r="AY343" i="43"/>
  <c r="AF343" i="43"/>
  <c r="AW343" i="43" s="1"/>
  <c r="Z343" i="43"/>
  <c r="AT343" i="43" s="1"/>
  <c r="V343" i="43"/>
  <c r="AS343" i="43" s="1"/>
  <c r="AZ342" i="43"/>
  <c r="AY342" i="43"/>
  <c r="AF342" i="43"/>
  <c r="AW342" i="43" s="1"/>
  <c r="Z342" i="43"/>
  <c r="AT342" i="43" s="1"/>
  <c r="V342" i="43"/>
  <c r="AS342" i="43" s="1"/>
  <c r="AZ341" i="43"/>
  <c r="AY341" i="43"/>
  <c r="AF341" i="43"/>
  <c r="AW341" i="43" s="1"/>
  <c r="Z341" i="43"/>
  <c r="AT341" i="43" s="1"/>
  <c r="V341" i="43"/>
  <c r="AS341" i="43" s="1"/>
  <c r="AZ340" i="43"/>
  <c r="AY340" i="43"/>
  <c r="AF340" i="43"/>
  <c r="AW340" i="43" s="1"/>
  <c r="Z340" i="43"/>
  <c r="AT340" i="43" s="1"/>
  <c r="V340" i="43"/>
  <c r="AS340" i="43" s="1"/>
  <c r="AZ339" i="43"/>
  <c r="AY339" i="43"/>
  <c r="AF339" i="43"/>
  <c r="AW339" i="43" s="1"/>
  <c r="Z339" i="43"/>
  <c r="AT339" i="43" s="1"/>
  <c r="V339" i="43"/>
  <c r="AS339" i="43" s="1"/>
  <c r="AZ338" i="43"/>
  <c r="AY338" i="43"/>
  <c r="AF338" i="43"/>
  <c r="AW338" i="43" s="1"/>
  <c r="Z338" i="43"/>
  <c r="AT338" i="43" s="1"/>
  <c r="V338" i="43"/>
  <c r="AS338" i="43" s="1"/>
  <c r="AZ337" i="43"/>
  <c r="AY337" i="43"/>
  <c r="AF337" i="43"/>
  <c r="AW337" i="43" s="1"/>
  <c r="Z337" i="43"/>
  <c r="AT337" i="43" s="1"/>
  <c r="V337" i="43"/>
  <c r="AS337" i="43" s="1"/>
  <c r="AZ336" i="43"/>
  <c r="AY336" i="43"/>
  <c r="AF336" i="43"/>
  <c r="AW336" i="43" s="1"/>
  <c r="Z336" i="43"/>
  <c r="AT336" i="43" s="1"/>
  <c r="AZ334" i="43"/>
  <c r="AY334" i="43"/>
  <c r="AF334" i="43"/>
  <c r="AW334" i="43" s="1"/>
  <c r="Z334" i="43"/>
  <c r="AT334" i="43" s="1"/>
  <c r="V334" i="43"/>
  <c r="AS334" i="43" s="1"/>
  <c r="AZ333" i="43"/>
  <c r="AY333" i="43"/>
  <c r="AF333" i="43"/>
  <c r="AW333" i="43" s="1"/>
  <c r="Z333" i="43"/>
  <c r="AT333" i="43" s="1"/>
  <c r="AZ331" i="43"/>
  <c r="AY331" i="43"/>
  <c r="AF331" i="43"/>
  <c r="AW331" i="43" s="1"/>
  <c r="Z331" i="43"/>
  <c r="AT331" i="43" s="1"/>
  <c r="V331" i="43"/>
  <c r="AS331" i="43" s="1"/>
  <c r="AZ330" i="43"/>
  <c r="AY330" i="43"/>
  <c r="AF330" i="43"/>
  <c r="AW330" i="43" s="1"/>
  <c r="Z330" i="43"/>
  <c r="AT330" i="43" s="1"/>
  <c r="V330" i="43"/>
  <c r="AS330" i="43" s="1"/>
  <c r="AZ329" i="43"/>
  <c r="AY329" i="43"/>
  <c r="AF329" i="43"/>
  <c r="AW329" i="43" s="1"/>
  <c r="Z329" i="43"/>
  <c r="AT329" i="43" s="1"/>
  <c r="AZ327" i="43"/>
  <c r="AY327" i="43"/>
  <c r="AF327" i="43"/>
  <c r="AW327" i="43" s="1"/>
  <c r="Z327" i="43"/>
  <c r="AT327" i="43" s="1"/>
  <c r="AZ326" i="43"/>
  <c r="AY326" i="43"/>
  <c r="AF326" i="43"/>
  <c r="AW326" i="43" s="1"/>
  <c r="Z326" i="43"/>
  <c r="AT326" i="43" s="1"/>
  <c r="V326" i="43"/>
  <c r="AS326" i="43" s="1"/>
  <c r="AZ325" i="43"/>
  <c r="AY325" i="43"/>
  <c r="AF325" i="43"/>
  <c r="AW325" i="43" s="1"/>
  <c r="Z325" i="43"/>
  <c r="AT325" i="43" s="1"/>
  <c r="V325" i="43"/>
  <c r="AS325" i="43" s="1"/>
  <c r="AZ323" i="43"/>
  <c r="AZ324" i="43" s="1"/>
  <c r="AY323" i="43"/>
  <c r="AY324" i="43" s="1"/>
  <c r="AF323" i="43"/>
  <c r="AW323" i="43" s="1"/>
  <c r="AW324" i="43" s="1"/>
  <c r="Z323" i="43"/>
  <c r="AZ321" i="43"/>
  <c r="AY321" i="43"/>
  <c r="AF321" i="43"/>
  <c r="AW321" i="43" s="1"/>
  <c r="Z321" i="43"/>
  <c r="AT321" i="43" s="1"/>
  <c r="V321" i="43"/>
  <c r="AS321" i="43" s="1"/>
  <c r="AZ320" i="43"/>
  <c r="AY320" i="43"/>
  <c r="AF320" i="43"/>
  <c r="AW320" i="43" s="1"/>
  <c r="Z320" i="43"/>
  <c r="AT320" i="43" s="1"/>
  <c r="V320" i="43"/>
  <c r="AS320" i="43" s="1"/>
  <c r="AZ319" i="43"/>
  <c r="AY319" i="43"/>
  <c r="AF319" i="43"/>
  <c r="AW319" i="43" s="1"/>
  <c r="Z319" i="43"/>
  <c r="AT319" i="43" s="1"/>
  <c r="V319" i="43"/>
  <c r="AS319" i="43" s="1"/>
  <c r="AZ318" i="43"/>
  <c r="AY318" i="43"/>
  <c r="AF318" i="43"/>
  <c r="AW318" i="43" s="1"/>
  <c r="Z318" i="43"/>
  <c r="AT318" i="43" s="1"/>
  <c r="V318" i="43"/>
  <c r="AS318" i="43" s="1"/>
  <c r="AZ317" i="43"/>
  <c r="AY317" i="43"/>
  <c r="AF317" i="43"/>
  <c r="AW317" i="43" s="1"/>
  <c r="Z317" i="43"/>
  <c r="AT317" i="43" s="1"/>
  <c r="AZ315" i="43"/>
  <c r="AY315" i="43"/>
  <c r="AF315" i="43"/>
  <c r="AW315" i="43" s="1"/>
  <c r="Z315" i="43"/>
  <c r="AT315" i="43" s="1"/>
  <c r="V315" i="43"/>
  <c r="AS315" i="43" s="1"/>
  <c r="AZ314" i="43"/>
  <c r="AY314" i="43"/>
  <c r="AF314" i="43"/>
  <c r="AW314" i="43" s="1"/>
  <c r="Z314" i="43"/>
  <c r="AT314" i="43" s="1"/>
  <c r="AZ313" i="43"/>
  <c r="AY313" i="43"/>
  <c r="AF313" i="43"/>
  <c r="AW313" i="43" s="1"/>
  <c r="Z313" i="43"/>
  <c r="AT313" i="43" s="1"/>
  <c r="V313" i="43"/>
  <c r="AS313" i="43" s="1"/>
  <c r="AZ311" i="43"/>
  <c r="AY311" i="43"/>
  <c r="AF311" i="43"/>
  <c r="AW311" i="43" s="1"/>
  <c r="Z311" i="43"/>
  <c r="AT311" i="43" s="1"/>
  <c r="V311" i="43"/>
  <c r="AS311" i="43" s="1"/>
  <c r="AZ310" i="43"/>
  <c r="AY310" i="43"/>
  <c r="AF310" i="43"/>
  <c r="AW310" i="43" s="1"/>
  <c r="Z310" i="43"/>
  <c r="AT310" i="43" s="1"/>
  <c r="V310" i="43"/>
  <c r="AS310" i="43" s="1"/>
  <c r="AZ309" i="43"/>
  <c r="AY309" i="43"/>
  <c r="AF309" i="43"/>
  <c r="AW309" i="43" s="1"/>
  <c r="Z309" i="43"/>
  <c r="AT309" i="43" s="1"/>
  <c r="V309" i="43"/>
  <c r="AS309" i="43" s="1"/>
  <c r="AZ308" i="43"/>
  <c r="AY308" i="43"/>
  <c r="AF308" i="43"/>
  <c r="AW308" i="43" s="1"/>
  <c r="Z308" i="43"/>
  <c r="AT308" i="43" s="1"/>
  <c r="V308" i="43"/>
  <c r="AS308" i="43" s="1"/>
  <c r="AZ307" i="43"/>
  <c r="AY307" i="43"/>
  <c r="AF307" i="43"/>
  <c r="AW307" i="43" s="1"/>
  <c r="Z307" i="43"/>
  <c r="AT307" i="43" s="1"/>
  <c r="V307" i="43"/>
  <c r="AS307" i="43" s="1"/>
  <c r="AZ306" i="43"/>
  <c r="AY306" i="43"/>
  <c r="AF306" i="43"/>
  <c r="AW306" i="43" s="1"/>
  <c r="Z306" i="43"/>
  <c r="AT306" i="43" s="1"/>
  <c r="AZ304" i="43"/>
  <c r="AY304" i="43"/>
  <c r="AF304" i="43"/>
  <c r="AW304" i="43" s="1"/>
  <c r="Z304" i="43"/>
  <c r="AT304" i="43" s="1"/>
  <c r="V304" i="43"/>
  <c r="AS304" i="43" s="1"/>
  <c r="AZ303" i="43"/>
  <c r="AY303" i="43"/>
  <c r="AF303" i="43"/>
  <c r="AW303" i="43" s="1"/>
  <c r="Z303" i="43"/>
  <c r="AT303" i="43" s="1"/>
  <c r="V303" i="43"/>
  <c r="AS303" i="43" s="1"/>
  <c r="AZ302" i="43"/>
  <c r="AY302" i="43"/>
  <c r="AF302" i="43"/>
  <c r="AW302" i="43" s="1"/>
  <c r="Z302" i="43"/>
  <c r="AT302" i="43" s="1"/>
  <c r="V302" i="43"/>
  <c r="AS302" i="43" s="1"/>
  <c r="AZ301" i="43"/>
  <c r="AY301" i="43"/>
  <c r="AF301" i="43"/>
  <c r="AW301" i="43" s="1"/>
  <c r="Z301" i="43"/>
  <c r="AT301" i="43" s="1"/>
  <c r="V301" i="43"/>
  <c r="AS301" i="43" s="1"/>
  <c r="AZ300" i="43"/>
  <c r="AY300" i="43"/>
  <c r="AF300" i="43"/>
  <c r="AW300" i="43" s="1"/>
  <c r="Z300" i="43"/>
  <c r="AT300" i="43" s="1"/>
  <c r="V300" i="43"/>
  <c r="AS300" i="43" s="1"/>
  <c r="AZ299" i="43"/>
  <c r="AY299" i="43"/>
  <c r="AF299" i="43"/>
  <c r="AW299" i="43" s="1"/>
  <c r="Z299" i="43"/>
  <c r="AT299" i="43" s="1"/>
  <c r="AZ297" i="43"/>
  <c r="AZ298" i="43" s="1"/>
  <c r="AY297" i="43"/>
  <c r="AY298" i="43" s="1"/>
  <c r="AF297" i="43"/>
  <c r="AW297" i="43" s="1"/>
  <c r="AW298" i="43" s="1"/>
  <c r="Z297" i="43"/>
  <c r="AZ295" i="43"/>
  <c r="AY295" i="43"/>
  <c r="AF295" i="43"/>
  <c r="AW295" i="43" s="1"/>
  <c r="Z295" i="43"/>
  <c r="AT295" i="43" s="1"/>
  <c r="V295" i="43"/>
  <c r="AS295" i="43" s="1"/>
  <c r="AZ294" i="43"/>
  <c r="AY294" i="43"/>
  <c r="AF294" i="43"/>
  <c r="AW294" i="43" s="1"/>
  <c r="Z294" i="43"/>
  <c r="AT294" i="43" s="1"/>
  <c r="V294" i="43"/>
  <c r="AS294" i="43" s="1"/>
  <c r="AZ293" i="43"/>
  <c r="AY293" i="43"/>
  <c r="AF293" i="43"/>
  <c r="AW293" i="43" s="1"/>
  <c r="Z293" i="43"/>
  <c r="AT293" i="43" s="1"/>
  <c r="V293" i="43"/>
  <c r="AS293" i="43" s="1"/>
  <c r="AZ292" i="43"/>
  <c r="AY292" i="43"/>
  <c r="AF292" i="43"/>
  <c r="AW292" i="43" s="1"/>
  <c r="Z292" i="43"/>
  <c r="AT292" i="43" s="1"/>
  <c r="V292" i="43"/>
  <c r="AS292" i="43" s="1"/>
  <c r="AZ291" i="43"/>
  <c r="AY291" i="43"/>
  <c r="AF291" i="43"/>
  <c r="AW291" i="43" s="1"/>
  <c r="Z291" i="43"/>
  <c r="AT291" i="43" s="1"/>
  <c r="V291" i="43"/>
  <c r="AS291" i="43" s="1"/>
  <c r="AZ290" i="43"/>
  <c r="AY290" i="43"/>
  <c r="AF290" i="43"/>
  <c r="AW290" i="43" s="1"/>
  <c r="Z290" i="43"/>
  <c r="AT290" i="43" s="1"/>
  <c r="V290" i="43"/>
  <c r="AS290" i="43" s="1"/>
  <c r="AZ289" i="43"/>
  <c r="AY289" i="43"/>
  <c r="AF289" i="43"/>
  <c r="AW289" i="43" s="1"/>
  <c r="Z289" i="43"/>
  <c r="AT289" i="43" s="1"/>
  <c r="AZ287" i="43"/>
  <c r="AY287" i="43"/>
  <c r="AF287" i="43"/>
  <c r="AW287" i="43" s="1"/>
  <c r="Z287" i="43"/>
  <c r="AT287" i="43" s="1"/>
  <c r="V287" i="43"/>
  <c r="AS287" i="43" s="1"/>
  <c r="AZ286" i="43"/>
  <c r="AY286" i="43"/>
  <c r="AF286" i="43"/>
  <c r="AW286" i="43" s="1"/>
  <c r="Z286" i="43"/>
  <c r="AT286" i="43" s="1"/>
  <c r="V286" i="43"/>
  <c r="AS286" i="43" s="1"/>
  <c r="AZ285" i="43"/>
  <c r="AY285" i="43"/>
  <c r="AF285" i="43"/>
  <c r="AW285" i="43" s="1"/>
  <c r="Z285" i="43"/>
  <c r="AT285" i="43" s="1"/>
  <c r="V285" i="43"/>
  <c r="AS285" i="43" s="1"/>
  <c r="AZ284" i="43"/>
  <c r="AY284" i="43"/>
  <c r="AF284" i="43"/>
  <c r="AW284" i="43" s="1"/>
  <c r="Z284" i="43"/>
  <c r="AT284" i="43" s="1"/>
  <c r="V284" i="43"/>
  <c r="AS284" i="43" s="1"/>
  <c r="AZ282" i="43"/>
  <c r="AY282" i="43"/>
  <c r="AF282" i="43"/>
  <c r="AW282" i="43" s="1"/>
  <c r="Z282" i="43"/>
  <c r="AT282" i="43" s="1"/>
  <c r="V282" i="43"/>
  <c r="AS282" i="43" s="1"/>
  <c r="AZ281" i="43"/>
  <c r="AY281" i="43"/>
  <c r="AF281" i="43"/>
  <c r="AW281" i="43" s="1"/>
  <c r="Z281" i="43"/>
  <c r="AT281" i="43" s="1"/>
  <c r="V281" i="43"/>
  <c r="AS281" i="43" s="1"/>
  <c r="AZ280" i="43"/>
  <c r="AY280" i="43"/>
  <c r="AF280" i="43"/>
  <c r="AW280" i="43" s="1"/>
  <c r="Z280" i="43"/>
  <c r="AT280" i="43" s="1"/>
  <c r="V280" i="43"/>
  <c r="AS280" i="43" s="1"/>
  <c r="AZ279" i="43"/>
  <c r="AY279" i="43"/>
  <c r="AF279" i="43"/>
  <c r="AW279" i="43" s="1"/>
  <c r="Z279" i="43"/>
  <c r="AT279" i="43" s="1"/>
  <c r="V279" i="43"/>
  <c r="AS279" i="43" s="1"/>
  <c r="AZ278" i="43"/>
  <c r="AY278" i="43"/>
  <c r="AF278" i="43"/>
  <c r="AW278" i="43" s="1"/>
  <c r="Z278" i="43"/>
  <c r="AT278" i="43" s="1"/>
  <c r="V278" i="43"/>
  <c r="AS278" i="43" s="1"/>
  <c r="AZ277" i="43"/>
  <c r="AY277" i="43"/>
  <c r="AF277" i="43"/>
  <c r="AW277" i="43" s="1"/>
  <c r="Z277" i="43"/>
  <c r="AT277" i="43" s="1"/>
  <c r="AZ275" i="43"/>
  <c r="AY275" i="43"/>
  <c r="AF275" i="43"/>
  <c r="AW275" i="43" s="1"/>
  <c r="Z275" i="43"/>
  <c r="AT275" i="43" s="1"/>
  <c r="V275" i="43"/>
  <c r="AS275" i="43" s="1"/>
  <c r="AZ274" i="43"/>
  <c r="AY274" i="43"/>
  <c r="AF274" i="43"/>
  <c r="AW274" i="43" s="1"/>
  <c r="Z274" i="43"/>
  <c r="AT274" i="43" s="1"/>
  <c r="V274" i="43"/>
  <c r="AS274" i="43" s="1"/>
  <c r="AZ273" i="43"/>
  <c r="AY273" i="43"/>
  <c r="AF273" i="43"/>
  <c r="AW273" i="43" s="1"/>
  <c r="Z273" i="43"/>
  <c r="AT273" i="43" s="1"/>
  <c r="V273" i="43"/>
  <c r="AS273" i="43" s="1"/>
  <c r="AZ271" i="43"/>
  <c r="AY271" i="43"/>
  <c r="AF271" i="43"/>
  <c r="AW271" i="43" s="1"/>
  <c r="Z271" i="43"/>
  <c r="AT271" i="43" s="1"/>
  <c r="V271" i="43"/>
  <c r="AS271" i="43" s="1"/>
  <c r="AZ270" i="43"/>
  <c r="AY270" i="43"/>
  <c r="AF270" i="43"/>
  <c r="AW270" i="43" s="1"/>
  <c r="Z270" i="43"/>
  <c r="AT270" i="43" s="1"/>
  <c r="V270" i="43"/>
  <c r="AS270" i="43" s="1"/>
  <c r="AZ269" i="43"/>
  <c r="AY269" i="43"/>
  <c r="AF269" i="43"/>
  <c r="AW269" i="43" s="1"/>
  <c r="Z269" i="43"/>
  <c r="AT269" i="43" s="1"/>
  <c r="V269" i="43"/>
  <c r="AS269" i="43" s="1"/>
  <c r="AZ268" i="43"/>
  <c r="AY268" i="43"/>
  <c r="AF268" i="43"/>
  <c r="AW268" i="43" s="1"/>
  <c r="Z268" i="43"/>
  <c r="AT268" i="43" s="1"/>
  <c r="V268" i="43"/>
  <c r="AS268" i="43" s="1"/>
  <c r="AZ267" i="43"/>
  <c r="AY267" i="43"/>
  <c r="AF267" i="43"/>
  <c r="AW267" i="43" s="1"/>
  <c r="Z267" i="43"/>
  <c r="AT267" i="43" s="1"/>
  <c r="AZ265" i="43"/>
  <c r="AY265" i="43"/>
  <c r="AF265" i="43"/>
  <c r="AW265" i="43" s="1"/>
  <c r="Z265" i="43"/>
  <c r="AT265" i="43" s="1"/>
  <c r="V265" i="43"/>
  <c r="AS265" i="43" s="1"/>
  <c r="AZ264" i="43"/>
  <c r="AY264" i="43"/>
  <c r="AF264" i="43"/>
  <c r="AW264" i="43" s="1"/>
  <c r="Z264" i="43"/>
  <c r="AT264" i="43" s="1"/>
  <c r="V264" i="43"/>
  <c r="AS264" i="43" s="1"/>
  <c r="AZ263" i="43"/>
  <c r="AY263" i="43"/>
  <c r="AF263" i="43"/>
  <c r="AW263" i="43" s="1"/>
  <c r="Z263" i="43"/>
  <c r="AT263" i="43" s="1"/>
  <c r="AZ261" i="43"/>
  <c r="AY261" i="43"/>
  <c r="AF261" i="43"/>
  <c r="AW261" i="43" s="1"/>
  <c r="Z261" i="43"/>
  <c r="AT261" i="43" s="1"/>
  <c r="V261" i="43"/>
  <c r="AS261" i="43" s="1"/>
  <c r="AZ260" i="43"/>
  <c r="AY260" i="43"/>
  <c r="AF260" i="43"/>
  <c r="AW260" i="43" s="1"/>
  <c r="Z260" i="43"/>
  <c r="AT260" i="43" s="1"/>
  <c r="V260" i="43"/>
  <c r="AS260" i="43" s="1"/>
  <c r="AZ259" i="43"/>
  <c r="AY259" i="43"/>
  <c r="AF259" i="43"/>
  <c r="AW259" i="43" s="1"/>
  <c r="Z259" i="43"/>
  <c r="AT259" i="43" s="1"/>
  <c r="AZ257" i="43"/>
  <c r="AZ258" i="43" s="1"/>
  <c r="AY257" i="43"/>
  <c r="AY258" i="43" s="1"/>
  <c r="AF257" i="43"/>
  <c r="AW257" i="43" s="1"/>
  <c r="AW258" i="43" s="1"/>
  <c r="Z257" i="43"/>
  <c r="AZ255" i="43"/>
  <c r="AY255" i="43"/>
  <c r="AF255" i="43"/>
  <c r="AW255" i="43" s="1"/>
  <c r="Z255" i="43"/>
  <c r="AT255" i="43" s="1"/>
  <c r="V255" i="43"/>
  <c r="AS255" i="43" s="1"/>
  <c r="AZ254" i="43"/>
  <c r="AY254" i="43"/>
  <c r="AF254" i="43"/>
  <c r="AW254" i="43" s="1"/>
  <c r="Z254" i="43"/>
  <c r="AT254" i="43" s="1"/>
  <c r="V254" i="43"/>
  <c r="AS254" i="43" s="1"/>
  <c r="AZ253" i="43"/>
  <c r="AY253" i="43"/>
  <c r="AF253" i="43"/>
  <c r="AW253" i="43" s="1"/>
  <c r="Z253" i="43"/>
  <c r="AT253" i="43" s="1"/>
  <c r="V253" i="43"/>
  <c r="AS253" i="43" s="1"/>
  <c r="AZ252" i="43"/>
  <c r="AY252" i="43"/>
  <c r="AF252" i="43"/>
  <c r="AW252" i="43" s="1"/>
  <c r="Z252" i="43"/>
  <c r="AT252" i="43" s="1"/>
  <c r="V252" i="43"/>
  <c r="AS252" i="43" s="1"/>
  <c r="AZ251" i="43"/>
  <c r="AY251" i="43"/>
  <c r="AF251" i="43"/>
  <c r="AW251" i="43" s="1"/>
  <c r="Z251" i="43"/>
  <c r="AT251" i="43" s="1"/>
  <c r="V251" i="43"/>
  <c r="AS251" i="43" s="1"/>
  <c r="AZ250" i="43"/>
  <c r="AY250" i="43"/>
  <c r="AF250" i="43"/>
  <c r="AW250" i="43" s="1"/>
  <c r="Z250" i="43"/>
  <c r="AT250" i="43" s="1"/>
  <c r="AZ248" i="43"/>
  <c r="AY248" i="43"/>
  <c r="AF248" i="43"/>
  <c r="AW248" i="43" s="1"/>
  <c r="Z248" i="43"/>
  <c r="AT248" i="43" s="1"/>
  <c r="V248" i="43"/>
  <c r="AS248" i="43" s="1"/>
  <c r="AZ247" i="43"/>
  <c r="AY247" i="43"/>
  <c r="AF247" i="43"/>
  <c r="AW247" i="43" s="1"/>
  <c r="Z247" i="43"/>
  <c r="AT247" i="43" s="1"/>
  <c r="V247" i="43"/>
  <c r="AS247" i="43" s="1"/>
  <c r="AZ246" i="43"/>
  <c r="AY246" i="43"/>
  <c r="AF246" i="43"/>
  <c r="AW246" i="43" s="1"/>
  <c r="Z246" i="43"/>
  <c r="AT246" i="43" s="1"/>
  <c r="V246" i="43"/>
  <c r="AS246" i="43" s="1"/>
  <c r="AZ245" i="43"/>
  <c r="AY245" i="43"/>
  <c r="AF245" i="43"/>
  <c r="AW245" i="43" s="1"/>
  <c r="Z245" i="43"/>
  <c r="AT245" i="43" s="1"/>
  <c r="V245" i="43"/>
  <c r="AS245" i="43" s="1"/>
  <c r="AZ244" i="43"/>
  <c r="AY244" i="43"/>
  <c r="AF244" i="43"/>
  <c r="AW244" i="43" s="1"/>
  <c r="Z244" i="43"/>
  <c r="AT244" i="43" s="1"/>
  <c r="AZ242" i="43"/>
  <c r="AY242" i="43"/>
  <c r="AF242" i="43"/>
  <c r="AW242" i="43" s="1"/>
  <c r="Z242" i="43"/>
  <c r="AT242" i="43" s="1"/>
  <c r="V242" i="43"/>
  <c r="AS242" i="43" s="1"/>
  <c r="AZ241" i="43"/>
  <c r="AY241" i="43"/>
  <c r="AF241" i="43"/>
  <c r="AW241" i="43" s="1"/>
  <c r="Z241" i="43"/>
  <c r="AT241" i="43" s="1"/>
  <c r="V241" i="43"/>
  <c r="AS241" i="43" s="1"/>
  <c r="AZ240" i="43"/>
  <c r="AY240" i="43"/>
  <c r="AF240" i="43"/>
  <c r="AW240" i="43" s="1"/>
  <c r="Z240" i="43"/>
  <c r="AT240" i="43" s="1"/>
  <c r="V240" i="43"/>
  <c r="AS240" i="43" s="1"/>
  <c r="AZ239" i="43"/>
  <c r="AY239" i="43"/>
  <c r="AF239" i="43"/>
  <c r="AW239" i="43" s="1"/>
  <c r="Z239" i="43"/>
  <c r="AT239" i="43" s="1"/>
  <c r="V239" i="43"/>
  <c r="AS239" i="43" s="1"/>
  <c r="AZ238" i="43"/>
  <c r="AY238" i="43"/>
  <c r="AF238" i="43"/>
  <c r="AW238" i="43" s="1"/>
  <c r="Z238" i="43"/>
  <c r="AT238" i="43" s="1"/>
  <c r="AZ236" i="43"/>
  <c r="AY236" i="43"/>
  <c r="AF236" i="43"/>
  <c r="AW236" i="43" s="1"/>
  <c r="Z236" i="43"/>
  <c r="AT236" i="43" s="1"/>
  <c r="V236" i="43"/>
  <c r="AS236" i="43" s="1"/>
  <c r="AZ235" i="43"/>
  <c r="AY235" i="43"/>
  <c r="AF235" i="43"/>
  <c r="AW235" i="43" s="1"/>
  <c r="Z235" i="43"/>
  <c r="AT235" i="43" s="1"/>
  <c r="V235" i="43"/>
  <c r="AS235" i="43" s="1"/>
  <c r="AZ234" i="43"/>
  <c r="AY234" i="43"/>
  <c r="AF234" i="43"/>
  <c r="AW234" i="43" s="1"/>
  <c r="Z234" i="43"/>
  <c r="AT234" i="43" s="1"/>
  <c r="V234" i="43"/>
  <c r="AS234" i="43" s="1"/>
  <c r="AZ233" i="43"/>
  <c r="AY233" i="43"/>
  <c r="AF233" i="43"/>
  <c r="AW233" i="43" s="1"/>
  <c r="Z233" i="43"/>
  <c r="AT233" i="43" s="1"/>
  <c r="V233" i="43"/>
  <c r="AS233" i="43" s="1"/>
  <c r="AZ232" i="43"/>
  <c r="AY232" i="43"/>
  <c r="AF232" i="43"/>
  <c r="AW232" i="43" s="1"/>
  <c r="Z232" i="43"/>
  <c r="AT232" i="43" s="1"/>
  <c r="AZ230" i="43"/>
  <c r="AY230" i="43"/>
  <c r="AF230" i="43"/>
  <c r="AW230" i="43" s="1"/>
  <c r="Z230" i="43"/>
  <c r="AT230" i="43" s="1"/>
  <c r="V230" i="43"/>
  <c r="AS230" i="43" s="1"/>
  <c r="AZ229" i="43"/>
  <c r="AY229" i="43"/>
  <c r="AF229" i="43"/>
  <c r="AW229" i="43" s="1"/>
  <c r="Z229" i="43"/>
  <c r="AT229" i="43" s="1"/>
  <c r="V229" i="43"/>
  <c r="AS229" i="43" s="1"/>
  <c r="AZ228" i="43"/>
  <c r="AY228" i="43"/>
  <c r="AF228" i="43"/>
  <c r="AW228" i="43" s="1"/>
  <c r="Z228" i="43"/>
  <c r="AT228" i="43" s="1"/>
  <c r="V228" i="43"/>
  <c r="AS228" i="43" s="1"/>
  <c r="AZ227" i="43"/>
  <c r="AY227" i="43"/>
  <c r="AF227" i="43"/>
  <c r="AW227" i="43" s="1"/>
  <c r="Z227" i="43"/>
  <c r="AT227" i="43" s="1"/>
  <c r="V227" i="43"/>
  <c r="AS227" i="43" s="1"/>
  <c r="AZ226" i="43"/>
  <c r="AY226" i="43"/>
  <c r="AF226" i="43"/>
  <c r="AW226" i="43" s="1"/>
  <c r="Z226" i="43"/>
  <c r="AT226" i="43" s="1"/>
  <c r="AZ224" i="43"/>
  <c r="AY224" i="43"/>
  <c r="AF224" i="43"/>
  <c r="AW224" i="43" s="1"/>
  <c r="Z224" i="43"/>
  <c r="AT224" i="43" s="1"/>
  <c r="V224" i="43"/>
  <c r="AS224" i="43" s="1"/>
  <c r="AZ223" i="43"/>
  <c r="AY223" i="43"/>
  <c r="AF223" i="43"/>
  <c r="AW223" i="43" s="1"/>
  <c r="Z223" i="43"/>
  <c r="AT223" i="43" s="1"/>
  <c r="V223" i="43"/>
  <c r="AS223" i="43" s="1"/>
  <c r="AZ222" i="43"/>
  <c r="AY222" i="43"/>
  <c r="AF222" i="43"/>
  <c r="AW222" i="43" s="1"/>
  <c r="Z222" i="43"/>
  <c r="AT222" i="43" s="1"/>
  <c r="V222" i="43"/>
  <c r="AS222" i="43" s="1"/>
  <c r="AZ221" i="43"/>
  <c r="AY221" i="43"/>
  <c r="AF221" i="43"/>
  <c r="AW221" i="43" s="1"/>
  <c r="Z221" i="43"/>
  <c r="AT221" i="43" s="1"/>
  <c r="V221" i="43"/>
  <c r="AS221" i="43" s="1"/>
  <c r="AZ220" i="43"/>
  <c r="AY220" i="43"/>
  <c r="AF220" i="43"/>
  <c r="AW220" i="43" s="1"/>
  <c r="Z220" i="43"/>
  <c r="AT220" i="43" s="1"/>
  <c r="AZ218" i="43"/>
  <c r="AY218" i="43"/>
  <c r="AF218" i="43"/>
  <c r="AW218" i="43" s="1"/>
  <c r="Z218" i="43"/>
  <c r="AT218" i="43" s="1"/>
  <c r="V218" i="43"/>
  <c r="AS218" i="43" s="1"/>
  <c r="AZ217" i="43"/>
  <c r="AY217" i="43"/>
  <c r="AF217" i="43"/>
  <c r="AW217" i="43" s="1"/>
  <c r="Z217" i="43"/>
  <c r="AT217" i="43" s="1"/>
  <c r="V217" i="43"/>
  <c r="AS217" i="43" s="1"/>
  <c r="AZ216" i="43"/>
  <c r="AY216" i="43"/>
  <c r="AF216" i="43"/>
  <c r="AW216" i="43" s="1"/>
  <c r="Z216" i="43"/>
  <c r="AT216" i="43" s="1"/>
  <c r="V216" i="43"/>
  <c r="AS216" i="43" s="1"/>
  <c r="AZ215" i="43"/>
  <c r="AY215" i="43"/>
  <c r="AF215" i="43"/>
  <c r="AW215" i="43" s="1"/>
  <c r="Z215" i="43"/>
  <c r="AT215" i="43" s="1"/>
  <c r="V215" i="43"/>
  <c r="AS215" i="43" s="1"/>
  <c r="AZ214" i="43"/>
  <c r="AY214" i="43"/>
  <c r="AF214" i="43"/>
  <c r="AW214" i="43" s="1"/>
  <c r="Z214" i="43"/>
  <c r="AT214" i="43" s="1"/>
  <c r="AZ212" i="43"/>
  <c r="AY212" i="43"/>
  <c r="AF212" i="43"/>
  <c r="AW212" i="43" s="1"/>
  <c r="Z212" i="43"/>
  <c r="AT212" i="43" s="1"/>
  <c r="V212" i="43"/>
  <c r="AS212" i="43" s="1"/>
  <c r="AZ211" i="43"/>
  <c r="AY211" i="43"/>
  <c r="AF211" i="43"/>
  <c r="AW211" i="43" s="1"/>
  <c r="Z211" i="43"/>
  <c r="AT211" i="43" s="1"/>
  <c r="V211" i="43"/>
  <c r="AS211" i="43" s="1"/>
  <c r="AZ210" i="43"/>
  <c r="AY210" i="43"/>
  <c r="AF210" i="43"/>
  <c r="AW210" i="43" s="1"/>
  <c r="Z210" i="43"/>
  <c r="AT210" i="43" s="1"/>
  <c r="V210" i="43"/>
  <c r="AS210" i="43" s="1"/>
  <c r="AZ209" i="43"/>
  <c r="AY209" i="43"/>
  <c r="AF209" i="43"/>
  <c r="AW209" i="43" s="1"/>
  <c r="Z209" i="43"/>
  <c r="AT209" i="43" s="1"/>
  <c r="V209" i="43"/>
  <c r="AS209" i="43" s="1"/>
  <c r="AF208" i="43"/>
  <c r="AW208" i="43" s="1"/>
  <c r="Z208" i="43"/>
  <c r="AT208" i="43" s="1"/>
  <c r="V208" i="43"/>
  <c r="AS208" i="43" s="1"/>
  <c r="AZ207" i="43"/>
  <c r="AY207" i="43"/>
  <c r="AF207" i="43"/>
  <c r="AW207" i="43" s="1"/>
  <c r="Z207" i="43"/>
  <c r="AT207" i="43" s="1"/>
  <c r="AZ205" i="43"/>
  <c r="AY205" i="43"/>
  <c r="AF205" i="43"/>
  <c r="AW205" i="43" s="1"/>
  <c r="Z205" i="43"/>
  <c r="AT205" i="43" s="1"/>
  <c r="V205" i="43"/>
  <c r="AS205" i="43" s="1"/>
  <c r="AZ204" i="43"/>
  <c r="AY204" i="43"/>
  <c r="AF204" i="43"/>
  <c r="AW204" i="43" s="1"/>
  <c r="Z204" i="43"/>
  <c r="AT204" i="43" s="1"/>
  <c r="V204" i="43"/>
  <c r="AS204" i="43" s="1"/>
  <c r="AZ203" i="43"/>
  <c r="AY203" i="43"/>
  <c r="AF203" i="43"/>
  <c r="AW203" i="43" s="1"/>
  <c r="Z203" i="43"/>
  <c r="AT203" i="43" s="1"/>
  <c r="V203" i="43"/>
  <c r="AS203" i="43" s="1"/>
  <c r="AF202" i="43"/>
  <c r="AW202" i="43" s="1"/>
  <c r="Z202" i="43"/>
  <c r="AT202" i="43" s="1"/>
  <c r="V202" i="43"/>
  <c r="AS202" i="43" s="1"/>
  <c r="AZ201" i="43"/>
  <c r="AY201" i="43"/>
  <c r="AF201" i="43"/>
  <c r="AW201" i="43" s="1"/>
  <c r="Z201" i="43"/>
  <c r="AT201" i="43" s="1"/>
  <c r="AZ199" i="43"/>
  <c r="AY199" i="43"/>
  <c r="AF199" i="43"/>
  <c r="AW199" i="43" s="1"/>
  <c r="Z199" i="43"/>
  <c r="AT199" i="43" s="1"/>
  <c r="V199" i="43"/>
  <c r="AS199" i="43" s="1"/>
  <c r="AZ198" i="43"/>
  <c r="AY198" i="43"/>
  <c r="AF198" i="43"/>
  <c r="AW198" i="43" s="1"/>
  <c r="Z198" i="43"/>
  <c r="AT198" i="43" s="1"/>
  <c r="V198" i="43"/>
  <c r="AS198" i="43" s="1"/>
  <c r="AZ197" i="43"/>
  <c r="AY197" i="43"/>
  <c r="AF197" i="43"/>
  <c r="AW197" i="43" s="1"/>
  <c r="Z197" i="43"/>
  <c r="AT197" i="43" s="1"/>
  <c r="V197" i="43"/>
  <c r="AS197" i="43" s="1"/>
  <c r="AF196" i="43"/>
  <c r="AW196" i="43" s="1"/>
  <c r="Z196" i="43"/>
  <c r="AT196" i="43" s="1"/>
  <c r="V196" i="43"/>
  <c r="AS196" i="43" s="1"/>
  <c r="AZ195" i="43"/>
  <c r="AY195" i="43"/>
  <c r="AF195" i="43"/>
  <c r="AW195" i="43" s="1"/>
  <c r="Z195" i="43"/>
  <c r="AT195" i="43" s="1"/>
  <c r="AZ193" i="43"/>
  <c r="AY193" i="43"/>
  <c r="AF193" i="43"/>
  <c r="AW193" i="43" s="1"/>
  <c r="Z193" i="43"/>
  <c r="AT193" i="43" s="1"/>
  <c r="V193" i="43"/>
  <c r="AS193" i="43" s="1"/>
  <c r="AZ192" i="43"/>
  <c r="AY192" i="43"/>
  <c r="AF192" i="43"/>
  <c r="AW192" i="43" s="1"/>
  <c r="Z192" i="43"/>
  <c r="AT192" i="43" s="1"/>
  <c r="V192" i="43"/>
  <c r="AS192" i="43" s="1"/>
  <c r="AZ191" i="43"/>
  <c r="AY191" i="43"/>
  <c r="AF191" i="43"/>
  <c r="AW191" i="43" s="1"/>
  <c r="Z191" i="43"/>
  <c r="AT191" i="43" s="1"/>
  <c r="V191" i="43"/>
  <c r="AS191" i="43" s="1"/>
  <c r="AZ190" i="43"/>
  <c r="AY190" i="43"/>
  <c r="AF190" i="43"/>
  <c r="AW190" i="43" s="1"/>
  <c r="Z190" i="43"/>
  <c r="AT190" i="43" s="1"/>
  <c r="V190" i="43"/>
  <c r="AS190" i="43" s="1"/>
  <c r="AZ189" i="43"/>
  <c r="AY189" i="43"/>
  <c r="AF189" i="43"/>
  <c r="AW189" i="43" s="1"/>
  <c r="Z189" i="43"/>
  <c r="AT189" i="43" s="1"/>
  <c r="V189" i="43"/>
  <c r="AS189" i="43" s="1"/>
  <c r="AZ188" i="43"/>
  <c r="AY188" i="43"/>
  <c r="AF188" i="43"/>
  <c r="AW188" i="43" s="1"/>
  <c r="Z188" i="43"/>
  <c r="AT188" i="43" s="1"/>
  <c r="V188" i="43"/>
  <c r="AS188" i="43" s="1"/>
  <c r="AZ186" i="43"/>
  <c r="AY186" i="43"/>
  <c r="AF186" i="43"/>
  <c r="AW186" i="43" s="1"/>
  <c r="Z186" i="43"/>
  <c r="AT186" i="43" s="1"/>
  <c r="V186" i="43"/>
  <c r="AS186" i="43" s="1"/>
  <c r="AZ185" i="43"/>
  <c r="AY185" i="43"/>
  <c r="AF185" i="43"/>
  <c r="AW185" i="43" s="1"/>
  <c r="Z185" i="43"/>
  <c r="AT185" i="43" s="1"/>
  <c r="V185" i="43"/>
  <c r="AS185" i="43" s="1"/>
  <c r="AZ184" i="43"/>
  <c r="AY184" i="43"/>
  <c r="AF184" i="43"/>
  <c r="AW184" i="43" s="1"/>
  <c r="Z184" i="43"/>
  <c r="AT184" i="43" s="1"/>
  <c r="V184" i="43"/>
  <c r="AS184" i="43" s="1"/>
  <c r="AZ183" i="43"/>
  <c r="AY183" i="43"/>
  <c r="AF183" i="43"/>
  <c r="AW183" i="43" s="1"/>
  <c r="Z183" i="43"/>
  <c r="AT183" i="43" s="1"/>
  <c r="V183" i="43"/>
  <c r="AS183" i="43" s="1"/>
  <c r="AZ182" i="43"/>
  <c r="AY182" i="43"/>
  <c r="AF182" i="43"/>
  <c r="AW182" i="43" s="1"/>
  <c r="Z182" i="43"/>
  <c r="AT182" i="43" s="1"/>
  <c r="V182" i="43"/>
  <c r="AS182" i="43" s="1"/>
  <c r="AZ181" i="43"/>
  <c r="AY181" i="43"/>
  <c r="AF181" i="43"/>
  <c r="AW181" i="43" s="1"/>
  <c r="Z181" i="43"/>
  <c r="AT181" i="43" s="1"/>
  <c r="AZ179" i="43"/>
  <c r="AY179" i="43"/>
  <c r="AF179" i="43"/>
  <c r="AW179" i="43" s="1"/>
  <c r="Z179" i="43"/>
  <c r="AT179" i="43" s="1"/>
  <c r="V179" i="43"/>
  <c r="AS179" i="43" s="1"/>
  <c r="AZ178" i="43"/>
  <c r="AY178" i="43"/>
  <c r="AF178" i="43"/>
  <c r="AW178" i="43" s="1"/>
  <c r="Z178" i="43"/>
  <c r="AT178" i="43" s="1"/>
  <c r="V178" i="43"/>
  <c r="AS178" i="43" s="1"/>
  <c r="AZ177" i="43"/>
  <c r="AY177" i="43"/>
  <c r="AF177" i="43"/>
  <c r="AW177" i="43" s="1"/>
  <c r="Z177" i="43"/>
  <c r="AT177" i="43" s="1"/>
  <c r="V177" i="43"/>
  <c r="AS177" i="43" s="1"/>
  <c r="AZ176" i="43"/>
  <c r="AY176" i="43"/>
  <c r="AF176" i="43"/>
  <c r="AW176" i="43" s="1"/>
  <c r="Z176" i="43"/>
  <c r="AT176" i="43" s="1"/>
  <c r="V176" i="43"/>
  <c r="AS176" i="43" s="1"/>
  <c r="AZ175" i="43"/>
  <c r="AY175" i="43"/>
  <c r="AF175" i="43"/>
  <c r="AW175" i="43" s="1"/>
  <c r="Z175" i="43"/>
  <c r="AT175" i="43" s="1"/>
  <c r="AZ173" i="43"/>
  <c r="AY173" i="43"/>
  <c r="AF173" i="43"/>
  <c r="AW173" i="43" s="1"/>
  <c r="Z173" i="43"/>
  <c r="AT173" i="43" s="1"/>
  <c r="V173" i="43"/>
  <c r="AS173" i="43" s="1"/>
  <c r="AZ172" i="43"/>
  <c r="AY172" i="43"/>
  <c r="AF172" i="43"/>
  <c r="AW172" i="43" s="1"/>
  <c r="Z172" i="43"/>
  <c r="AT172" i="43" s="1"/>
  <c r="V172" i="43"/>
  <c r="AS172" i="43" s="1"/>
  <c r="AZ171" i="43"/>
  <c r="AY171" i="43"/>
  <c r="AF171" i="43"/>
  <c r="AW171" i="43" s="1"/>
  <c r="Z171" i="43"/>
  <c r="AT171" i="43" s="1"/>
  <c r="V171" i="43"/>
  <c r="AS171" i="43" s="1"/>
  <c r="AZ170" i="43"/>
  <c r="AY170" i="43"/>
  <c r="AF170" i="43"/>
  <c r="AW170" i="43" s="1"/>
  <c r="Z170" i="43"/>
  <c r="AT170" i="43" s="1"/>
  <c r="V170" i="43"/>
  <c r="AS170" i="43" s="1"/>
  <c r="AZ169" i="43"/>
  <c r="AY169" i="43"/>
  <c r="AF169" i="43"/>
  <c r="AW169" i="43" s="1"/>
  <c r="Z169" i="43"/>
  <c r="AT169" i="43" s="1"/>
  <c r="AZ167" i="43"/>
  <c r="AY167" i="43"/>
  <c r="AF167" i="43"/>
  <c r="AW167" i="43" s="1"/>
  <c r="Z167" i="43"/>
  <c r="AT167" i="43" s="1"/>
  <c r="V167" i="43"/>
  <c r="AS167" i="43" s="1"/>
  <c r="AZ166" i="43"/>
  <c r="AY166" i="43"/>
  <c r="AF166" i="43"/>
  <c r="AW166" i="43" s="1"/>
  <c r="Z166" i="43"/>
  <c r="AT166" i="43" s="1"/>
  <c r="V166" i="43"/>
  <c r="AS166" i="43" s="1"/>
  <c r="AZ165" i="43"/>
  <c r="AY165" i="43"/>
  <c r="AF165" i="43"/>
  <c r="AW165" i="43" s="1"/>
  <c r="Z165" i="43"/>
  <c r="AT165" i="43" s="1"/>
  <c r="V165" i="43"/>
  <c r="AS165" i="43" s="1"/>
  <c r="AZ164" i="43"/>
  <c r="AY164" i="43"/>
  <c r="AF164" i="43"/>
  <c r="AW164" i="43" s="1"/>
  <c r="Z164" i="43"/>
  <c r="AT164" i="43" s="1"/>
  <c r="V164" i="43"/>
  <c r="AS164" i="43" s="1"/>
  <c r="AZ163" i="43"/>
  <c r="AY163" i="43"/>
  <c r="AF163" i="43"/>
  <c r="AW163" i="43" s="1"/>
  <c r="Z163" i="43"/>
  <c r="AT163" i="43" s="1"/>
  <c r="AZ161" i="43"/>
  <c r="AY161" i="43"/>
  <c r="AF161" i="43"/>
  <c r="AW161" i="43" s="1"/>
  <c r="Z161" i="43"/>
  <c r="AT161" i="43" s="1"/>
  <c r="V161" i="43"/>
  <c r="AS161" i="43" s="1"/>
  <c r="AZ160" i="43"/>
  <c r="AY160" i="43"/>
  <c r="AF160" i="43"/>
  <c r="AW160" i="43" s="1"/>
  <c r="Z160" i="43"/>
  <c r="AT160" i="43" s="1"/>
  <c r="V160" i="43"/>
  <c r="AS160" i="43" s="1"/>
  <c r="AZ159" i="43"/>
  <c r="AY159" i="43"/>
  <c r="AF159" i="43"/>
  <c r="AW159" i="43" s="1"/>
  <c r="Z159" i="43"/>
  <c r="AT159" i="43" s="1"/>
  <c r="V159" i="43"/>
  <c r="AS159" i="43" s="1"/>
  <c r="AZ158" i="43"/>
  <c r="AY158" i="43"/>
  <c r="AF158" i="43"/>
  <c r="AW158" i="43" s="1"/>
  <c r="Z158" i="43"/>
  <c r="AT158" i="43" s="1"/>
  <c r="V158" i="43"/>
  <c r="AS158" i="43" s="1"/>
  <c r="AZ156" i="43"/>
  <c r="AY156" i="43"/>
  <c r="AF156" i="43"/>
  <c r="AW156" i="43" s="1"/>
  <c r="Z156" i="43"/>
  <c r="AT156" i="43" s="1"/>
  <c r="V156" i="43"/>
  <c r="AS156" i="43" s="1"/>
  <c r="AZ155" i="43"/>
  <c r="AY155" i="43"/>
  <c r="AF155" i="43"/>
  <c r="AW155" i="43" s="1"/>
  <c r="Z155" i="43"/>
  <c r="AT155" i="43" s="1"/>
  <c r="V155" i="43"/>
  <c r="AS155" i="43" s="1"/>
  <c r="AZ154" i="43"/>
  <c r="AY154" i="43"/>
  <c r="AF154" i="43"/>
  <c r="AW154" i="43" s="1"/>
  <c r="Z154" i="43"/>
  <c r="AT154" i="43" s="1"/>
  <c r="V154" i="43"/>
  <c r="AS154" i="43" s="1"/>
  <c r="AZ153" i="43"/>
  <c r="AY153" i="43"/>
  <c r="AF153" i="43"/>
  <c r="AW153" i="43" s="1"/>
  <c r="Z153" i="43"/>
  <c r="AT153" i="43" s="1"/>
  <c r="V153" i="43"/>
  <c r="AS153" i="43" s="1"/>
  <c r="AZ152" i="43"/>
  <c r="AY152" i="43"/>
  <c r="AF152" i="43"/>
  <c r="AW152" i="43" s="1"/>
  <c r="Z152" i="43"/>
  <c r="AT152" i="43" s="1"/>
  <c r="AZ150" i="43"/>
  <c r="AY150" i="43"/>
  <c r="AF150" i="43"/>
  <c r="AW150" i="43" s="1"/>
  <c r="Z150" i="43"/>
  <c r="AT150" i="43" s="1"/>
  <c r="V150" i="43"/>
  <c r="AS150" i="43" s="1"/>
  <c r="AZ149" i="43"/>
  <c r="AY149" i="43"/>
  <c r="AF149" i="43"/>
  <c r="AW149" i="43" s="1"/>
  <c r="Z149" i="43"/>
  <c r="AT149" i="43" s="1"/>
  <c r="V149" i="43"/>
  <c r="AS149" i="43" s="1"/>
  <c r="AZ148" i="43"/>
  <c r="AY148" i="43"/>
  <c r="AF148" i="43"/>
  <c r="AW148" i="43" s="1"/>
  <c r="Z148" i="43"/>
  <c r="AT148" i="43" s="1"/>
  <c r="V148" i="43"/>
  <c r="AS148" i="43" s="1"/>
  <c r="AZ147" i="43"/>
  <c r="AY147" i="43"/>
  <c r="AF147" i="43"/>
  <c r="AW147" i="43" s="1"/>
  <c r="Z147" i="43"/>
  <c r="AT147" i="43" s="1"/>
  <c r="V147" i="43"/>
  <c r="AS147" i="43" s="1"/>
  <c r="AZ146" i="43"/>
  <c r="AY146" i="43"/>
  <c r="AF146" i="43"/>
  <c r="AW146" i="43" s="1"/>
  <c r="Z146" i="43"/>
  <c r="AT146" i="43" s="1"/>
  <c r="AZ144" i="43"/>
  <c r="AY144" i="43"/>
  <c r="AF144" i="43"/>
  <c r="AW144" i="43" s="1"/>
  <c r="Z144" i="43"/>
  <c r="AT144" i="43" s="1"/>
  <c r="V144" i="43"/>
  <c r="AS144" i="43" s="1"/>
  <c r="AZ143" i="43"/>
  <c r="AY143" i="43"/>
  <c r="AF143" i="43"/>
  <c r="AW143" i="43" s="1"/>
  <c r="Z143" i="43"/>
  <c r="AT143" i="43" s="1"/>
  <c r="V143" i="43"/>
  <c r="AS143" i="43" s="1"/>
  <c r="AZ142" i="43"/>
  <c r="AY142" i="43"/>
  <c r="AF142" i="43"/>
  <c r="AW142" i="43" s="1"/>
  <c r="Z142" i="43"/>
  <c r="AT142" i="43" s="1"/>
  <c r="V142" i="43"/>
  <c r="AS142" i="43" s="1"/>
  <c r="AZ141" i="43"/>
  <c r="AY141" i="43"/>
  <c r="AF141" i="43"/>
  <c r="AW141" i="43" s="1"/>
  <c r="Z141" i="43"/>
  <c r="AT141" i="43" s="1"/>
  <c r="V141" i="43"/>
  <c r="AS141" i="43" s="1"/>
  <c r="AZ140" i="43"/>
  <c r="AY140" i="43"/>
  <c r="AF140" i="43"/>
  <c r="AW140" i="43" s="1"/>
  <c r="Z140" i="43"/>
  <c r="AT140" i="43" s="1"/>
  <c r="AZ138" i="43"/>
  <c r="AY138" i="43"/>
  <c r="AF138" i="43"/>
  <c r="AW138" i="43" s="1"/>
  <c r="Z138" i="43"/>
  <c r="AT138" i="43" s="1"/>
  <c r="V138" i="43"/>
  <c r="AS138" i="43" s="1"/>
  <c r="AZ137" i="43"/>
  <c r="AY137" i="43"/>
  <c r="AF137" i="43"/>
  <c r="AW137" i="43" s="1"/>
  <c r="Z137" i="43"/>
  <c r="AT137" i="43" s="1"/>
  <c r="V137" i="43"/>
  <c r="AS137" i="43" s="1"/>
  <c r="AZ136" i="43"/>
  <c r="AY136" i="43"/>
  <c r="AF136" i="43"/>
  <c r="AW136" i="43" s="1"/>
  <c r="Z136" i="43"/>
  <c r="AT136" i="43" s="1"/>
  <c r="V136" i="43"/>
  <c r="AS136" i="43" s="1"/>
  <c r="AZ135" i="43"/>
  <c r="AY135" i="43"/>
  <c r="AF135" i="43"/>
  <c r="AW135" i="43" s="1"/>
  <c r="Z135" i="43"/>
  <c r="AT135" i="43" s="1"/>
  <c r="V135" i="43"/>
  <c r="AS135" i="43" s="1"/>
  <c r="AZ134" i="43"/>
  <c r="AY134" i="43"/>
  <c r="AF134" i="43"/>
  <c r="AW134" i="43" s="1"/>
  <c r="Z134" i="43"/>
  <c r="AT134" i="43" s="1"/>
  <c r="V134" i="43"/>
  <c r="AS134" i="43" s="1"/>
  <c r="AZ133" i="43"/>
  <c r="AY133" i="43"/>
  <c r="AF133" i="43"/>
  <c r="AW133" i="43" s="1"/>
  <c r="Z133" i="43"/>
  <c r="AT133" i="43" s="1"/>
  <c r="AZ131" i="43"/>
  <c r="AY131" i="43"/>
  <c r="AF131" i="43"/>
  <c r="AW131" i="43" s="1"/>
  <c r="Z131" i="43"/>
  <c r="AT131" i="43" s="1"/>
  <c r="V131" i="43"/>
  <c r="AS131" i="43" s="1"/>
  <c r="AZ130" i="43"/>
  <c r="AY130" i="43"/>
  <c r="AF130" i="43"/>
  <c r="AW130" i="43" s="1"/>
  <c r="Z130" i="43"/>
  <c r="AT130" i="43" s="1"/>
  <c r="AZ129" i="43"/>
  <c r="AY129" i="43"/>
  <c r="AF129" i="43"/>
  <c r="AW129" i="43" s="1"/>
  <c r="Z129" i="43"/>
  <c r="AT129" i="43" s="1"/>
  <c r="V129" i="43"/>
  <c r="AS129" i="43" s="1"/>
  <c r="AZ128" i="43"/>
  <c r="AY128" i="43"/>
  <c r="AF128" i="43"/>
  <c r="AW128" i="43" s="1"/>
  <c r="Z128" i="43"/>
  <c r="AT128" i="43" s="1"/>
  <c r="V128" i="43"/>
  <c r="AS128" i="43" s="1"/>
  <c r="AZ127" i="43"/>
  <c r="AY127" i="43"/>
  <c r="AF127" i="43"/>
  <c r="AW127" i="43" s="1"/>
  <c r="Z127" i="43"/>
  <c r="AT127" i="43" s="1"/>
  <c r="AZ126" i="43"/>
  <c r="AY126" i="43"/>
  <c r="AF126" i="43"/>
  <c r="AW126" i="43" s="1"/>
  <c r="Z126" i="43"/>
  <c r="AT126" i="43" s="1"/>
  <c r="AZ124" i="43"/>
  <c r="AY124" i="43"/>
  <c r="AF124" i="43"/>
  <c r="AW124" i="43" s="1"/>
  <c r="Z124" i="43"/>
  <c r="AT124" i="43" s="1"/>
  <c r="V124" i="43"/>
  <c r="AS124" i="43" s="1"/>
  <c r="AZ123" i="43"/>
  <c r="AY123" i="43"/>
  <c r="AF123" i="43"/>
  <c r="AW123" i="43" s="1"/>
  <c r="Z123" i="43"/>
  <c r="AT123" i="43" s="1"/>
  <c r="V123" i="43"/>
  <c r="AS123" i="43" s="1"/>
  <c r="AZ122" i="43"/>
  <c r="AY122" i="43"/>
  <c r="AF122" i="43"/>
  <c r="AW122" i="43" s="1"/>
  <c r="Z122" i="43"/>
  <c r="AT122" i="43" s="1"/>
  <c r="V122" i="43"/>
  <c r="AS122" i="43" s="1"/>
  <c r="AZ121" i="43"/>
  <c r="AY121" i="43"/>
  <c r="AF121" i="43"/>
  <c r="AW121" i="43" s="1"/>
  <c r="Z121" i="43"/>
  <c r="AT121" i="43" s="1"/>
  <c r="AZ119" i="43"/>
  <c r="AY119" i="43"/>
  <c r="AF119" i="43"/>
  <c r="AW119" i="43" s="1"/>
  <c r="Z119" i="43"/>
  <c r="AT119" i="43" s="1"/>
  <c r="V119" i="43"/>
  <c r="AS119" i="43" s="1"/>
  <c r="AZ118" i="43"/>
  <c r="AY118" i="43"/>
  <c r="AF118" i="43"/>
  <c r="AW118" i="43" s="1"/>
  <c r="Z118" i="43"/>
  <c r="AT118" i="43" s="1"/>
  <c r="V118" i="43"/>
  <c r="AS118" i="43" s="1"/>
  <c r="AZ117" i="43"/>
  <c r="AY117" i="43"/>
  <c r="AF117" i="43"/>
  <c r="AW117" i="43" s="1"/>
  <c r="Z117" i="43"/>
  <c r="AT117" i="43" s="1"/>
  <c r="AZ115" i="43"/>
  <c r="AY115" i="43"/>
  <c r="AF115" i="43"/>
  <c r="AW115" i="43" s="1"/>
  <c r="Z115" i="43"/>
  <c r="AT115" i="43" s="1"/>
  <c r="V115" i="43"/>
  <c r="AS115" i="43" s="1"/>
  <c r="AZ114" i="43"/>
  <c r="AY114" i="43"/>
  <c r="AF114" i="43"/>
  <c r="AW114" i="43" s="1"/>
  <c r="Z114" i="43"/>
  <c r="AT114" i="43" s="1"/>
  <c r="AZ112" i="43"/>
  <c r="AY112" i="43"/>
  <c r="AF112" i="43"/>
  <c r="AW112" i="43" s="1"/>
  <c r="Z112" i="43"/>
  <c r="AT112" i="43" s="1"/>
  <c r="V112" i="43"/>
  <c r="AS112" i="43" s="1"/>
  <c r="AZ111" i="43"/>
  <c r="AY111" i="43"/>
  <c r="AF111" i="43"/>
  <c r="AW111" i="43" s="1"/>
  <c r="Z111" i="43"/>
  <c r="AT111" i="43" s="1"/>
  <c r="V111" i="43"/>
  <c r="AS111" i="43" s="1"/>
  <c r="AZ110" i="43"/>
  <c r="AY110" i="43"/>
  <c r="AF110" i="43"/>
  <c r="AW110" i="43" s="1"/>
  <c r="Z110" i="43"/>
  <c r="AT110" i="43" s="1"/>
  <c r="AZ108" i="43"/>
  <c r="AY108" i="43"/>
  <c r="AF108" i="43"/>
  <c r="AW108" i="43" s="1"/>
  <c r="Z108" i="43"/>
  <c r="AT108" i="43" s="1"/>
  <c r="V108" i="43"/>
  <c r="AS108" i="43" s="1"/>
  <c r="AZ107" i="43"/>
  <c r="AY107" i="43"/>
  <c r="AF107" i="43"/>
  <c r="AW107" i="43" s="1"/>
  <c r="Z107" i="43"/>
  <c r="AT107" i="43" s="1"/>
  <c r="V107" i="43"/>
  <c r="AS107" i="43" s="1"/>
  <c r="AZ106" i="43"/>
  <c r="AY106" i="43"/>
  <c r="AF106" i="43"/>
  <c r="AW106" i="43" s="1"/>
  <c r="Z106" i="43"/>
  <c r="AT106" i="43" s="1"/>
  <c r="AZ104" i="43"/>
  <c r="AY104" i="43"/>
  <c r="AF104" i="43"/>
  <c r="AW104" i="43" s="1"/>
  <c r="Z104" i="43"/>
  <c r="AT104" i="43" s="1"/>
  <c r="V104" i="43"/>
  <c r="AS104" i="43" s="1"/>
  <c r="AZ103" i="43"/>
  <c r="AY103" i="43"/>
  <c r="AF103" i="43"/>
  <c r="AW103" i="43" s="1"/>
  <c r="Z103" i="43"/>
  <c r="AT103" i="43" s="1"/>
  <c r="AZ101" i="43"/>
  <c r="AY101" i="43"/>
  <c r="AF101" i="43"/>
  <c r="AW101" i="43" s="1"/>
  <c r="Z101" i="43"/>
  <c r="AT101" i="43" s="1"/>
  <c r="V101" i="43"/>
  <c r="AS101" i="43" s="1"/>
  <c r="AZ100" i="43"/>
  <c r="AY100" i="43"/>
  <c r="AF100" i="43"/>
  <c r="AW100" i="43" s="1"/>
  <c r="Z100" i="43"/>
  <c r="AT100" i="43" s="1"/>
  <c r="V100" i="43"/>
  <c r="AS100" i="43" s="1"/>
  <c r="AZ99" i="43"/>
  <c r="AY99" i="43"/>
  <c r="AF99" i="43"/>
  <c r="AW99" i="43" s="1"/>
  <c r="Z99" i="43"/>
  <c r="AT99" i="43" s="1"/>
  <c r="AZ97" i="43"/>
  <c r="AY97" i="43"/>
  <c r="AF97" i="43"/>
  <c r="AW97" i="43" s="1"/>
  <c r="Z97" i="43"/>
  <c r="AT97" i="43" s="1"/>
  <c r="V97" i="43"/>
  <c r="AS97" i="43" s="1"/>
  <c r="AZ96" i="43"/>
  <c r="AY96" i="43"/>
  <c r="AF96" i="43"/>
  <c r="AW96" i="43" s="1"/>
  <c r="Z96" i="43"/>
  <c r="AT96" i="43" s="1"/>
  <c r="V96" i="43"/>
  <c r="AS96" i="43" s="1"/>
  <c r="AZ95" i="43"/>
  <c r="AY95" i="43"/>
  <c r="AF95" i="43"/>
  <c r="AW95" i="43" s="1"/>
  <c r="Z95" i="43"/>
  <c r="AT95" i="43" s="1"/>
  <c r="AZ93" i="43"/>
  <c r="AY93" i="43"/>
  <c r="AF93" i="43"/>
  <c r="AW93" i="43" s="1"/>
  <c r="Z93" i="43"/>
  <c r="AT93" i="43" s="1"/>
  <c r="V93" i="43"/>
  <c r="AS93" i="43" s="1"/>
  <c r="AZ91" i="43"/>
  <c r="AY91" i="43"/>
  <c r="AF91" i="43"/>
  <c r="AW91" i="43" s="1"/>
  <c r="Z91" i="43"/>
  <c r="AT91" i="43" s="1"/>
  <c r="V91" i="43"/>
  <c r="AS91" i="43" s="1"/>
  <c r="AZ89" i="43"/>
  <c r="AY89" i="43"/>
  <c r="AF89" i="43"/>
  <c r="AW89" i="43" s="1"/>
  <c r="Z89" i="43"/>
  <c r="AT89" i="43" s="1"/>
  <c r="V89" i="43"/>
  <c r="AS89" i="43" s="1"/>
  <c r="AZ88" i="43"/>
  <c r="AY88" i="43"/>
  <c r="AF88" i="43"/>
  <c r="AW88" i="43" s="1"/>
  <c r="Z88" i="43"/>
  <c r="AT88" i="43" s="1"/>
  <c r="V88" i="43"/>
  <c r="AS88" i="43" s="1"/>
  <c r="AZ87" i="43"/>
  <c r="AY87" i="43"/>
  <c r="AF87" i="43"/>
  <c r="AW87" i="43" s="1"/>
  <c r="Z87" i="43"/>
  <c r="AT87" i="43" s="1"/>
  <c r="AZ85" i="43"/>
  <c r="AY85" i="43"/>
  <c r="AF85" i="43"/>
  <c r="AW85" i="43" s="1"/>
  <c r="Z85" i="43"/>
  <c r="AT85" i="43" s="1"/>
  <c r="V85" i="43"/>
  <c r="AS85" i="43" s="1"/>
  <c r="AZ84" i="43"/>
  <c r="AY84" i="43"/>
  <c r="AF84" i="43"/>
  <c r="AW84" i="43" s="1"/>
  <c r="Z84" i="43"/>
  <c r="AT84" i="43" s="1"/>
  <c r="V84" i="43"/>
  <c r="AS84" i="43" s="1"/>
  <c r="AZ83" i="43"/>
  <c r="AY83" i="43"/>
  <c r="AF83" i="43"/>
  <c r="AW83" i="43" s="1"/>
  <c r="Z83" i="43"/>
  <c r="AT83" i="43" s="1"/>
  <c r="AZ81" i="43"/>
  <c r="AY81" i="43"/>
  <c r="AF81" i="43"/>
  <c r="AW81" i="43" s="1"/>
  <c r="Z81" i="43"/>
  <c r="AT81" i="43" s="1"/>
  <c r="V81" i="43"/>
  <c r="AS81" i="43" s="1"/>
  <c r="AZ80" i="43"/>
  <c r="AY80" i="43"/>
  <c r="AF80" i="43"/>
  <c r="AW80" i="43" s="1"/>
  <c r="Z80" i="43"/>
  <c r="AT80" i="43" s="1"/>
  <c r="AZ78" i="43"/>
  <c r="AY78" i="43"/>
  <c r="AF78" i="43"/>
  <c r="AW78" i="43" s="1"/>
  <c r="Z78" i="43"/>
  <c r="AT78" i="43" s="1"/>
  <c r="V78" i="43"/>
  <c r="AS78" i="43" s="1"/>
  <c r="AZ77" i="43"/>
  <c r="AY77" i="43"/>
  <c r="AF77" i="43"/>
  <c r="AW77" i="43" s="1"/>
  <c r="Z77" i="43"/>
  <c r="AT77" i="43" s="1"/>
  <c r="V77" i="43"/>
  <c r="AS77" i="43" s="1"/>
  <c r="AZ76" i="43"/>
  <c r="AY76" i="43"/>
  <c r="AF76" i="43"/>
  <c r="AW76" i="43" s="1"/>
  <c r="Z76" i="43"/>
  <c r="AT76" i="43" s="1"/>
  <c r="AZ74" i="43"/>
  <c r="AY74" i="43"/>
  <c r="AF74" i="43"/>
  <c r="AW74" i="43" s="1"/>
  <c r="Z74" i="43"/>
  <c r="AT74" i="43" s="1"/>
  <c r="V74" i="43"/>
  <c r="AS74" i="43" s="1"/>
  <c r="AZ73" i="43"/>
  <c r="AY73" i="43"/>
  <c r="AF73" i="43"/>
  <c r="AW73" i="43" s="1"/>
  <c r="Z73" i="43"/>
  <c r="AT73" i="43" s="1"/>
  <c r="V73" i="43"/>
  <c r="AS73" i="43" s="1"/>
  <c r="AZ72" i="43"/>
  <c r="AY72" i="43"/>
  <c r="AF72" i="43"/>
  <c r="AW72" i="43" s="1"/>
  <c r="Z72" i="43"/>
  <c r="AT72" i="43" s="1"/>
  <c r="V72" i="43"/>
  <c r="AS72" i="43" s="1"/>
  <c r="AZ71" i="43"/>
  <c r="AY71" i="43"/>
  <c r="AF71" i="43"/>
  <c r="AW71" i="43" s="1"/>
  <c r="Z71" i="43"/>
  <c r="AT71" i="43" s="1"/>
  <c r="AZ69" i="43"/>
  <c r="AY69" i="43"/>
  <c r="AF69" i="43"/>
  <c r="AW69" i="43" s="1"/>
  <c r="Z69" i="43"/>
  <c r="AT69" i="43" s="1"/>
  <c r="V69" i="43"/>
  <c r="AS69" i="43" s="1"/>
  <c r="AZ68" i="43"/>
  <c r="AY68" i="43"/>
  <c r="AF68" i="43"/>
  <c r="AW68" i="43" s="1"/>
  <c r="Z68" i="43"/>
  <c r="AT68" i="43" s="1"/>
  <c r="AZ66" i="43"/>
  <c r="AY66" i="43"/>
  <c r="AF66" i="43"/>
  <c r="AW66" i="43" s="1"/>
  <c r="Z66" i="43"/>
  <c r="AT66" i="43" s="1"/>
  <c r="V66" i="43"/>
  <c r="AS66" i="43" s="1"/>
  <c r="AZ65" i="43"/>
  <c r="AY65" i="43"/>
  <c r="AF65" i="43"/>
  <c r="AW65" i="43" s="1"/>
  <c r="Z65" i="43"/>
  <c r="AT65" i="43" s="1"/>
  <c r="V65" i="43"/>
  <c r="AS65" i="43" s="1"/>
  <c r="AZ64" i="43"/>
  <c r="AY64" i="43"/>
  <c r="AF64" i="43"/>
  <c r="AW64" i="43" s="1"/>
  <c r="Z64" i="43"/>
  <c r="AT64" i="43" s="1"/>
  <c r="AZ62" i="43"/>
  <c r="AY62" i="43"/>
  <c r="AF62" i="43"/>
  <c r="AW62" i="43" s="1"/>
  <c r="Z62" i="43"/>
  <c r="AT62" i="43" s="1"/>
  <c r="V62" i="43"/>
  <c r="AS62" i="43" s="1"/>
  <c r="AZ61" i="43"/>
  <c r="AY61" i="43"/>
  <c r="AF61" i="43"/>
  <c r="AW61" i="43" s="1"/>
  <c r="Z61" i="43"/>
  <c r="AT61" i="43" s="1"/>
  <c r="V61" i="43"/>
  <c r="AS61" i="43" s="1"/>
  <c r="AZ60" i="43"/>
  <c r="AY60" i="43"/>
  <c r="AF60" i="43"/>
  <c r="AW60" i="43" s="1"/>
  <c r="Z60" i="43"/>
  <c r="AT60" i="43" s="1"/>
  <c r="V60" i="43"/>
  <c r="AS60" i="43" s="1"/>
  <c r="AZ58" i="43"/>
  <c r="AY58" i="43"/>
  <c r="AF58" i="43"/>
  <c r="AW58" i="43" s="1"/>
  <c r="Z58" i="43"/>
  <c r="AT58" i="43" s="1"/>
  <c r="V58" i="43"/>
  <c r="AS58" i="43" s="1"/>
  <c r="AZ57" i="43"/>
  <c r="AY57" i="43"/>
  <c r="AF57" i="43"/>
  <c r="AW57" i="43" s="1"/>
  <c r="Z57" i="43"/>
  <c r="AT57" i="43" s="1"/>
  <c r="V57" i="43"/>
  <c r="AS57" i="43" s="1"/>
  <c r="AZ56" i="43"/>
  <c r="AY56" i="43"/>
  <c r="AF56" i="43"/>
  <c r="AW56" i="43" s="1"/>
  <c r="Z56" i="43"/>
  <c r="AT56" i="43" s="1"/>
  <c r="AZ54" i="43"/>
  <c r="AY54" i="43"/>
  <c r="AF54" i="43"/>
  <c r="AW54" i="43" s="1"/>
  <c r="Z54" i="43"/>
  <c r="AT54" i="43" s="1"/>
  <c r="V54" i="43"/>
  <c r="AS54" i="43" s="1"/>
  <c r="AZ53" i="43"/>
  <c r="AY53" i="43"/>
  <c r="AF53" i="43"/>
  <c r="AW53" i="43" s="1"/>
  <c r="Z53" i="43"/>
  <c r="AT53" i="43" s="1"/>
  <c r="AZ51" i="43"/>
  <c r="AY51" i="43"/>
  <c r="AF51" i="43"/>
  <c r="AW51" i="43" s="1"/>
  <c r="Z51" i="43"/>
  <c r="AT51" i="43" s="1"/>
  <c r="V51" i="43"/>
  <c r="AS51" i="43" s="1"/>
  <c r="AZ50" i="43"/>
  <c r="AY50" i="43"/>
  <c r="AF50" i="43"/>
  <c r="AW50" i="43" s="1"/>
  <c r="Z50" i="43"/>
  <c r="AT50" i="43" s="1"/>
  <c r="AZ48" i="43"/>
  <c r="AY48" i="43"/>
  <c r="AF48" i="43"/>
  <c r="AW48" i="43" s="1"/>
  <c r="Z48" i="43"/>
  <c r="AT48" i="43" s="1"/>
  <c r="V48" i="43"/>
  <c r="AS48" i="43" s="1"/>
  <c r="AZ47" i="43"/>
  <c r="AY47" i="43"/>
  <c r="AF47" i="43"/>
  <c r="AW47" i="43" s="1"/>
  <c r="Z47" i="43"/>
  <c r="AT47" i="43" s="1"/>
  <c r="AZ45" i="43"/>
  <c r="AY45" i="43"/>
  <c r="AF45" i="43"/>
  <c r="AW45" i="43" s="1"/>
  <c r="Z45" i="43"/>
  <c r="AT45" i="43" s="1"/>
  <c r="V45" i="43"/>
  <c r="AS45" i="43" s="1"/>
  <c r="AZ44" i="43"/>
  <c r="AY44" i="43"/>
  <c r="AF44" i="43"/>
  <c r="AW44" i="43" s="1"/>
  <c r="Z44" i="43"/>
  <c r="AT44" i="43" s="1"/>
  <c r="V44" i="43"/>
  <c r="AS44" i="43" s="1"/>
  <c r="AZ43" i="43"/>
  <c r="AY43" i="43"/>
  <c r="AF43" i="43"/>
  <c r="AW43" i="43" s="1"/>
  <c r="Z43" i="43"/>
  <c r="AT43" i="43" s="1"/>
  <c r="AZ41" i="43"/>
  <c r="AY41" i="43"/>
  <c r="AF41" i="43"/>
  <c r="AW41" i="43" s="1"/>
  <c r="Z41" i="43"/>
  <c r="AT41" i="43" s="1"/>
  <c r="V41" i="43"/>
  <c r="AS41" i="43" s="1"/>
  <c r="AZ40" i="43"/>
  <c r="AY40" i="43"/>
  <c r="AF40" i="43"/>
  <c r="AW40" i="43" s="1"/>
  <c r="Z40" i="43"/>
  <c r="AT40" i="43" s="1"/>
  <c r="AZ38" i="43"/>
  <c r="AY38" i="43"/>
  <c r="AF38" i="43"/>
  <c r="AW38" i="43" s="1"/>
  <c r="Z38" i="43"/>
  <c r="AT38" i="43" s="1"/>
  <c r="V38" i="43"/>
  <c r="AS38" i="43" s="1"/>
  <c r="AZ37" i="43"/>
  <c r="AY37" i="43"/>
  <c r="AF37" i="43"/>
  <c r="AW37" i="43" s="1"/>
  <c r="Z37" i="43"/>
  <c r="AT37" i="43" s="1"/>
  <c r="V37" i="43"/>
  <c r="AS37" i="43" s="1"/>
  <c r="AZ36" i="43"/>
  <c r="AY36" i="43"/>
  <c r="AF36" i="43"/>
  <c r="AW36" i="43" s="1"/>
  <c r="Z36" i="43"/>
  <c r="AT36" i="43" s="1"/>
  <c r="AZ34" i="43"/>
  <c r="AY34" i="43"/>
  <c r="AF34" i="43"/>
  <c r="AW34" i="43" s="1"/>
  <c r="Z34" i="43"/>
  <c r="AT34" i="43" s="1"/>
  <c r="V34" i="43"/>
  <c r="AS34" i="43" s="1"/>
  <c r="AZ33" i="43"/>
  <c r="AY33" i="43"/>
  <c r="AF33" i="43"/>
  <c r="AW33" i="43" s="1"/>
  <c r="Z33" i="43"/>
  <c r="AT33" i="43" s="1"/>
  <c r="V33" i="43"/>
  <c r="AS33" i="43" s="1"/>
  <c r="AZ32" i="43"/>
  <c r="AY32" i="43"/>
  <c r="AF32" i="43"/>
  <c r="AW32" i="43" s="1"/>
  <c r="Z32" i="43"/>
  <c r="AT32" i="43" s="1"/>
  <c r="AZ30" i="43"/>
  <c r="AY30" i="43"/>
  <c r="AF30" i="43"/>
  <c r="AW30" i="43" s="1"/>
  <c r="Z30" i="43"/>
  <c r="AT30" i="43" s="1"/>
  <c r="V30" i="43"/>
  <c r="AS30" i="43" s="1"/>
  <c r="AZ28" i="43"/>
  <c r="AY28" i="43"/>
  <c r="AF28" i="43"/>
  <c r="AW28" i="43" s="1"/>
  <c r="Z28" i="43"/>
  <c r="AT28" i="43" s="1"/>
  <c r="AZ26" i="43"/>
  <c r="AY26" i="43"/>
  <c r="AF26" i="43"/>
  <c r="AW26" i="43" s="1"/>
  <c r="Z26" i="43"/>
  <c r="AT26" i="43" s="1"/>
  <c r="V26" i="43"/>
  <c r="AS26" i="43" s="1"/>
  <c r="AZ25" i="43"/>
  <c r="AY25" i="43"/>
  <c r="AF25" i="43"/>
  <c r="AW25" i="43" s="1"/>
  <c r="Z25" i="43"/>
  <c r="AT25" i="43" s="1"/>
  <c r="V25" i="43"/>
  <c r="AS25" i="43" s="1"/>
  <c r="AZ24" i="43"/>
  <c r="AY24" i="43"/>
  <c r="AF24" i="43"/>
  <c r="AW24" i="43" s="1"/>
  <c r="Z24" i="43"/>
  <c r="AT24" i="43" s="1"/>
  <c r="V24" i="43"/>
  <c r="AS24" i="43" s="1"/>
  <c r="AZ23" i="43"/>
  <c r="AY23" i="43"/>
  <c r="AF23" i="43"/>
  <c r="AW23" i="43" s="1"/>
  <c r="Z23" i="43"/>
  <c r="AT23" i="43" s="1"/>
  <c r="AZ21" i="43"/>
  <c r="AY21" i="43"/>
  <c r="AF21" i="43"/>
  <c r="AW21" i="43" s="1"/>
  <c r="Z21" i="43"/>
  <c r="AT21" i="43" s="1"/>
  <c r="V21" i="43"/>
  <c r="AS21" i="43" s="1"/>
  <c r="AZ20" i="43"/>
  <c r="AY20" i="43"/>
  <c r="AF20" i="43"/>
  <c r="AW20" i="43" s="1"/>
  <c r="Z20" i="43"/>
  <c r="AT20" i="43" s="1"/>
  <c r="V20" i="43"/>
  <c r="AS20" i="43" s="1"/>
  <c r="AZ19" i="43"/>
  <c r="AY19" i="43"/>
  <c r="AF19" i="43"/>
  <c r="AW19" i="43" s="1"/>
  <c r="Z19" i="43"/>
  <c r="AT19" i="43" s="1"/>
  <c r="AZ17" i="43"/>
  <c r="AY17" i="43"/>
  <c r="AF17" i="43"/>
  <c r="AW17" i="43" s="1"/>
  <c r="Z17" i="43"/>
  <c r="AT17" i="43" s="1"/>
  <c r="AZ16" i="43"/>
  <c r="AY16" i="43"/>
  <c r="AF16" i="43"/>
  <c r="AW16" i="43" s="1"/>
  <c r="Z16" i="43"/>
  <c r="AT16" i="43" s="1"/>
  <c r="V16" i="43"/>
  <c r="AS16" i="43" s="1"/>
  <c r="AZ15" i="43"/>
  <c r="AY15" i="43"/>
  <c r="AF15" i="43"/>
  <c r="AW15" i="43" s="1"/>
  <c r="Z15" i="43"/>
  <c r="AT15" i="43" s="1"/>
  <c r="V15" i="43"/>
  <c r="AS15" i="43" s="1"/>
  <c r="AZ14" i="43"/>
  <c r="AY14" i="43"/>
  <c r="AF14" i="43"/>
  <c r="AW14" i="43" s="1"/>
  <c r="Z14" i="43"/>
  <c r="AT14" i="43" s="1"/>
  <c r="AF12" i="44"/>
  <c r="Z12" i="44"/>
  <c r="AT12" i="44" s="1"/>
  <c r="R12" i="44"/>
  <c r="AZ12" i="43"/>
  <c r="AZ13" i="43" s="1"/>
  <c r="AF12" i="43"/>
  <c r="AW12" i="43" s="1"/>
  <c r="AW13" i="43" s="1"/>
  <c r="Z12" i="43"/>
  <c r="AT12" i="43" s="1"/>
  <c r="AT115" i="44" l="1"/>
  <c r="AT114" i="44"/>
  <c r="AT106" i="44"/>
  <c r="AT107" i="44" s="1"/>
  <c r="AT297" i="43"/>
  <c r="AT298" i="43" s="1"/>
  <c r="AT323" i="43"/>
  <c r="AT324" i="43" s="1"/>
  <c r="AT257" i="43"/>
  <c r="AT258" i="43" s="1"/>
  <c r="AW42" i="44"/>
  <c r="AZ28" i="44"/>
  <c r="AZ35" i="44"/>
  <c r="AZ49" i="44"/>
  <c r="AT19" i="44"/>
  <c r="AY31" i="43"/>
  <c r="AY42" i="43"/>
  <c r="AW49" i="43"/>
  <c r="AZ52" i="43"/>
  <c r="AW55" i="43"/>
  <c r="AY70" i="43"/>
  <c r="AW82" i="43"/>
  <c r="AW94" i="43"/>
  <c r="AW105" i="43"/>
  <c r="AW116" i="43"/>
  <c r="AT335" i="43"/>
  <c r="AZ409" i="43"/>
  <c r="AT460" i="43"/>
  <c r="AT75" i="43"/>
  <c r="AT79" i="43"/>
  <c r="AZ86" i="43"/>
  <c r="AT90" i="43"/>
  <c r="AZ98" i="43"/>
  <c r="AT174" i="43"/>
  <c r="AT194" i="43"/>
  <c r="AZ206" i="43"/>
  <c r="AT213" i="43"/>
  <c r="AT219" i="43"/>
  <c r="AZ225" i="43"/>
  <c r="AT243" i="43"/>
  <c r="AZ249" i="43"/>
  <c r="AZ262" i="43"/>
  <c r="AT266" i="43"/>
  <c r="AT276" i="43"/>
  <c r="AZ362" i="43"/>
  <c r="AZ369" i="43"/>
  <c r="AZ388" i="43"/>
  <c r="AZ399" i="43"/>
  <c r="AT422" i="43"/>
  <c r="AT436" i="43"/>
  <c r="AT450" i="43"/>
  <c r="AT35" i="43"/>
  <c r="AT46" i="43"/>
  <c r="AZ59" i="43"/>
  <c r="AT63" i="43"/>
  <c r="AT102" i="43"/>
  <c r="AZ109" i="43"/>
  <c r="AT113" i="43"/>
  <c r="AZ120" i="43"/>
  <c r="AT125" i="43"/>
  <c r="AT132" i="43"/>
  <c r="AT145" i="43"/>
  <c r="AZ151" i="43"/>
  <c r="AZ180" i="43"/>
  <c r="AZ31" i="43"/>
  <c r="AZ42" i="43"/>
  <c r="AZ70" i="43"/>
  <c r="AT409" i="43"/>
  <c r="AY27" i="43"/>
  <c r="AY139" i="43"/>
  <c r="AY157" i="43"/>
  <c r="AY187" i="43"/>
  <c r="AY200" i="43"/>
  <c r="AY231" i="43"/>
  <c r="AY256" i="43"/>
  <c r="AY392" i="43"/>
  <c r="AY429" i="43"/>
  <c r="AY443" i="43"/>
  <c r="AY457" i="43"/>
  <c r="AY464" i="43"/>
  <c r="AY49" i="43"/>
  <c r="AY55" i="43"/>
  <c r="AY82" i="43"/>
  <c r="AW18" i="43"/>
  <c r="AW22" i="43"/>
  <c r="AW39" i="43"/>
  <c r="AW67" i="43"/>
  <c r="AW237" i="43"/>
  <c r="AW272" i="43"/>
  <c r="AW373" i="43"/>
  <c r="AW382" i="43"/>
  <c r="AW406" i="43"/>
  <c r="AW415" i="43"/>
  <c r="AW168" i="43"/>
  <c r="AY94" i="43"/>
  <c r="AW460" i="43"/>
  <c r="AW56" i="44"/>
  <c r="AW70" i="44"/>
  <c r="AZ77" i="44"/>
  <c r="AW84" i="44"/>
  <c r="AZ91" i="44"/>
  <c r="AW95" i="44"/>
  <c r="AY101" i="44"/>
  <c r="AW105" i="44"/>
  <c r="AZ124" i="44"/>
  <c r="AZ130" i="44"/>
  <c r="AW162" i="43"/>
  <c r="AW283" i="43"/>
  <c r="AS288" i="43"/>
  <c r="AZ288" i="43"/>
  <c r="AZ296" i="43"/>
  <c r="AZ305" i="43"/>
  <c r="AW312" i="43"/>
  <c r="AZ316" i="43"/>
  <c r="AT322" i="43"/>
  <c r="AY328" i="43"/>
  <c r="AZ332" i="43"/>
  <c r="AY344" i="43"/>
  <c r="AY350" i="43"/>
  <c r="AW357" i="43"/>
  <c r="AY105" i="43"/>
  <c r="AY116" i="43"/>
  <c r="AW335" i="43"/>
  <c r="AW35" i="43"/>
  <c r="AW63" i="43"/>
  <c r="AW79" i="43"/>
  <c r="AT86" i="43"/>
  <c r="AT109" i="43"/>
  <c r="AT120" i="43"/>
  <c r="AT262" i="43"/>
  <c r="AT316" i="43"/>
  <c r="AZ328" i="43"/>
  <c r="AZ392" i="43"/>
  <c r="AY22" i="43"/>
  <c r="AW46" i="43"/>
  <c r="AT59" i="43"/>
  <c r="AY67" i="43"/>
  <c r="AW90" i="43"/>
  <c r="AT98" i="43"/>
  <c r="AW102" i="43"/>
  <c r="AW113" i="43"/>
  <c r="AZ200" i="43"/>
  <c r="AT206" i="43"/>
  <c r="AW266" i="43"/>
  <c r="AW276" i="43"/>
  <c r="AT332" i="43"/>
  <c r="AY373" i="43"/>
  <c r="AZ464" i="43"/>
  <c r="AT31" i="43"/>
  <c r="AT42" i="43"/>
  <c r="AZ49" i="43"/>
  <c r="AW52" i="43"/>
  <c r="AZ55" i="43"/>
  <c r="AT70" i="43"/>
  <c r="AZ82" i="43"/>
  <c r="AS94" i="43"/>
  <c r="AZ94" i="43"/>
  <c r="AZ105" i="43"/>
  <c r="AZ116" i="43"/>
  <c r="AY39" i="43"/>
  <c r="AY95" i="44"/>
  <c r="AY105" i="44"/>
  <c r="AW113" i="44"/>
  <c r="AZ63" i="44"/>
  <c r="AW19" i="44"/>
  <c r="AT28" i="44"/>
  <c r="AT35" i="44"/>
  <c r="AY42" i="44"/>
  <c r="AT49" i="44"/>
  <c r="AY56" i="44"/>
  <c r="AT63" i="44"/>
  <c r="AY70" i="44"/>
  <c r="AT77" i="44"/>
  <c r="AY84" i="44"/>
  <c r="AT91" i="44"/>
  <c r="AZ101" i="44"/>
  <c r="AY113" i="44"/>
  <c r="AT124" i="44"/>
  <c r="AT130" i="44"/>
  <c r="AY19" i="44"/>
  <c r="AW28" i="44"/>
  <c r="AW35" i="44"/>
  <c r="AS42" i="44"/>
  <c r="AZ42" i="44"/>
  <c r="AW49" i="44"/>
  <c r="AS56" i="44"/>
  <c r="AZ56" i="44"/>
  <c r="AW63" i="44"/>
  <c r="AZ70" i="44"/>
  <c r="AW77" i="44"/>
  <c r="AZ84" i="44"/>
  <c r="AW91" i="44"/>
  <c r="AS95" i="44"/>
  <c r="AZ95" i="44"/>
  <c r="AT101" i="44"/>
  <c r="AZ105" i="44"/>
  <c r="AS113" i="44"/>
  <c r="AZ113" i="44"/>
  <c r="AW124" i="44"/>
  <c r="AW130" i="44"/>
  <c r="AZ19" i="44"/>
  <c r="AY28" i="44"/>
  <c r="AY35" i="44"/>
  <c r="AT42" i="44"/>
  <c r="AY49" i="44"/>
  <c r="AT56" i="44"/>
  <c r="AY63" i="44"/>
  <c r="AT70" i="44"/>
  <c r="AY77" i="44"/>
  <c r="AT84" i="44"/>
  <c r="AY91" i="44"/>
  <c r="AT95" i="44"/>
  <c r="AW101" i="44"/>
  <c r="AT105" i="44"/>
  <c r="AT113" i="44"/>
  <c r="AY124" i="44"/>
  <c r="AY130" i="44"/>
  <c r="AY18" i="43"/>
  <c r="AW75" i="43"/>
  <c r="AZ139" i="43"/>
  <c r="AW174" i="43"/>
  <c r="AT180" i="43"/>
  <c r="AW194" i="43"/>
  <c r="AW213" i="43"/>
  <c r="AT225" i="43"/>
  <c r="AZ231" i="43"/>
  <c r="AT249" i="43"/>
  <c r="AZ256" i="43"/>
  <c r="AT288" i="43"/>
  <c r="AT296" i="43"/>
  <c r="AY312" i="43"/>
  <c r="AZ344" i="43"/>
  <c r="AZ350" i="43"/>
  <c r="AZ429" i="43"/>
  <c r="AZ457" i="43"/>
  <c r="AZ27" i="43"/>
  <c r="AW132" i="43"/>
  <c r="AW145" i="43"/>
  <c r="AY162" i="43"/>
  <c r="AY168" i="43"/>
  <c r="AZ187" i="43"/>
  <c r="AW243" i="43"/>
  <c r="AY272" i="43"/>
  <c r="AT362" i="43"/>
  <c r="AY382" i="43"/>
  <c r="AT399" i="43"/>
  <c r="AW422" i="43"/>
  <c r="AW436" i="43"/>
  <c r="AZ443" i="43"/>
  <c r="AZ18" i="43"/>
  <c r="AZ22" i="43"/>
  <c r="AT27" i="43"/>
  <c r="AY35" i="43"/>
  <c r="AZ39" i="43"/>
  <c r="AY46" i="43"/>
  <c r="AW59" i="43"/>
  <c r="AY63" i="43"/>
  <c r="AZ67" i="43"/>
  <c r="AY75" i="43"/>
  <c r="AY79" i="43"/>
  <c r="AW86" i="43"/>
  <c r="AY90" i="43"/>
  <c r="AW98" i="43"/>
  <c r="AY102" i="43"/>
  <c r="AW109" i="43"/>
  <c r="AY113" i="43"/>
  <c r="AW120" i="43"/>
  <c r="AY125" i="43"/>
  <c r="AY132" i="43"/>
  <c r="AT139" i="43"/>
  <c r="AY145" i="43"/>
  <c r="AW151" i="43"/>
  <c r="AT157" i="43"/>
  <c r="AS162" i="43"/>
  <c r="AZ162" i="43"/>
  <c r="AZ168" i="43"/>
  <c r="AY174" i="43"/>
  <c r="AW180" i="43"/>
  <c r="AT187" i="43"/>
  <c r="AY194" i="43"/>
  <c r="AT200" i="43"/>
  <c r="AW206" i="43"/>
  <c r="AY213" i="43"/>
  <c r="AY219" i="43"/>
  <c r="AW225" i="43"/>
  <c r="AT231" i="43"/>
  <c r="AZ237" i="43"/>
  <c r="AY243" i="43"/>
  <c r="AW249" i="43"/>
  <c r="AT256" i="43"/>
  <c r="AW262" i="43"/>
  <c r="AY266" i="43"/>
  <c r="AZ272" i="43"/>
  <c r="AY276" i="43"/>
  <c r="AZ283" i="43"/>
  <c r="AW288" i="43"/>
  <c r="AW296" i="43"/>
  <c r="AW305" i="43"/>
  <c r="AZ312" i="43"/>
  <c r="AW316" i="43"/>
  <c r="AY322" i="43"/>
  <c r="AT328" i="43"/>
  <c r="AW332" i="43"/>
  <c r="AY335" i="43"/>
  <c r="AT344" i="43"/>
  <c r="AT350" i="43"/>
  <c r="AZ357" i="43"/>
  <c r="AW362" i="43"/>
  <c r="AW369" i="43"/>
  <c r="AZ373" i="43"/>
  <c r="AZ382" i="43"/>
  <c r="AW388" i="43"/>
  <c r="AT392" i="43"/>
  <c r="AW399" i="43"/>
  <c r="AZ406" i="43"/>
  <c r="AW409" i="43"/>
  <c r="AZ415" i="43"/>
  <c r="AY422" i="43"/>
  <c r="AT429" i="43"/>
  <c r="AY436" i="43"/>
  <c r="AT443" i="43"/>
  <c r="AY450" i="43"/>
  <c r="AT457" i="43"/>
  <c r="AY460" i="43"/>
  <c r="AT464" i="43"/>
  <c r="AW125" i="43"/>
  <c r="AT151" i="43"/>
  <c r="AZ157" i="43"/>
  <c r="AW219" i="43"/>
  <c r="AY237" i="43"/>
  <c r="AY283" i="43"/>
  <c r="AT305" i="43"/>
  <c r="AW322" i="43"/>
  <c r="AY357" i="43"/>
  <c r="AT369" i="43"/>
  <c r="AT388" i="43"/>
  <c r="AY406" i="43"/>
  <c r="AY415" i="43"/>
  <c r="AW450" i="43"/>
  <c r="AT18" i="43"/>
  <c r="AT22" i="43"/>
  <c r="AW27" i="43"/>
  <c r="AW31" i="43"/>
  <c r="AZ35" i="43"/>
  <c r="AT39" i="43"/>
  <c r="AW42" i="43"/>
  <c r="AZ46" i="43"/>
  <c r="AT49" i="43"/>
  <c r="AY52" i="43"/>
  <c r="AT55" i="43"/>
  <c r="AY59" i="43"/>
  <c r="AS63" i="43"/>
  <c r="AZ63" i="43"/>
  <c r="AT67" i="43"/>
  <c r="AW70" i="43"/>
  <c r="AZ75" i="43"/>
  <c r="AZ79" i="43"/>
  <c r="AT82" i="43"/>
  <c r="AY86" i="43"/>
  <c r="AZ90" i="43"/>
  <c r="AT94" i="43"/>
  <c r="AY98" i="43"/>
  <c r="AZ102" i="43"/>
  <c r="AT105" i="43"/>
  <c r="AY109" i="43"/>
  <c r="AZ113" i="43"/>
  <c r="AT116" i="43"/>
  <c r="AY120" i="43"/>
  <c r="AZ125" i="43"/>
  <c r="AZ132" i="43"/>
  <c r="AW139" i="43"/>
  <c r="AZ145" i="43"/>
  <c r="AY151" i="43"/>
  <c r="AW157" i="43"/>
  <c r="AT162" i="43"/>
  <c r="AT168" i="43"/>
  <c r="AZ174" i="43"/>
  <c r="AY180" i="43"/>
  <c r="AW187" i="43"/>
  <c r="AS194" i="43"/>
  <c r="AZ194" i="43"/>
  <c r="AW200" i="43"/>
  <c r="AY206" i="43"/>
  <c r="AZ213" i="43"/>
  <c r="AZ219" i="43"/>
  <c r="AY225" i="43"/>
  <c r="AW231" i="43"/>
  <c r="AT237" i="43"/>
  <c r="AZ243" i="43"/>
  <c r="AY249" i="43"/>
  <c r="AW256" i="43"/>
  <c r="AY262" i="43"/>
  <c r="AZ266" i="43"/>
  <c r="AT272" i="43"/>
  <c r="AS276" i="43"/>
  <c r="AZ276" i="43"/>
  <c r="AT283" i="43"/>
  <c r="AY288" i="43"/>
  <c r="AY296" i="43"/>
  <c r="AY305" i="43"/>
  <c r="AT312" i="43"/>
  <c r="AY316" i="43"/>
  <c r="AZ322" i="43"/>
  <c r="AW328" i="43"/>
  <c r="AY332" i="43"/>
  <c r="AZ335" i="43"/>
  <c r="AW344" i="43"/>
  <c r="AW350" i="43"/>
  <c r="AT357" i="43"/>
  <c r="AY362" i="43"/>
  <c r="AY369" i="43"/>
  <c r="AT373" i="43"/>
  <c r="AT382" i="43"/>
  <c r="AY388" i="43"/>
  <c r="AW392" i="43"/>
  <c r="AY399" i="43"/>
  <c r="AT406" i="43"/>
  <c r="AY409" i="43"/>
  <c r="AT415" i="43"/>
  <c r="AZ422" i="43"/>
  <c r="AW429" i="43"/>
  <c r="AZ436" i="43"/>
  <c r="AW443" i="43"/>
  <c r="AZ450" i="43"/>
  <c r="AW457" i="43"/>
  <c r="AS460" i="43"/>
  <c r="AZ460" i="43"/>
  <c r="AW464" i="43"/>
  <c r="P134" i="44"/>
  <c r="N134" i="44"/>
  <c r="Q134" i="44"/>
  <c r="J134" i="44"/>
  <c r="AC209" i="43"/>
  <c r="AV209" i="43" s="1"/>
  <c r="AC292" i="43"/>
  <c r="AV292" i="43" s="1"/>
  <c r="AC366" i="43"/>
  <c r="AV366" i="43" s="1"/>
  <c r="AC396" i="43"/>
  <c r="AV396" i="43" s="1"/>
  <c r="AF94" i="43"/>
  <c r="AC141" i="43"/>
  <c r="AV141" i="43" s="1"/>
  <c r="AC155" i="43"/>
  <c r="AV155" i="43" s="1"/>
  <c r="AC165" i="43"/>
  <c r="AV165" i="43" s="1"/>
  <c r="AC179" i="43"/>
  <c r="AV179" i="43" s="1"/>
  <c r="AC193" i="43"/>
  <c r="AV193" i="43" s="1"/>
  <c r="AC208" i="43"/>
  <c r="AV208" i="43" s="1"/>
  <c r="AC215" i="43"/>
  <c r="AV215" i="43" s="1"/>
  <c r="AC224" i="43"/>
  <c r="AV224" i="43" s="1"/>
  <c r="AC274" i="43"/>
  <c r="AV274" i="43" s="1"/>
  <c r="AC279" i="43"/>
  <c r="AV279" i="43" s="1"/>
  <c r="AC318" i="43"/>
  <c r="AV318" i="43" s="1"/>
  <c r="AC343" i="43"/>
  <c r="AV343" i="43" s="1"/>
  <c r="AC348" i="43"/>
  <c r="AV348" i="43" s="1"/>
  <c r="AC367" i="43"/>
  <c r="AV367" i="43" s="1"/>
  <c r="AC402" i="43"/>
  <c r="AV402" i="43" s="1"/>
  <c r="AC440" i="43"/>
  <c r="AV440" i="43" s="1"/>
  <c r="AC445" i="43"/>
  <c r="AV445" i="43" s="1"/>
  <c r="AC173" i="43"/>
  <c r="AV173" i="43" s="1"/>
  <c r="AC183" i="43"/>
  <c r="AV183" i="43" s="1"/>
  <c r="AC302" i="43"/>
  <c r="AV302" i="43" s="1"/>
  <c r="AC371" i="43"/>
  <c r="AV371" i="43" s="1"/>
  <c r="AC439" i="43"/>
  <c r="AV439" i="43" s="1"/>
  <c r="AC453" i="43"/>
  <c r="AV453" i="43" s="1"/>
  <c r="Z52" i="43"/>
  <c r="AT52" i="43"/>
  <c r="AB62" i="43"/>
  <c r="AU62" i="43" s="1"/>
  <c r="AC137" i="43"/>
  <c r="AV137" i="43" s="1"/>
  <c r="AB142" i="43"/>
  <c r="AU142" i="43" s="1"/>
  <c r="AC147" i="43"/>
  <c r="AV147" i="43" s="1"/>
  <c r="AC166" i="43"/>
  <c r="AV166" i="43" s="1"/>
  <c r="AC171" i="43"/>
  <c r="AV171" i="43" s="1"/>
  <c r="AC185" i="43"/>
  <c r="AV185" i="43" s="1"/>
  <c r="AC211" i="43"/>
  <c r="AV211" i="43" s="1"/>
  <c r="AC221" i="43"/>
  <c r="AV221" i="43" s="1"/>
  <c r="AC240" i="43"/>
  <c r="AV240" i="43" s="1"/>
  <c r="AC275" i="43"/>
  <c r="AV275" i="43" s="1"/>
  <c r="AC285" i="43"/>
  <c r="AV285" i="43" s="1"/>
  <c r="AC290" i="43"/>
  <c r="AV290" i="43" s="1"/>
  <c r="AC294" i="43"/>
  <c r="AV294" i="43" s="1"/>
  <c r="AC330" i="43"/>
  <c r="AV330" i="43" s="1"/>
  <c r="AC354" i="43"/>
  <c r="AV354" i="43" s="1"/>
  <c r="AC359" i="43"/>
  <c r="AV359" i="43" s="1"/>
  <c r="AC398" i="43"/>
  <c r="AV398" i="43" s="1"/>
  <c r="AB408" i="43"/>
  <c r="AU408" i="43" s="1"/>
  <c r="AC441" i="43"/>
  <c r="AV441" i="43" s="1"/>
  <c r="AC446" i="43"/>
  <c r="AV446" i="43" s="1"/>
  <c r="AC247" i="43"/>
  <c r="AV247" i="43" s="1"/>
  <c r="AC282" i="43"/>
  <c r="AV282" i="43" s="1"/>
  <c r="AB347" i="43"/>
  <c r="AU347" i="43" s="1"/>
  <c r="AB405" i="43"/>
  <c r="AU405" i="43" s="1"/>
  <c r="AF86" i="43"/>
  <c r="AB138" i="43"/>
  <c r="AU138" i="43" s="1"/>
  <c r="AC167" i="43"/>
  <c r="AV167" i="43" s="1"/>
  <c r="AC177" i="43"/>
  <c r="AV177" i="43" s="1"/>
  <c r="AC196" i="43"/>
  <c r="AV196" i="43" s="1"/>
  <c r="AC205" i="43"/>
  <c r="AV205" i="43" s="1"/>
  <c r="AC212" i="43"/>
  <c r="AV212" i="43" s="1"/>
  <c r="AC227" i="43"/>
  <c r="AV227" i="43" s="1"/>
  <c r="AC241" i="43"/>
  <c r="AV241" i="43" s="1"/>
  <c r="AC286" i="43"/>
  <c r="AV286" i="43" s="1"/>
  <c r="AC310" i="43"/>
  <c r="AV310" i="43" s="1"/>
  <c r="AC326" i="43"/>
  <c r="AV326" i="43" s="1"/>
  <c r="AC337" i="43"/>
  <c r="AV337" i="43" s="1"/>
  <c r="AC341" i="43"/>
  <c r="AV341" i="43" s="1"/>
  <c r="AC346" i="43"/>
  <c r="AV346" i="43" s="1"/>
  <c r="AC355" i="43"/>
  <c r="AV355" i="43" s="1"/>
  <c r="Z375" i="43"/>
  <c r="AT375" i="43"/>
  <c r="AB404" i="43"/>
  <c r="AU404" i="43" s="1"/>
  <c r="AC442" i="43"/>
  <c r="AV442" i="43" s="1"/>
  <c r="AC447" i="43"/>
  <c r="AV447" i="43" s="1"/>
  <c r="AB456" i="43"/>
  <c r="AU456" i="43" s="1"/>
  <c r="AB48" i="44"/>
  <c r="AU48" i="44" s="1"/>
  <c r="AC62" i="44"/>
  <c r="AV62" i="44" s="1"/>
  <c r="AC51" i="44"/>
  <c r="AV51" i="44" s="1"/>
  <c r="AB29" i="44"/>
  <c r="AU29" i="44" s="1"/>
  <c r="AB52" i="44"/>
  <c r="AU52" i="44" s="1"/>
  <c r="AC61" i="44"/>
  <c r="AV61" i="44" s="1"/>
  <c r="R70" i="44"/>
  <c r="V95" i="44"/>
  <c r="Z137" i="44"/>
  <c r="AB72" i="44"/>
  <c r="AU72" i="44" s="1"/>
  <c r="L143" i="44"/>
  <c r="AG29" i="43"/>
  <c r="AR29" i="43" s="1"/>
  <c r="O476" i="43"/>
  <c r="AO476" i="43"/>
  <c r="AQ291" i="43"/>
  <c r="AX291" i="43" s="1"/>
  <c r="AA148" i="43"/>
  <c r="AA149" i="43"/>
  <c r="AB446" i="43"/>
  <c r="AU446" i="43" s="1"/>
  <c r="AQ446" i="43"/>
  <c r="AX446" i="43" s="1"/>
  <c r="AQ390" i="43"/>
  <c r="AX390" i="43" s="1"/>
  <c r="AB227" i="43"/>
  <c r="AU227" i="43" s="1"/>
  <c r="AB211" i="43"/>
  <c r="AU211" i="43" s="1"/>
  <c r="R477" i="43"/>
  <c r="AQ432" i="43"/>
  <c r="AX432" i="43" s="1"/>
  <c r="AQ404" i="43"/>
  <c r="AX404" i="43" s="1"/>
  <c r="AQ440" i="43"/>
  <c r="AX440" i="43" s="1"/>
  <c r="AQ441" i="43"/>
  <c r="AX441" i="43" s="1"/>
  <c r="AQ442" i="43"/>
  <c r="AX442" i="43" s="1"/>
  <c r="L475" i="43"/>
  <c r="AO478" i="43"/>
  <c r="AB455" i="43"/>
  <c r="AU455" i="43" s="1"/>
  <c r="M477" i="43"/>
  <c r="AQ408" i="43"/>
  <c r="AX408" i="43" s="1"/>
  <c r="AQ456" i="43"/>
  <c r="AX456" i="43" s="1"/>
  <c r="O136" i="44"/>
  <c r="AO136" i="44"/>
  <c r="AQ67" i="44"/>
  <c r="AX67" i="44" s="1"/>
  <c r="O138" i="44"/>
  <c r="AO141" i="44"/>
  <c r="AP144" i="44"/>
  <c r="P131" i="44"/>
  <c r="Z35" i="43"/>
  <c r="R478" i="43"/>
  <c r="AB21" i="43"/>
  <c r="AU21" i="43" s="1"/>
  <c r="AB34" i="43"/>
  <c r="AU34" i="43" s="1"/>
  <c r="V162" i="43"/>
  <c r="AA166" i="43"/>
  <c r="M471" i="43"/>
  <c r="AF471" i="43"/>
  <c r="Z457" i="43"/>
  <c r="Z113" i="43"/>
  <c r="AH465" i="43"/>
  <c r="AN465" i="43"/>
  <c r="N465" i="43"/>
  <c r="T465" i="43"/>
  <c r="AI465" i="43"/>
  <c r="AP142" i="44"/>
  <c r="AO475" i="43"/>
  <c r="L477" i="43"/>
  <c r="AA208" i="43"/>
  <c r="O471" i="43"/>
  <c r="AO471" i="43"/>
  <c r="O472" i="43"/>
  <c r="AQ313" i="43"/>
  <c r="AX313" i="43" s="1"/>
  <c r="AQ424" i="43"/>
  <c r="AX424" i="43" s="1"/>
  <c r="AA439" i="43"/>
  <c r="AQ439" i="43"/>
  <c r="AX439" i="43" s="1"/>
  <c r="Q465" i="43"/>
  <c r="Y465" i="43"/>
  <c r="X465" i="43"/>
  <c r="AF460" i="43"/>
  <c r="AM465" i="43"/>
  <c r="P465" i="43"/>
  <c r="U465" i="43"/>
  <c r="AD465" i="43"/>
  <c r="AJ465" i="43"/>
  <c r="M137" i="44"/>
  <c r="M143" i="44"/>
  <c r="M144" i="44"/>
  <c r="AF144" i="44"/>
  <c r="Z469" i="43"/>
  <c r="V63" i="43"/>
  <c r="AF70" i="43"/>
  <c r="AP471" i="43"/>
  <c r="AQ261" i="43"/>
  <c r="AX261" i="43" s="1"/>
  <c r="AO472" i="43"/>
  <c r="AQ416" i="43"/>
  <c r="AX416" i="43" s="1"/>
  <c r="AQ437" i="43"/>
  <c r="AX437" i="43" s="1"/>
  <c r="AE465" i="43"/>
  <c r="AO143" i="44"/>
  <c r="O144" i="44"/>
  <c r="AO144" i="44"/>
  <c r="AQ104" i="44"/>
  <c r="AX104" i="44" s="1"/>
  <c r="M478" i="43"/>
  <c r="AJ131" i="44"/>
  <c r="T131" i="44"/>
  <c r="X131" i="44"/>
  <c r="L469" i="43"/>
  <c r="V130" i="43"/>
  <c r="AS130" i="43" s="1"/>
  <c r="R476" i="43"/>
  <c r="AF472" i="43"/>
  <c r="L137" i="44"/>
  <c r="V17" i="44"/>
  <c r="AS17" i="44" s="1"/>
  <c r="R142" i="44"/>
  <c r="O135" i="44"/>
  <c r="L144" i="44"/>
  <c r="AO138" i="44"/>
  <c r="AF475" i="43"/>
  <c r="V12" i="44"/>
  <c r="AS12" i="44" s="1"/>
  <c r="AS13" i="44" s="1"/>
  <c r="R141" i="44"/>
  <c r="AP141" i="44"/>
  <c r="M469" i="43"/>
  <c r="AF469" i="43"/>
  <c r="Z475" i="43"/>
  <c r="AF31" i="43"/>
  <c r="AB38" i="43"/>
  <c r="AU38" i="43" s="1"/>
  <c r="L470" i="43"/>
  <c r="Z470" i="43"/>
  <c r="L476" i="43"/>
  <c r="Z476" i="43"/>
  <c r="O477" i="43"/>
  <c r="AO477" i="43"/>
  <c r="AA171" i="43"/>
  <c r="AB193" i="43"/>
  <c r="AU193" i="43" s="1"/>
  <c r="AB205" i="43"/>
  <c r="AU205" i="43" s="1"/>
  <c r="AB221" i="43"/>
  <c r="AU221" i="43" s="1"/>
  <c r="AA224" i="43"/>
  <c r="AB247" i="43"/>
  <c r="AU247" i="43" s="1"/>
  <c r="R471" i="43"/>
  <c r="R472" i="43"/>
  <c r="Z369" i="43"/>
  <c r="AF399" i="43"/>
  <c r="AW137" i="44"/>
  <c r="AF137" i="44"/>
  <c r="L142" i="44"/>
  <c r="AT142" i="44"/>
  <c r="Z142" i="44"/>
  <c r="R135" i="44"/>
  <c r="AP135" i="44"/>
  <c r="AP136" i="44"/>
  <c r="AF143" i="44"/>
  <c r="V30" i="44"/>
  <c r="AS30" i="44" s="1"/>
  <c r="AS35" i="44" s="1"/>
  <c r="R138" i="44"/>
  <c r="AP138" i="44"/>
  <c r="AB33" i="44"/>
  <c r="AU33" i="44" s="1"/>
  <c r="AF56" i="44"/>
  <c r="V64" i="44"/>
  <c r="AS64" i="44" s="1"/>
  <c r="AS70" i="44" s="1"/>
  <c r="AB80" i="44"/>
  <c r="AU80" i="44" s="1"/>
  <c r="AN468" i="43"/>
  <c r="AH468" i="43"/>
  <c r="AO467" i="43" s="1"/>
  <c r="Q131" i="44"/>
  <c r="AE131" i="44"/>
  <c r="AM131" i="44"/>
  <c r="AF142" i="44"/>
  <c r="AF138" i="44"/>
  <c r="Z136" i="44"/>
  <c r="R136" i="44"/>
  <c r="O478" i="43"/>
  <c r="V17" i="43"/>
  <c r="AS17" i="43" s="1"/>
  <c r="R475" i="43"/>
  <c r="AF477" i="43"/>
  <c r="Z143" i="44"/>
  <c r="Z477" i="43"/>
  <c r="L478" i="43"/>
  <c r="Z478" i="43"/>
  <c r="L141" i="44"/>
  <c r="Z141" i="44"/>
  <c r="O469" i="43"/>
  <c r="AO469" i="43"/>
  <c r="M475" i="43"/>
  <c r="AB25" i="43"/>
  <c r="AU25" i="43" s="1"/>
  <c r="AB60" i="43"/>
  <c r="AU60" i="43" s="1"/>
  <c r="V94" i="43"/>
  <c r="M470" i="43"/>
  <c r="AF470" i="43"/>
  <c r="M476" i="43"/>
  <c r="AW476" i="43"/>
  <c r="AF476" i="43"/>
  <c r="AP477" i="43"/>
  <c r="AB217" i="43"/>
  <c r="AU217" i="43" s="1"/>
  <c r="L471" i="43"/>
  <c r="Z471" i="43"/>
  <c r="AQ264" i="43"/>
  <c r="AX264" i="43" s="1"/>
  <c r="L472" i="43"/>
  <c r="AC278" i="43"/>
  <c r="AV278" i="43" s="1"/>
  <c r="AP472" i="43"/>
  <c r="AB396" i="43"/>
  <c r="AU396" i="43" s="1"/>
  <c r="AF120" i="43"/>
  <c r="AF237" i="43"/>
  <c r="O137" i="44"/>
  <c r="AO137" i="44"/>
  <c r="M142" i="44"/>
  <c r="AW142" i="44"/>
  <c r="L135" i="44"/>
  <c r="Z135" i="44"/>
  <c r="L136" i="44"/>
  <c r="O143" i="44"/>
  <c r="L138" i="44"/>
  <c r="AT138" i="44"/>
  <c r="Z138" i="44"/>
  <c r="AZ138" i="44"/>
  <c r="V42" i="44"/>
  <c r="AA58" i="44"/>
  <c r="AA59" i="44"/>
  <c r="AF124" i="44"/>
  <c r="AF478" i="43"/>
  <c r="AP475" i="43"/>
  <c r="AO135" i="44"/>
  <c r="O141" i="44"/>
  <c r="V127" i="43"/>
  <c r="AS127" i="43" s="1"/>
  <c r="R470" i="43"/>
  <c r="AP470" i="43"/>
  <c r="AP476" i="43"/>
  <c r="AF46" i="43"/>
  <c r="AF357" i="43"/>
  <c r="AF141" i="44"/>
  <c r="V14" i="43"/>
  <c r="AS14" i="43" s="1"/>
  <c r="R469" i="43"/>
  <c r="AP469" i="43"/>
  <c r="O475" i="43"/>
  <c r="O470" i="43"/>
  <c r="AO470" i="43"/>
  <c r="AA153" i="43"/>
  <c r="AQ265" i="43"/>
  <c r="AX265" i="43" s="1"/>
  <c r="M472" i="43"/>
  <c r="Z472" i="43"/>
  <c r="V288" i="43"/>
  <c r="Z328" i="43"/>
  <c r="Z162" i="43"/>
  <c r="R137" i="44"/>
  <c r="AP137" i="44"/>
  <c r="O142" i="44"/>
  <c r="AO142" i="44"/>
  <c r="M135" i="44"/>
  <c r="AF135" i="44"/>
  <c r="M136" i="44"/>
  <c r="AF136" i="44"/>
  <c r="V26" i="44"/>
  <c r="AS26" i="44" s="1"/>
  <c r="R143" i="44"/>
  <c r="AP143" i="44"/>
  <c r="M138" i="44"/>
  <c r="AW138" i="44"/>
  <c r="AF84" i="44"/>
  <c r="AF105" i="44"/>
  <c r="V113" i="44"/>
  <c r="AP478" i="43"/>
  <c r="Z144" i="44"/>
  <c r="R144" i="44"/>
  <c r="M141" i="44"/>
  <c r="J131" i="44"/>
  <c r="AH131" i="44"/>
  <c r="AO132" i="44" s="1"/>
  <c r="AN131" i="44"/>
  <c r="AM468" i="43"/>
  <c r="Y468" i="43"/>
  <c r="U468" i="43"/>
  <c r="Q468" i="43"/>
  <c r="AD468" i="43"/>
  <c r="N468" i="43"/>
  <c r="N131" i="44"/>
  <c r="Y131" i="44"/>
  <c r="AI131" i="44"/>
  <c r="U131" i="44"/>
  <c r="AD131" i="44"/>
  <c r="AJ468" i="43"/>
  <c r="X468" i="43"/>
  <c r="T468" i="43"/>
  <c r="P468" i="43"/>
  <c r="AI468" i="43"/>
  <c r="AP467" i="43" s="1"/>
  <c r="AE468" i="43"/>
  <c r="W468" i="43"/>
  <c r="S468" i="43"/>
  <c r="J468" i="43"/>
  <c r="U134" i="44"/>
  <c r="T134" i="44"/>
  <c r="AI134" i="44"/>
  <c r="AP133" i="44" s="1"/>
  <c r="AE134" i="44"/>
  <c r="S134" i="44"/>
  <c r="AJ134" i="44"/>
  <c r="X134" i="44"/>
  <c r="AN134" i="44"/>
  <c r="AH134" i="44"/>
  <c r="AD134" i="44"/>
  <c r="AM134" i="44"/>
  <c r="Y134" i="44"/>
  <c r="AC50" i="44"/>
  <c r="AV50" i="44" s="1"/>
  <c r="V56" i="44"/>
  <c r="V14" i="44"/>
  <c r="AS14" i="44" s="1"/>
  <c r="R19" i="44"/>
  <c r="AW12" i="44"/>
  <c r="AW13" i="44" s="1"/>
  <c r="AF13" i="44"/>
  <c r="Z77" i="44"/>
  <c r="Z84" i="44"/>
  <c r="AF130" i="44"/>
  <c r="R56" i="44"/>
  <c r="Z19" i="44"/>
  <c r="V20" i="44"/>
  <c r="AS20" i="44" s="1"/>
  <c r="R28" i="44"/>
  <c r="V43" i="44"/>
  <c r="AS43" i="44" s="1"/>
  <c r="AS49" i="44" s="1"/>
  <c r="R49" i="44"/>
  <c r="AF63" i="44"/>
  <c r="AQ66" i="44"/>
  <c r="AX66" i="44" s="1"/>
  <c r="AB73" i="44"/>
  <c r="AU73" i="44" s="1"/>
  <c r="AF91" i="44"/>
  <c r="V102" i="44"/>
  <c r="AS102" i="44" s="1"/>
  <c r="AS105" i="44" s="1"/>
  <c r="R105" i="44"/>
  <c r="AF113" i="44"/>
  <c r="R35" i="44"/>
  <c r="Z35" i="44"/>
  <c r="AY12" i="44"/>
  <c r="AY13" i="44" s="1"/>
  <c r="AZ12" i="44"/>
  <c r="AZ13" i="44" s="1"/>
  <c r="AB16" i="44"/>
  <c r="AU16" i="44" s="1"/>
  <c r="Z28" i="44"/>
  <c r="AF42" i="44"/>
  <c r="Z49" i="44"/>
  <c r="Z56" i="44"/>
  <c r="AA54" i="44"/>
  <c r="AB66" i="44"/>
  <c r="AU66" i="44" s="1"/>
  <c r="AQ71" i="44"/>
  <c r="AX71" i="44" s="1"/>
  <c r="Z101" i="44"/>
  <c r="AB129" i="44"/>
  <c r="AU129" i="44" s="1"/>
  <c r="R13" i="44"/>
  <c r="Z13" i="44"/>
  <c r="AF19" i="44"/>
  <c r="R42" i="44"/>
  <c r="Z42" i="44"/>
  <c r="AF49" i="44"/>
  <c r="R113" i="44"/>
  <c r="Z113" i="44"/>
  <c r="Z63" i="44"/>
  <c r="Z91" i="44"/>
  <c r="Z70" i="44"/>
  <c r="AB24" i="44"/>
  <c r="AU24" i="44" s="1"/>
  <c r="AF35" i="44"/>
  <c r="AB34" i="44"/>
  <c r="AU34" i="44" s="1"/>
  <c r="AA55" i="44"/>
  <c r="V57" i="44"/>
  <c r="AS57" i="44" s="1"/>
  <c r="AS63" i="44" s="1"/>
  <c r="R63" i="44"/>
  <c r="V71" i="44"/>
  <c r="AS71" i="44" s="1"/>
  <c r="AS77" i="44" s="1"/>
  <c r="R77" i="44"/>
  <c r="AB76" i="44"/>
  <c r="AU76" i="44" s="1"/>
  <c r="AB81" i="44"/>
  <c r="AU81" i="44" s="1"/>
  <c r="AF101" i="44"/>
  <c r="V106" i="44"/>
  <c r="AS106" i="44" s="1"/>
  <c r="AS107" i="44" s="1"/>
  <c r="R107" i="44"/>
  <c r="AF115" i="44"/>
  <c r="AF28" i="44"/>
  <c r="R95" i="44"/>
  <c r="Z95" i="44"/>
  <c r="AF70" i="44"/>
  <c r="AF95" i="44"/>
  <c r="AQ100" i="44"/>
  <c r="AX100" i="44" s="1"/>
  <c r="Z105" i="44"/>
  <c r="Z107" i="44"/>
  <c r="V114" i="44"/>
  <c r="AS114" i="44" s="1"/>
  <c r="AS115" i="44" s="1"/>
  <c r="R115" i="44"/>
  <c r="V116" i="44"/>
  <c r="AS116" i="44" s="1"/>
  <c r="AS124" i="44" s="1"/>
  <c r="R124" i="44"/>
  <c r="V125" i="44"/>
  <c r="AS125" i="44" s="1"/>
  <c r="AS130" i="44" s="1"/>
  <c r="R130" i="44"/>
  <c r="AF77" i="44"/>
  <c r="V78" i="44"/>
  <c r="AS78" i="44" s="1"/>
  <c r="AS84" i="44" s="1"/>
  <c r="R84" i="44"/>
  <c r="V85" i="44"/>
  <c r="AS85" i="44" s="1"/>
  <c r="AS91" i="44" s="1"/>
  <c r="R91" i="44"/>
  <c r="V96" i="44"/>
  <c r="AS96" i="44" s="1"/>
  <c r="AS101" i="44" s="1"/>
  <c r="R101" i="44"/>
  <c r="AF107" i="44"/>
  <c r="Z115" i="44"/>
  <c r="Z124" i="44"/>
  <c r="Z130" i="44"/>
  <c r="AC89" i="44"/>
  <c r="AV89" i="44" s="1"/>
  <c r="AA89" i="44"/>
  <c r="AQ106" i="44"/>
  <c r="AX106" i="44" s="1"/>
  <c r="AX107" i="44" s="1"/>
  <c r="AC83" i="44"/>
  <c r="AV83" i="44" s="1"/>
  <c r="AA83" i="44"/>
  <c r="AC87" i="44"/>
  <c r="AV87" i="44" s="1"/>
  <c r="AA87" i="44"/>
  <c r="AC100" i="44"/>
  <c r="AV100" i="44" s="1"/>
  <c r="AA100" i="44"/>
  <c r="AA50" i="44"/>
  <c r="AC93" i="44"/>
  <c r="AV93" i="44" s="1"/>
  <c r="AA93" i="44"/>
  <c r="AC110" i="44"/>
  <c r="AV110" i="44" s="1"/>
  <c r="AA110" i="44"/>
  <c r="AC97" i="44"/>
  <c r="AV97" i="44" s="1"/>
  <c r="AA97" i="44"/>
  <c r="AQ102" i="44"/>
  <c r="AX102" i="44" s="1"/>
  <c r="AQ103" i="44"/>
  <c r="AX103" i="44" s="1"/>
  <c r="AC111" i="44"/>
  <c r="AV111" i="44" s="1"/>
  <c r="AA111" i="44"/>
  <c r="AB120" i="44"/>
  <c r="AU120" i="44" s="1"/>
  <c r="AB67" i="44"/>
  <c r="AU67" i="44" s="1"/>
  <c r="AC94" i="44"/>
  <c r="AV94" i="44" s="1"/>
  <c r="AA94" i="44"/>
  <c r="AC98" i="44"/>
  <c r="AV98" i="44" s="1"/>
  <c r="AA98" i="44"/>
  <c r="AQ99" i="44"/>
  <c r="AX99" i="44" s="1"/>
  <c r="AC103" i="44"/>
  <c r="AV103" i="44" s="1"/>
  <c r="AA103" i="44"/>
  <c r="AC108" i="44"/>
  <c r="AV108" i="44" s="1"/>
  <c r="AA108" i="44"/>
  <c r="AC112" i="44"/>
  <c r="AV112" i="44" s="1"/>
  <c r="AA112" i="44"/>
  <c r="AB117" i="44"/>
  <c r="AU117" i="44" s="1"/>
  <c r="AB121" i="44"/>
  <c r="AU121" i="44" s="1"/>
  <c r="AB126" i="44"/>
  <c r="AU126" i="44" s="1"/>
  <c r="AB119" i="44"/>
  <c r="AU119" i="44" s="1"/>
  <c r="AB15" i="44"/>
  <c r="AU15" i="44" s="1"/>
  <c r="AB23" i="44"/>
  <c r="AU23" i="44" s="1"/>
  <c r="AB27" i="44"/>
  <c r="AU27" i="44" s="1"/>
  <c r="AC86" i="44"/>
  <c r="AV86" i="44" s="1"/>
  <c r="AA86" i="44"/>
  <c r="AC88" i="44"/>
  <c r="AV88" i="44" s="1"/>
  <c r="AA88" i="44"/>
  <c r="AC90" i="44"/>
  <c r="AV90" i="44" s="1"/>
  <c r="AA90" i="44"/>
  <c r="AC92" i="44"/>
  <c r="AV92" i="44" s="1"/>
  <c r="AA92" i="44"/>
  <c r="AC104" i="44"/>
  <c r="AV104" i="44" s="1"/>
  <c r="AA104" i="44"/>
  <c r="AC109" i="44"/>
  <c r="AV109" i="44" s="1"/>
  <c r="AA109" i="44"/>
  <c r="AB118" i="44"/>
  <c r="AU118" i="44" s="1"/>
  <c r="AB122" i="44"/>
  <c r="AU122" i="44" s="1"/>
  <c r="AQ108" i="44"/>
  <c r="AX108" i="44" s="1"/>
  <c r="AQ109" i="44"/>
  <c r="AX109" i="44" s="1"/>
  <c r="AQ110" i="44"/>
  <c r="AX110" i="44" s="1"/>
  <c r="AQ111" i="44"/>
  <c r="AX111" i="44" s="1"/>
  <c r="AQ112" i="44"/>
  <c r="AX112" i="44" s="1"/>
  <c r="AQ89" i="44"/>
  <c r="AX89" i="44" s="1"/>
  <c r="AQ90" i="44"/>
  <c r="AX90" i="44" s="1"/>
  <c r="AQ92" i="44"/>
  <c r="AX92" i="44" s="1"/>
  <c r="AQ93" i="44"/>
  <c r="AX93" i="44" s="1"/>
  <c r="AQ97" i="44"/>
  <c r="AX97" i="44" s="1"/>
  <c r="AB83" i="44"/>
  <c r="AU83" i="44" s="1"/>
  <c r="AB86" i="44"/>
  <c r="AU86" i="44" s="1"/>
  <c r="AB87" i="44"/>
  <c r="AU87" i="44" s="1"/>
  <c r="AB88" i="44"/>
  <c r="AU88" i="44" s="1"/>
  <c r="AB89" i="44"/>
  <c r="AU89" i="44" s="1"/>
  <c r="AB90" i="44"/>
  <c r="AU90" i="44" s="1"/>
  <c r="AB92" i="44"/>
  <c r="AU92" i="44" s="1"/>
  <c r="AB93" i="44"/>
  <c r="AU93" i="44" s="1"/>
  <c r="AB94" i="44"/>
  <c r="AU94" i="44" s="1"/>
  <c r="AB97" i="44"/>
  <c r="AU97" i="44" s="1"/>
  <c r="AB98" i="44"/>
  <c r="AU98" i="44" s="1"/>
  <c r="AC99" i="44"/>
  <c r="AV99" i="44" s="1"/>
  <c r="AB99" i="44"/>
  <c r="AU99" i="44" s="1"/>
  <c r="AQ114" i="44"/>
  <c r="AX114" i="44" s="1"/>
  <c r="AX115" i="44" s="1"/>
  <c r="AA128" i="44"/>
  <c r="AC128" i="44"/>
  <c r="AV128" i="44" s="1"/>
  <c r="AB128" i="44"/>
  <c r="AU128" i="44" s="1"/>
  <c r="AQ83" i="44"/>
  <c r="AX83" i="44" s="1"/>
  <c r="AQ85" i="44"/>
  <c r="AX85" i="44" s="1"/>
  <c r="AQ86" i="44"/>
  <c r="AX86" i="44" s="1"/>
  <c r="AQ87" i="44"/>
  <c r="AX87" i="44" s="1"/>
  <c r="AQ88" i="44"/>
  <c r="AX88" i="44" s="1"/>
  <c r="AQ94" i="44"/>
  <c r="AX94" i="44" s="1"/>
  <c r="AQ96" i="44"/>
  <c r="AX96" i="44" s="1"/>
  <c r="AQ98" i="44"/>
  <c r="AX98" i="44" s="1"/>
  <c r="AA99" i="44"/>
  <c r="AQ128" i="44"/>
  <c r="AX128" i="44" s="1"/>
  <c r="AB100" i="44"/>
  <c r="AU100" i="44" s="1"/>
  <c r="AB103" i="44"/>
  <c r="AU103" i="44" s="1"/>
  <c r="AB104" i="44"/>
  <c r="AU104" i="44" s="1"/>
  <c r="AB108" i="44"/>
  <c r="AU108" i="44" s="1"/>
  <c r="AB109" i="44"/>
  <c r="AU109" i="44" s="1"/>
  <c r="AB110" i="44"/>
  <c r="AU110" i="44" s="1"/>
  <c r="AB111" i="44"/>
  <c r="AU111" i="44" s="1"/>
  <c r="AB112" i="44"/>
  <c r="AU112" i="44" s="1"/>
  <c r="AB123" i="44"/>
  <c r="AU123" i="44" s="1"/>
  <c r="AQ125" i="44"/>
  <c r="AX125" i="44" s="1"/>
  <c r="AB127" i="44"/>
  <c r="AU127" i="44" s="1"/>
  <c r="AA129" i="44"/>
  <c r="AC129" i="44"/>
  <c r="AV129" i="44" s="1"/>
  <c r="AQ129" i="44"/>
  <c r="AX129" i="44" s="1"/>
  <c r="AQ116" i="44"/>
  <c r="AX116" i="44" s="1"/>
  <c r="AA117" i="44"/>
  <c r="AC117" i="44"/>
  <c r="AV117" i="44" s="1"/>
  <c r="AQ117" i="44"/>
  <c r="AX117" i="44" s="1"/>
  <c r="AA118" i="44"/>
  <c r="AC118" i="44"/>
  <c r="AV118" i="44" s="1"/>
  <c r="AQ118" i="44"/>
  <c r="AX118" i="44" s="1"/>
  <c r="AA119" i="44"/>
  <c r="AC119" i="44"/>
  <c r="AV119" i="44" s="1"/>
  <c r="AQ119" i="44"/>
  <c r="AX119" i="44" s="1"/>
  <c r="AA120" i="44"/>
  <c r="AC120" i="44"/>
  <c r="AV120" i="44" s="1"/>
  <c r="AQ120" i="44"/>
  <c r="AX120" i="44" s="1"/>
  <c r="AA121" i="44"/>
  <c r="AC121" i="44"/>
  <c r="AV121" i="44" s="1"/>
  <c r="AQ121" i="44"/>
  <c r="AX121" i="44" s="1"/>
  <c r="AA122" i="44"/>
  <c r="AC122" i="44"/>
  <c r="AV122" i="44" s="1"/>
  <c r="AQ122" i="44"/>
  <c r="AX122" i="44" s="1"/>
  <c r="AA126" i="44"/>
  <c r="AC126" i="44"/>
  <c r="AV126" i="44" s="1"/>
  <c r="AQ126" i="44"/>
  <c r="AX126" i="44" s="1"/>
  <c r="AA123" i="44"/>
  <c r="AC123" i="44"/>
  <c r="AV123" i="44" s="1"/>
  <c r="AQ123" i="44"/>
  <c r="AX123" i="44" s="1"/>
  <c r="AA127" i="44"/>
  <c r="AC127" i="44"/>
  <c r="AV127" i="44" s="1"/>
  <c r="AQ127" i="44"/>
  <c r="AX127" i="44" s="1"/>
  <c r="AA53" i="44"/>
  <c r="AB53" i="44"/>
  <c r="AU53" i="44" s="1"/>
  <c r="AC53" i="44"/>
  <c r="AV53" i="44" s="1"/>
  <c r="AQ64" i="44"/>
  <c r="AX64" i="44" s="1"/>
  <c r="AQ68" i="44"/>
  <c r="AX68" i="44" s="1"/>
  <c r="AA79" i="44"/>
  <c r="AC79" i="44"/>
  <c r="AV79" i="44" s="1"/>
  <c r="AB79" i="44"/>
  <c r="AU79" i="44" s="1"/>
  <c r="AB50" i="44"/>
  <c r="AU50" i="44" s="1"/>
  <c r="AQ50" i="44"/>
  <c r="AX50" i="44" s="1"/>
  <c r="AA51" i="44"/>
  <c r="AQ54" i="44"/>
  <c r="AX54" i="44" s="1"/>
  <c r="AQ55" i="44"/>
  <c r="AX55" i="44" s="1"/>
  <c r="AQ57" i="44"/>
  <c r="AX57" i="44" s="1"/>
  <c r="AQ58" i="44"/>
  <c r="AX58" i="44" s="1"/>
  <c r="AQ59" i="44"/>
  <c r="AX59" i="44" s="1"/>
  <c r="AA68" i="44"/>
  <c r="AC68" i="44"/>
  <c r="AV68" i="44" s="1"/>
  <c r="AB68" i="44"/>
  <c r="AU68" i="44" s="1"/>
  <c r="AC48" i="44"/>
  <c r="AV48" i="44" s="1"/>
  <c r="AA60" i="44"/>
  <c r="AA48" i="44"/>
  <c r="AB51" i="44"/>
  <c r="AU51" i="44" s="1"/>
  <c r="AQ51" i="44"/>
  <c r="AX51" i="44" s="1"/>
  <c r="AA52" i="44"/>
  <c r="AB54" i="44"/>
  <c r="AU54" i="44" s="1"/>
  <c r="AB55" i="44"/>
  <c r="AU55" i="44" s="1"/>
  <c r="AB58" i="44"/>
  <c r="AU58" i="44" s="1"/>
  <c r="AB59" i="44"/>
  <c r="AU59" i="44" s="1"/>
  <c r="AB60" i="44"/>
  <c r="AU60" i="44" s="1"/>
  <c r="AB61" i="44"/>
  <c r="AU61" i="44" s="1"/>
  <c r="AA61" i="44"/>
  <c r="AC52" i="44"/>
  <c r="AV52" i="44" s="1"/>
  <c r="AQ53" i="44"/>
  <c r="AX53" i="44" s="1"/>
  <c r="AA75" i="44"/>
  <c r="AC75" i="44"/>
  <c r="AV75" i="44" s="1"/>
  <c r="AB75" i="44"/>
  <c r="AU75" i="44" s="1"/>
  <c r="AQ48" i="44"/>
  <c r="AX48" i="44" s="1"/>
  <c r="AQ52" i="44"/>
  <c r="AX52" i="44" s="1"/>
  <c r="AC54" i="44"/>
  <c r="AV54" i="44" s="1"/>
  <c r="AC55" i="44"/>
  <c r="AV55" i="44" s="1"/>
  <c r="AC58" i="44"/>
  <c r="AV58" i="44" s="1"/>
  <c r="AC59" i="44"/>
  <c r="AV59" i="44" s="1"/>
  <c r="AC60" i="44"/>
  <c r="AV60" i="44" s="1"/>
  <c r="AB62" i="44"/>
  <c r="AU62" i="44" s="1"/>
  <c r="AA62" i="44"/>
  <c r="AQ75" i="44"/>
  <c r="AX75" i="44" s="1"/>
  <c r="AQ79" i="44"/>
  <c r="AX79" i="44" s="1"/>
  <c r="AQ60" i="44"/>
  <c r="AX60" i="44" s="1"/>
  <c r="AQ61" i="44"/>
  <c r="AX61" i="44" s="1"/>
  <c r="AQ62" i="44"/>
  <c r="AX62" i="44" s="1"/>
  <c r="AB65" i="44"/>
  <c r="AU65" i="44" s="1"/>
  <c r="AQ65" i="44"/>
  <c r="AX65" i="44" s="1"/>
  <c r="AA67" i="44"/>
  <c r="AC67" i="44"/>
  <c r="AV67" i="44" s="1"/>
  <c r="AB69" i="44"/>
  <c r="AU69" i="44" s="1"/>
  <c r="AQ69" i="44"/>
  <c r="AX69" i="44" s="1"/>
  <c r="AB74" i="44"/>
  <c r="AU74" i="44" s="1"/>
  <c r="AA76" i="44"/>
  <c r="AC76" i="44"/>
  <c r="AV76" i="44" s="1"/>
  <c r="AQ76" i="44"/>
  <c r="AX76" i="44" s="1"/>
  <c r="AA80" i="44"/>
  <c r="AC80" i="44"/>
  <c r="AV80" i="44" s="1"/>
  <c r="AQ80" i="44"/>
  <c r="AX80" i="44" s="1"/>
  <c r="AB82" i="44"/>
  <c r="AU82" i="44" s="1"/>
  <c r="AA66" i="44"/>
  <c r="AC66" i="44"/>
  <c r="AV66" i="44" s="1"/>
  <c r="AA72" i="44"/>
  <c r="AC72" i="44"/>
  <c r="AV72" i="44" s="1"/>
  <c r="AQ72" i="44"/>
  <c r="AX72" i="44" s="1"/>
  <c r="AA73" i="44"/>
  <c r="AC73" i="44"/>
  <c r="AV73" i="44" s="1"/>
  <c r="AQ73" i="44"/>
  <c r="AX73" i="44" s="1"/>
  <c r="AA81" i="44"/>
  <c r="AC81" i="44"/>
  <c r="AV81" i="44" s="1"/>
  <c r="AQ81" i="44"/>
  <c r="AX81" i="44" s="1"/>
  <c r="AA65" i="44"/>
  <c r="AC65" i="44"/>
  <c r="AV65" i="44" s="1"/>
  <c r="AA69" i="44"/>
  <c r="AC69" i="44"/>
  <c r="AV69" i="44" s="1"/>
  <c r="AA74" i="44"/>
  <c r="AC74" i="44"/>
  <c r="AV74" i="44" s="1"/>
  <c r="AQ74" i="44"/>
  <c r="AX74" i="44" s="1"/>
  <c r="AQ78" i="44"/>
  <c r="AX78" i="44" s="1"/>
  <c r="AA82" i="44"/>
  <c r="AC82" i="44"/>
  <c r="AV82" i="44" s="1"/>
  <c r="AQ82" i="44"/>
  <c r="AX82" i="44" s="1"/>
  <c r="AA39" i="44"/>
  <c r="AC39" i="44"/>
  <c r="AV39" i="44" s="1"/>
  <c r="AB39" i="44"/>
  <c r="AU39" i="44" s="1"/>
  <c r="AA38" i="44"/>
  <c r="AC38" i="44"/>
  <c r="AV38" i="44" s="1"/>
  <c r="AB38" i="44"/>
  <c r="AU38" i="44" s="1"/>
  <c r="AA46" i="44"/>
  <c r="AC46" i="44"/>
  <c r="AV46" i="44" s="1"/>
  <c r="AB46" i="44"/>
  <c r="AU46" i="44" s="1"/>
  <c r="AA47" i="44"/>
  <c r="AC47" i="44"/>
  <c r="AV47" i="44" s="1"/>
  <c r="AB47" i="44"/>
  <c r="AU47" i="44" s="1"/>
  <c r="AA33" i="44"/>
  <c r="AC33" i="44"/>
  <c r="AV33" i="44" s="1"/>
  <c r="AQ33" i="44"/>
  <c r="AX33" i="44" s="1"/>
  <c r="AA34" i="44"/>
  <c r="AC34" i="44"/>
  <c r="AV34" i="44" s="1"/>
  <c r="AQ34" i="44"/>
  <c r="AX34" i="44" s="1"/>
  <c r="AA37" i="44"/>
  <c r="AC37" i="44"/>
  <c r="AV37" i="44" s="1"/>
  <c r="AB37" i="44"/>
  <c r="AU37" i="44" s="1"/>
  <c r="AA41" i="44"/>
  <c r="AC41" i="44"/>
  <c r="AV41" i="44" s="1"/>
  <c r="AB41" i="44"/>
  <c r="AU41" i="44" s="1"/>
  <c r="AA45" i="44"/>
  <c r="AC45" i="44"/>
  <c r="AV45" i="44" s="1"/>
  <c r="AB45" i="44"/>
  <c r="AU45" i="44" s="1"/>
  <c r="AA36" i="44"/>
  <c r="AC36" i="44"/>
  <c r="AV36" i="44" s="1"/>
  <c r="AB36" i="44"/>
  <c r="AU36" i="44" s="1"/>
  <c r="AA40" i="44"/>
  <c r="AC40" i="44"/>
  <c r="AV40" i="44" s="1"/>
  <c r="AB40" i="44"/>
  <c r="AU40" i="44" s="1"/>
  <c r="AA44" i="44"/>
  <c r="AC44" i="44"/>
  <c r="AV44" i="44" s="1"/>
  <c r="AB44" i="44"/>
  <c r="AU44" i="44" s="1"/>
  <c r="AQ47" i="44"/>
  <c r="AX47" i="44" s="1"/>
  <c r="AQ36" i="44"/>
  <c r="AX36" i="44" s="1"/>
  <c r="AQ37" i="44"/>
  <c r="AX37" i="44" s="1"/>
  <c r="AQ38" i="44"/>
  <c r="AX38" i="44" s="1"/>
  <c r="AQ39" i="44"/>
  <c r="AX39" i="44" s="1"/>
  <c r="AQ40" i="44"/>
  <c r="AX40" i="44" s="1"/>
  <c r="AQ41" i="44"/>
  <c r="AX41" i="44" s="1"/>
  <c r="AQ43" i="44"/>
  <c r="AX43" i="44" s="1"/>
  <c r="AQ44" i="44"/>
  <c r="AX44" i="44" s="1"/>
  <c r="AQ45" i="44"/>
  <c r="AX45" i="44" s="1"/>
  <c r="AQ46" i="44"/>
  <c r="AX46" i="44" s="1"/>
  <c r="AQ14" i="44"/>
  <c r="AX14" i="44" s="1"/>
  <c r="AA18" i="44"/>
  <c r="AC18" i="44"/>
  <c r="AV18" i="44" s="1"/>
  <c r="AQ18" i="44"/>
  <c r="AX18" i="44" s="1"/>
  <c r="AA22" i="44"/>
  <c r="AC22" i="44"/>
  <c r="AV22" i="44" s="1"/>
  <c r="AQ22" i="44"/>
  <c r="AX22" i="44" s="1"/>
  <c r="AQ26" i="44"/>
  <c r="AX26" i="44" s="1"/>
  <c r="AA15" i="44"/>
  <c r="AC15" i="44"/>
  <c r="AV15" i="44" s="1"/>
  <c r="AQ15" i="44"/>
  <c r="AX15" i="44" s="1"/>
  <c r="AB21" i="44"/>
  <c r="AU21" i="44" s="1"/>
  <c r="AA23" i="44"/>
  <c r="AC23" i="44"/>
  <c r="AV23" i="44" s="1"/>
  <c r="AQ23" i="44"/>
  <c r="AX23" i="44" s="1"/>
  <c r="AB25" i="44"/>
  <c r="AU25" i="44" s="1"/>
  <c r="AA27" i="44"/>
  <c r="AC27" i="44"/>
  <c r="AV27" i="44" s="1"/>
  <c r="AQ27" i="44"/>
  <c r="AX27" i="44" s="1"/>
  <c r="AA32" i="44"/>
  <c r="AC32" i="44"/>
  <c r="AV32" i="44" s="1"/>
  <c r="AB32" i="44"/>
  <c r="AU32" i="44" s="1"/>
  <c r="AA16" i="44"/>
  <c r="AC16" i="44"/>
  <c r="AV16" i="44" s="1"/>
  <c r="AQ16" i="44"/>
  <c r="AX16" i="44" s="1"/>
  <c r="AB18" i="44"/>
  <c r="AU18" i="44" s="1"/>
  <c r="AQ20" i="44"/>
  <c r="AX20" i="44" s="1"/>
  <c r="AB22" i="44"/>
  <c r="AU22" i="44" s="1"/>
  <c r="AA24" i="44"/>
  <c r="AC24" i="44"/>
  <c r="AV24" i="44" s="1"/>
  <c r="AQ24" i="44"/>
  <c r="AX24" i="44" s="1"/>
  <c r="AA31" i="44"/>
  <c r="AC31" i="44"/>
  <c r="AV31" i="44" s="1"/>
  <c r="AB31" i="44"/>
  <c r="AU31" i="44" s="1"/>
  <c r="AQ17" i="44"/>
  <c r="AX17" i="44" s="1"/>
  <c r="AA21" i="44"/>
  <c r="AC21" i="44"/>
  <c r="AV21" i="44" s="1"/>
  <c r="AQ21" i="44"/>
  <c r="AX21" i="44" s="1"/>
  <c r="AA25" i="44"/>
  <c r="AC25" i="44"/>
  <c r="AV25" i="44" s="1"/>
  <c r="AQ25" i="44"/>
  <c r="AX25" i="44" s="1"/>
  <c r="AA29" i="44"/>
  <c r="AC29" i="44"/>
  <c r="AV29" i="44" s="1"/>
  <c r="AQ29" i="44"/>
  <c r="AX29" i="44" s="1"/>
  <c r="AQ30" i="44"/>
  <c r="AX30" i="44" s="1"/>
  <c r="AQ31" i="44"/>
  <c r="AX31" i="44" s="1"/>
  <c r="AQ32" i="44"/>
  <c r="AX32" i="44" s="1"/>
  <c r="V12" i="43"/>
  <c r="AC12" i="43" s="1"/>
  <c r="Z31" i="43"/>
  <c r="AF39" i="43"/>
  <c r="Z46" i="43"/>
  <c r="V64" i="43"/>
  <c r="AS64" i="43" s="1"/>
  <c r="AS67" i="43" s="1"/>
  <c r="AF113" i="43"/>
  <c r="AF116" i="43"/>
  <c r="Z120" i="43"/>
  <c r="V121" i="43"/>
  <c r="AS121" i="43" s="1"/>
  <c r="AS125" i="43" s="1"/>
  <c r="V133" i="43"/>
  <c r="AS133" i="43" s="1"/>
  <c r="AS139" i="43" s="1"/>
  <c r="Z157" i="43"/>
  <c r="Z168" i="43"/>
  <c r="V201" i="43"/>
  <c r="AS201" i="43" s="1"/>
  <c r="AS206" i="43" s="1"/>
  <c r="V220" i="43"/>
  <c r="AS220" i="43" s="1"/>
  <c r="AS225" i="43" s="1"/>
  <c r="AF276" i="43"/>
  <c r="V289" i="43"/>
  <c r="AS289" i="43" s="1"/>
  <c r="AS296" i="43" s="1"/>
  <c r="V327" i="43"/>
  <c r="AS327" i="43" s="1"/>
  <c r="AS328" i="43" s="1"/>
  <c r="AQ453" i="43"/>
  <c r="AX453" i="43" s="1"/>
  <c r="Z464" i="43"/>
  <c r="Z79" i="43"/>
  <c r="AF102" i="43"/>
  <c r="Z139" i="43"/>
  <c r="V169" i="43"/>
  <c r="AS169" i="43" s="1"/>
  <c r="AS174" i="43" s="1"/>
  <c r="AF187" i="43"/>
  <c r="Z187" i="43"/>
  <c r="Z194" i="43"/>
  <c r="V195" i="43"/>
  <c r="AS195" i="43" s="1"/>
  <c r="AS200" i="43" s="1"/>
  <c r="Z206" i="43"/>
  <c r="V207" i="43"/>
  <c r="AS207" i="43" s="1"/>
  <c r="AS213" i="43" s="1"/>
  <c r="Z231" i="43"/>
  <c r="AC228" i="43"/>
  <c r="AV228" i="43" s="1"/>
  <c r="AA228" i="43"/>
  <c r="Z237" i="43"/>
  <c r="AF256" i="43"/>
  <c r="V263" i="43"/>
  <c r="AS263" i="43" s="1"/>
  <c r="AS266" i="43" s="1"/>
  <c r="Z272" i="43"/>
  <c r="AQ268" i="43"/>
  <c r="AX268" i="43" s="1"/>
  <c r="AQ269" i="43"/>
  <c r="AX269" i="43" s="1"/>
  <c r="AF283" i="43"/>
  <c r="AQ278" i="43"/>
  <c r="AX278" i="43" s="1"/>
  <c r="Z296" i="43"/>
  <c r="Z298" i="43"/>
  <c r="AF305" i="43"/>
  <c r="Z316" i="43"/>
  <c r="AQ314" i="43"/>
  <c r="AX314" i="43" s="1"/>
  <c r="AQ320" i="43"/>
  <c r="AX320" i="43" s="1"/>
  <c r="V323" i="43"/>
  <c r="AS323" i="43" s="1"/>
  <c r="AS324" i="43" s="1"/>
  <c r="V329" i="43"/>
  <c r="AS329" i="43" s="1"/>
  <c r="AS332" i="43" s="1"/>
  <c r="AF373" i="43"/>
  <c r="V374" i="43"/>
  <c r="AS374" i="43" s="1"/>
  <c r="AS375" i="43" s="1"/>
  <c r="AF409" i="43"/>
  <c r="V410" i="43"/>
  <c r="AS410" i="43" s="1"/>
  <c r="AS415" i="43" s="1"/>
  <c r="AF422" i="43"/>
  <c r="V430" i="43"/>
  <c r="AS430" i="43" s="1"/>
  <c r="AS436" i="43" s="1"/>
  <c r="AF59" i="43"/>
  <c r="AF75" i="43"/>
  <c r="AF90" i="43"/>
  <c r="Z22" i="43"/>
  <c r="AF27" i="43"/>
  <c r="Z59" i="43"/>
  <c r="Z70" i="43"/>
  <c r="V76" i="43"/>
  <c r="AS76" i="43" s="1"/>
  <c r="AS79" i="43" s="1"/>
  <c r="AF151" i="43"/>
  <c r="AC188" i="43"/>
  <c r="AV188" i="43" s="1"/>
  <c r="V194" i="43"/>
  <c r="Z256" i="43"/>
  <c r="AF288" i="43"/>
  <c r="AQ293" i="43"/>
  <c r="AX293" i="43" s="1"/>
  <c r="Z335" i="43"/>
  <c r="V400" i="43"/>
  <c r="AS400" i="43" s="1"/>
  <c r="AS406" i="43" s="1"/>
  <c r="Z422" i="43"/>
  <c r="AQ431" i="43"/>
  <c r="AX431" i="43" s="1"/>
  <c r="AC435" i="43"/>
  <c r="AV435" i="43" s="1"/>
  <c r="AA435" i="43"/>
  <c r="AQ445" i="43"/>
  <c r="AX445" i="43" s="1"/>
  <c r="Z18" i="43"/>
  <c r="AF22" i="43"/>
  <c r="AF52" i="43"/>
  <c r="AF63" i="43"/>
  <c r="V80" i="43"/>
  <c r="AS80" i="43" s="1"/>
  <c r="AS82" i="43" s="1"/>
  <c r="Z94" i="43"/>
  <c r="Z105" i="43"/>
  <c r="AF145" i="43"/>
  <c r="AF168" i="43"/>
  <c r="Z180" i="43"/>
  <c r="AF219" i="43"/>
  <c r="AF18" i="43"/>
  <c r="V36" i="43"/>
  <c r="AS36" i="43" s="1"/>
  <c r="AS39" i="43" s="1"/>
  <c r="Z42" i="43"/>
  <c r="V47" i="43"/>
  <c r="AS47" i="43" s="1"/>
  <c r="AS49" i="43" s="1"/>
  <c r="AB48" i="43"/>
  <c r="AU48" i="43" s="1"/>
  <c r="Z55" i="43"/>
  <c r="AF67" i="43"/>
  <c r="Z67" i="43"/>
  <c r="V71" i="43"/>
  <c r="AS71" i="43" s="1"/>
  <c r="AS75" i="43" s="1"/>
  <c r="Z82" i="43"/>
  <c r="Z86" i="43"/>
  <c r="V95" i="43"/>
  <c r="AS95" i="43" s="1"/>
  <c r="AS98" i="43" s="1"/>
  <c r="Z109" i="43"/>
  <c r="V110" i="43"/>
  <c r="AS110" i="43" s="1"/>
  <c r="AS113" i="43" s="1"/>
  <c r="Z132" i="43"/>
  <c r="AF139" i="43"/>
  <c r="AC153" i="43"/>
  <c r="AV153" i="43" s="1"/>
  <c r="AF162" i="43"/>
  <c r="AF180" i="43"/>
  <c r="AC192" i="43"/>
  <c r="AV192" i="43" s="1"/>
  <c r="AA192" i="43"/>
  <c r="AF206" i="43"/>
  <c r="AA209" i="43"/>
  <c r="AB215" i="43"/>
  <c r="AU215" i="43" s="1"/>
  <c r="AF225" i="43"/>
  <c r="AA221" i="43"/>
  <c r="AF231" i="43"/>
  <c r="V238" i="43"/>
  <c r="AS238" i="43" s="1"/>
  <c r="AS243" i="43" s="1"/>
  <c r="Z249" i="43"/>
  <c r="Z258" i="43"/>
  <c r="V259" i="43"/>
  <c r="AS259" i="43" s="1"/>
  <c r="AS262" i="43" s="1"/>
  <c r="AQ260" i="43"/>
  <c r="AX260" i="43" s="1"/>
  <c r="Z266" i="43"/>
  <c r="AF272" i="43"/>
  <c r="V276" i="43"/>
  <c r="AQ274" i="43"/>
  <c r="AX274" i="43" s="1"/>
  <c r="AA275" i="43"/>
  <c r="AQ275" i="43"/>
  <c r="AX275" i="43" s="1"/>
  <c r="AQ277" i="43"/>
  <c r="AX277" i="43" s="1"/>
  <c r="AF296" i="43"/>
  <c r="AC291" i="43"/>
  <c r="AV291" i="43" s="1"/>
  <c r="AA291" i="43"/>
  <c r="AQ294" i="43"/>
  <c r="AX294" i="43" s="1"/>
  <c r="AQ297" i="43"/>
  <c r="AX297" i="43" s="1"/>
  <c r="AX298" i="43" s="1"/>
  <c r="AQ301" i="43"/>
  <c r="AX301" i="43" s="1"/>
  <c r="AQ304" i="43"/>
  <c r="AX304" i="43" s="1"/>
  <c r="V306" i="43"/>
  <c r="AS306" i="43" s="1"/>
  <c r="AS312" i="43" s="1"/>
  <c r="AQ310" i="43"/>
  <c r="AX310" i="43" s="1"/>
  <c r="AF316" i="43"/>
  <c r="V314" i="43"/>
  <c r="AS314" i="43" s="1"/>
  <c r="AS316" i="43" s="1"/>
  <c r="AF322" i="43"/>
  <c r="AC320" i="43"/>
  <c r="AV320" i="43" s="1"/>
  <c r="AA320" i="43"/>
  <c r="AQ325" i="43"/>
  <c r="AX325" i="43" s="1"/>
  <c r="Z332" i="43"/>
  <c r="AF344" i="43"/>
  <c r="V363" i="43"/>
  <c r="AS363" i="43" s="1"/>
  <c r="AS369" i="43" s="1"/>
  <c r="Z382" i="43"/>
  <c r="AC391" i="43"/>
  <c r="AV391" i="43" s="1"/>
  <c r="AA391" i="43"/>
  <c r="AC454" i="43"/>
  <c r="AV454" i="43" s="1"/>
  <c r="AC456" i="43"/>
  <c r="AV456" i="43" s="1"/>
  <c r="AF105" i="43"/>
  <c r="AF194" i="43"/>
  <c r="AF200" i="43"/>
  <c r="Z288" i="43"/>
  <c r="Z90" i="43"/>
  <c r="V103" i="43"/>
  <c r="AS103" i="43" s="1"/>
  <c r="AS105" i="43" s="1"/>
  <c r="Z145" i="43"/>
  <c r="Z219" i="43"/>
  <c r="V226" i="43"/>
  <c r="AS226" i="43" s="1"/>
  <c r="AS231" i="43" s="1"/>
  <c r="AF243" i="43"/>
  <c r="AF249" i="43"/>
  <c r="AF262" i="43"/>
  <c r="V267" i="43"/>
  <c r="AS267" i="43" s="1"/>
  <c r="AS272" i="43" s="1"/>
  <c r="AQ281" i="43"/>
  <c r="AX281" i="43" s="1"/>
  <c r="Z305" i="43"/>
  <c r="AF312" i="43"/>
  <c r="AC311" i="43"/>
  <c r="AV311" i="43" s="1"/>
  <c r="AA311" i="43"/>
  <c r="V317" i="43"/>
  <c r="AS317" i="43" s="1"/>
  <c r="AS322" i="43" s="1"/>
  <c r="AQ323" i="43"/>
  <c r="AX323" i="43" s="1"/>
  <c r="AX324" i="43" s="1"/>
  <c r="V336" i="43"/>
  <c r="AS336" i="43" s="1"/>
  <c r="AS344" i="43" s="1"/>
  <c r="V358" i="43"/>
  <c r="AS358" i="43" s="1"/>
  <c r="AS362" i="43" s="1"/>
  <c r="V383" i="43"/>
  <c r="AS383" i="43" s="1"/>
  <c r="AS388" i="43" s="1"/>
  <c r="AQ389" i="43"/>
  <c r="AX389" i="43" s="1"/>
  <c r="AF429" i="43"/>
  <c r="V32" i="43"/>
  <c r="AS32" i="43" s="1"/>
  <c r="AS35" i="43" s="1"/>
  <c r="V106" i="43"/>
  <c r="AS106" i="43" s="1"/>
  <c r="AS109" i="43" s="1"/>
  <c r="Z125" i="43"/>
  <c r="AY12" i="43"/>
  <c r="AY13" i="43" s="1"/>
  <c r="V19" i="43"/>
  <c r="AS19" i="43" s="1"/>
  <c r="AS22" i="43" s="1"/>
  <c r="Z27" i="43"/>
  <c r="V28" i="43"/>
  <c r="AS28" i="43" s="1"/>
  <c r="AS31" i="43" s="1"/>
  <c r="AB30" i="43"/>
  <c r="AU30" i="43" s="1"/>
  <c r="Z39" i="43"/>
  <c r="AF42" i="43"/>
  <c r="V43" i="43"/>
  <c r="AS43" i="43" s="1"/>
  <c r="AS46" i="43" s="1"/>
  <c r="Z49" i="43"/>
  <c r="V50" i="43"/>
  <c r="AS50" i="43" s="1"/>
  <c r="AS52" i="43" s="1"/>
  <c r="AF55" i="43"/>
  <c r="V56" i="43"/>
  <c r="AS56" i="43" s="1"/>
  <c r="AS59" i="43" s="1"/>
  <c r="Z63" i="43"/>
  <c r="AF82" i="43"/>
  <c r="V87" i="43"/>
  <c r="AS87" i="43" s="1"/>
  <c r="AS90" i="43" s="1"/>
  <c r="Z98" i="43"/>
  <c r="V99" i="43"/>
  <c r="AS99" i="43" s="1"/>
  <c r="AS102" i="43" s="1"/>
  <c r="Z116" i="43"/>
  <c r="V117" i="43"/>
  <c r="AS117" i="43" s="1"/>
  <c r="AS120" i="43" s="1"/>
  <c r="AF125" i="43"/>
  <c r="AF132" i="43"/>
  <c r="AA137" i="43"/>
  <c r="Z151" i="43"/>
  <c r="V152" i="43"/>
  <c r="AS152" i="43" s="1"/>
  <c r="AS157" i="43" s="1"/>
  <c r="AF174" i="43"/>
  <c r="V181" i="43"/>
  <c r="AS181" i="43" s="1"/>
  <c r="AS187" i="43" s="1"/>
  <c r="AC199" i="43"/>
  <c r="AV199" i="43" s="1"/>
  <c r="AB199" i="43"/>
  <c r="AU199" i="43" s="1"/>
  <c r="AA205" i="43"/>
  <c r="AF213" i="43"/>
  <c r="AB209" i="43"/>
  <c r="AU209" i="43" s="1"/>
  <c r="AA240" i="43"/>
  <c r="AF258" i="43"/>
  <c r="Z262" i="43"/>
  <c r="AF266" i="43"/>
  <c r="AQ271" i="43"/>
  <c r="AX271" i="43" s="1"/>
  <c r="Z276" i="43"/>
  <c r="V277" i="43"/>
  <c r="AS277" i="43" s="1"/>
  <c r="AS283" i="43" s="1"/>
  <c r="AF298" i="43"/>
  <c r="V299" i="43"/>
  <c r="AS299" i="43" s="1"/>
  <c r="AS305" i="43" s="1"/>
  <c r="AQ303" i="43"/>
  <c r="AX303" i="43" s="1"/>
  <c r="Z312" i="43"/>
  <c r="AQ307" i="43"/>
  <c r="AX307" i="43" s="1"/>
  <c r="AQ308" i="43"/>
  <c r="AX308" i="43" s="1"/>
  <c r="AF392" i="43"/>
  <c r="Z399" i="43"/>
  <c r="AQ435" i="43"/>
  <c r="AX435" i="43" s="1"/>
  <c r="AF450" i="43"/>
  <c r="V460" i="43"/>
  <c r="AF13" i="43"/>
  <c r="Z13" i="43"/>
  <c r="V23" i="43"/>
  <c r="AS23" i="43" s="1"/>
  <c r="AS27" i="43" s="1"/>
  <c r="AF35" i="43"/>
  <c r="V40" i="43"/>
  <c r="AS40" i="43" s="1"/>
  <c r="AS42" i="43" s="1"/>
  <c r="AF49" i="43"/>
  <c r="V53" i="43"/>
  <c r="AS53" i="43" s="1"/>
  <c r="AS55" i="43" s="1"/>
  <c r="V68" i="43"/>
  <c r="AS68" i="43" s="1"/>
  <c r="AS70" i="43" s="1"/>
  <c r="Z75" i="43"/>
  <c r="AF79" i="43"/>
  <c r="V83" i="43"/>
  <c r="AS83" i="43" s="1"/>
  <c r="AS86" i="43" s="1"/>
  <c r="AF98" i="43"/>
  <c r="Z102" i="43"/>
  <c r="AF109" i="43"/>
  <c r="V114" i="43"/>
  <c r="AS114" i="43" s="1"/>
  <c r="AS116" i="43" s="1"/>
  <c r="V126" i="43"/>
  <c r="AS126" i="43" s="1"/>
  <c r="V140" i="43"/>
  <c r="AS140" i="43" s="1"/>
  <c r="AS145" i="43" s="1"/>
  <c r="V146" i="43"/>
  <c r="AS146" i="43" s="1"/>
  <c r="AS151" i="43" s="1"/>
  <c r="AF157" i="43"/>
  <c r="V163" i="43"/>
  <c r="AS163" i="43" s="1"/>
  <c r="AS168" i="43" s="1"/>
  <c r="AA167" i="43"/>
  <c r="Z174" i="43"/>
  <c r="V175" i="43"/>
  <c r="AS175" i="43" s="1"/>
  <c r="AS180" i="43" s="1"/>
  <c r="Z200" i="43"/>
  <c r="V214" i="43"/>
  <c r="AS214" i="43" s="1"/>
  <c r="AS219" i="43" s="1"/>
  <c r="Z225" i="43"/>
  <c r="V232" i="43"/>
  <c r="AS232" i="43" s="1"/>
  <c r="AS237" i="43" s="1"/>
  <c r="Z243" i="43"/>
  <c r="V244" i="43"/>
  <c r="AS244" i="43" s="1"/>
  <c r="AS249" i="43" s="1"/>
  <c r="V250" i="43"/>
  <c r="AS250" i="43" s="1"/>
  <c r="AS256" i="43" s="1"/>
  <c r="V257" i="43"/>
  <c r="AS257" i="43" s="1"/>
  <c r="AS258" i="43" s="1"/>
  <c r="AQ263" i="43"/>
  <c r="AX263" i="43" s="1"/>
  <c r="Z283" i="43"/>
  <c r="AQ280" i="43"/>
  <c r="AX280" i="43" s="1"/>
  <c r="V297" i="43"/>
  <c r="AS297" i="43" s="1"/>
  <c r="AS298" i="43" s="1"/>
  <c r="AQ300" i="43"/>
  <c r="AX300" i="43" s="1"/>
  <c r="AQ306" i="43"/>
  <c r="AX306" i="43" s="1"/>
  <c r="AQ311" i="43"/>
  <c r="AX311" i="43" s="1"/>
  <c r="AF324" i="43"/>
  <c r="AQ327" i="43"/>
  <c r="AX327" i="43" s="1"/>
  <c r="V333" i="43"/>
  <c r="AS333" i="43" s="1"/>
  <c r="AS335" i="43" s="1"/>
  <c r="AF350" i="43"/>
  <c r="V351" i="43"/>
  <c r="AS351" i="43" s="1"/>
  <c r="AS357" i="43" s="1"/>
  <c r="Z362" i="43"/>
  <c r="V370" i="43"/>
  <c r="AS370" i="43" s="1"/>
  <c r="AS373" i="43" s="1"/>
  <c r="AF375" i="43"/>
  <c r="AF382" i="43"/>
  <c r="AQ391" i="43"/>
  <c r="AX391" i="43" s="1"/>
  <c r="Z406" i="43"/>
  <c r="AQ405" i="43"/>
  <c r="AX405" i="43" s="1"/>
  <c r="AF415" i="43"/>
  <c r="V423" i="43"/>
  <c r="AS423" i="43" s="1"/>
  <c r="AS429" i="43" s="1"/>
  <c r="Z443" i="43"/>
  <c r="AF457" i="43"/>
  <c r="AQ454" i="43"/>
  <c r="AX454" i="43" s="1"/>
  <c r="AF464" i="43"/>
  <c r="Z213" i="43"/>
  <c r="Z322" i="43"/>
  <c r="Z324" i="43"/>
  <c r="AF335" i="43"/>
  <c r="V345" i="43"/>
  <c r="AS345" i="43" s="1"/>
  <c r="AS350" i="43" s="1"/>
  <c r="AF362" i="43"/>
  <c r="Z388" i="43"/>
  <c r="V389" i="43"/>
  <c r="AS389" i="43" s="1"/>
  <c r="AS392" i="43" s="1"/>
  <c r="V407" i="43"/>
  <c r="AS407" i="43" s="1"/>
  <c r="AS409" i="43" s="1"/>
  <c r="AQ407" i="43"/>
  <c r="AX407" i="43" s="1"/>
  <c r="Z415" i="43"/>
  <c r="AQ410" i="43"/>
  <c r="AX410" i="43" s="1"/>
  <c r="Z436" i="43"/>
  <c r="AQ434" i="43"/>
  <c r="AX434" i="43" s="1"/>
  <c r="AF443" i="43"/>
  <c r="V444" i="43"/>
  <c r="AS444" i="43" s="1"/>
  <c r="AS450" i="43" s="1"/>
  <c r="AQ444" i="43"/>
  <c r="AX444" i="43" s="1"/>
  <c r="Z460" i="43"/>
  <c r="AF332" i="43"/>
  <c r="AF328" i="43"/>
  <c r="Z344" i="43"/>
  <c r="Z350" i="43"/>
  <c r="Z357" i="43"/>
  <c r="AF369" i="43"/>
  <c r="Z373" i="43"/>
  <c r="V376" i="43"/>
  <c r="AS376" i="43" s="1"/>
  <c r="AS382" i="43" s="1"/>
  <c r="AF388" i="43"/>
  <c r="Z392" i="43"/>
  <c r="V393" i="43"/>
  <c r="AS393" i="43" s="1"/>
  <c r="AS399" i="43" s="1"/>
  <c r="AF406" i="43"/>
  <c r="Z409" i="43"/>
  <c r="V416" i="43"/>
  <c r="AS416" i="43" s="1"/>
  <c r="AS422" i="43" s="1"/>
  <c r="Z429" i="43"/>
  <c r="V437" i="43"/>
  <c r="AS437" i="43" s="1"/>
  <c r="AS443" i="43" s="1"/>
  <c r="Z450" i="43"/>
  <c r="V451" i="43"/>
  <c r="AS451" i="43" s="1"/>
  <c r="AS457" i="43" s="1"/>
  <c r="V461" i="43"/>
  <c r="AS461" i="43" s="1"/>
  <c r="AS464" i="43" s="1"/>
  <c r="AF436" i="43"/>
  <c r="AC170" i="43"/>
  <c r="AV170" i="43" s="1"/>
  <c r="AA170" i="43"/>
  <c r="AC186" i="43"/>
  <c r="AV186" i="43" s="1"/>
  <c r="AA186" i="43"/>
  <c r="AC182" i="43"/>
  <c r="AV182" i="43" s="1"/>
  <c r="AA182" i="43"/>
  <c r="AC284" i="43"/>
  <c r="AV284" i="43" s="1"/>
  <c r="AA284" i="43"/>
  <c r="AC178" i="43"/>
  <c r="AV178" i="43" s="1"/>
  <c r="AA178" i="43"/>
  <c r="AB254" i="43"/>
  <c r="AU254" i="43" s="1"/>
  <c r="AC281" i="43"/>
  <c r="AV281" i="43" s="1"/>
  <c r="AA281" i="43"/>
  <c r="AA285" i="43"/>
  <c r="AC295" i="43"/>
  <c r="AV295" i="43" s="1"/>
  <c r="AA295" i="43"/>
  <c r="AC307" i="43"/>
  <c r="AV307" i="43" s="1"/>
  <c r="AA307" i="43"/>
  <c r="AA147" i="43"/>
  <c r="AA179" i="43"/>
  <c r="AA183" i="43"/>
  <c r="AA188" i="43"/>
  <c r="AA141" i="43"/>
  <c r="AC149" i="43"/>
  <c r="AV149" i="43" s="1"/>
  <c r="AA165" i="43"/>
  <c r="AC190" i="43"/>
  <c r="AV190" i="43" s="1"/>
  <c r="AA190" i="43"/>
  <c r="AA196" i="43"/>
  <c r="AC248" i="43"/>
  <c r="AV248" i="43" s="1"/>
  <c r="AA248" i="43"/>
  <c r="AQ270" i="43"/>
  <c r="AX270" i="43" s="1"/>
  <c r="AA279" i="43"/>
  <c r="AQ292" i="43"/>
  <c r="AX292" i="43" s="1"/>
  <c r="AC319" i="43"/>
  <c r="AV319" i="43" s="1"/>
  <c r="AA319" i="43"/>
  <c r="AQ326" i="43"/>
  <c r="AX326" i="43" s="1"/>
  <c r="AC334" i="43"/>
  <c r="AV334" i="43" s="1"/>
  <c r="AB334" i="43"/>
  <c r="AU334" i="43" s="1"/>
  <c r="AC191" i="43"/>
  <c r="AV191" i="43" s="1"/>
  <c r="AA191" i="43"/>
  <c r="AA193" i="43"/>
  <c r="AC204" i="43"/>
  <c r="AV204" i="43" s="1"/>
  <c r="AA204" i="43"/>
  <c r="AC216" i="43"/>
  <c r="AV216" i="43" s="1"/>
  <c r="AA216" i="43"/>
  <c r="AC239" i="43"/>
  <c r="AV239" i="43" s="1"/>
  <c r="AB239" i="43"/>
  <c r="AU239" i="43" s="1"/>
  <c r="AC271" i="43"/>
  <c r="AV271" i="43" s="1"/>
  <c r="AA271" i="43"/>
  <c r="AQ287" i="43"/>
  <c r="AX287" i="43" s="1"/>
  <c r="AQ295" i="43"/>
  <c r="AX295" i="43" s="1"/>
  <c r="AQ309" i="43"/>
  <c r="AX309" i="43" s="1"/>
  <c r="AB58" i="43"/>
  <c r="AU58" i="43" s="1"/>
  <c r="AA156" i="43"/>
  <c r="AC233" i="43"/>
  <c r="AV233" i="43" s="1"/>
  <c r="AA233" i="43"/>
  <c r="AB233" i="43"/>
  <c r="AU233" i="43" s="1"/>
  <c r="AC236" i="43"/>
  <c r="AV236" i="43" s="1"/>
  <c r="AA236" i="43"/>
  <c r="AQ273" i="43"/>
  <c r="AX273" i="43" s="1"/>
  <c r="AQ279" i="43"/>
  <c r="AX279" i="43" s="1"/>
  <c r="AQ284" i="43"/>
  <c r="AX284" i="43" s="1"/>
  <c r="AC287" i="43"/>
  <c r="AV287" i="43" s="1"/>
  <c r="AA287" i="43"/>
  <c r="AQ299" i="43"/>
  <c r="AX299" i="43" s="1"/>
  <c r="AC301" i="43"/>
  <c r="AV301" i="43" s="1"/>
  <c r="AA301" i="43"/>
  <c r="AC309" i="43"/>
  <c r="AV309" i="43" s="1"/>
  <c r="AA309" i="43"/>
  <c r="AQ319" i="43"/>
  <c r="AX319" i="43" s="1"/>
  <c r="AC377" i="43"/>
  <c r="AV377" i="43" s="1"/>
  <c r="AA377" i="43"/>
  <c r="AQ378" i="43"/>
  <c r="AX378" i="43" s="1"/>
  <c r="AC381" i="43"/>
  <c r="AV381" i="43" s="1"/>
  <c r="AA381" i="43"/>
  <c r="AC385" i="43"/>
  <c r="AV385" i="43" s="1"/>
  <c r="AA385" i="43"/>
  <c r="AQ386" i="43"/>
  <c r="AX386" i="43" s="1"/>
  <c r="AB448" i="43"/>
  <c r="AU448" i="43" s="1"/>
  <c r="AC448" i="43"/>
  <c r="AV448" i="43" s="1"/>
  <c r="AB15" i="43"/>
  <c r="AU15" i="43" s="1"/>
  <c r="AB44" i="43"/>
  <c r="AU44" i="43" s="1"/>
  <c r="AB54" i="43"/>
  <c r="AU54" i="43" s="1"/>
  <c r="AA155" i="43"/>
  <c r="AC172" i="43"/>
  <c r="AV172" i="43" s="1"/>
  <c r="AA172" i="43"/>
  <c r="AA173" i="43"/>
  <c r="AC176" i="43"/>
  <c r="AV176" i="43" s="1"/>
  <c r="AA176" i="43"/>
  <c r="AA177" i="43"/>
  <c r="AC184" i="43"/>
  <c r="AV184" i="43" s="1"/>
  <c r="AA184" i="43"/>
  <c r="AA185" i="43"/>
  <c r="AC189" i="43"/>
  <c r="AV189" i="43" s="1"/>
  <c r="AA189" i="43"/>
  <c r="AC245" i="43"/>
  <c r="AV245" i="43" s="1"/>
  <c r="AB245" i="43"/>
  <c r="AU245" i="43" s="1"/>
  <c r="AA245" i="43"/>
  <c r="AC251" i="43"/>
  <c r="AV251" i="43" s="1"/>
  <c r="AB251" i="43"/>
  <c r="AU251" i="43" s="1"/>
  <c r="AC264" i="43"/>
  <c r="AV264" i="43" s="1"/>
  <c r="AA264" i="43"/>
  <c r="AQ267" i="43"/>
  <c r="AX267" i="43" s="1"/>
  <c r="AQ282" i="43"/>
  <c r="AX282" i="43" s="1"/>
  <c r="AQ285" i="43"/>
  <c r="AX285" i="43" s="1"/>
  <c r="AQ289" i="43"/>
  <c r="AX289" i="43" s="1"/>
  <c r="AA292" i="43"/>
  <c r="AC197" i="43"/>
  <c r="AV197" i="43" s="1"/>
  <c r="AB197" i="43"/>
  <c r="AU197" i="43" s="1"/>
  <c r="AA197" i="43"/>
  <c r="AC203" i="43"/>
  <c r="AV203" i="43" s="1"/>
  <c r="AB203" i="43"/>
  <c r="AU203" i="43" s="1"/>
  <c r="AC217" i="43"/>
  <c r="AV217" i="43" s="1"/>
  <c r="AA217" i="43"/>
  <c r="AC223" i="43"/>
  <c r="AV223" i="43" s="1"/>
  <c r="AB223" i="43"/>
  <c r="AU223" i="43" s="1"/>
  <c r="AC229" i="43"/>
  <c r="AV229" i="43" s="1"/>
  <c r="AB229" i="43"/>
  <c r="AU229" i="43" s="1"/>
  <c r="AA229" i="43"/>
  <c r="AC235" i="43"/>
  <c r="AV235" i="43" s="1"/>
  <c r="AB235" i="43"/>
  <c r="AU235" i="43" s="1"/>
  <c r="AC252" i="43"/>
  <c r="AV252" i="43" s="1"/>
  <c r="AA252" i="43"/>
  <c r="AC261" i="43"/>
  <c r="AV261" i="43" s="1"/>
  <c r="AA261" i="43"/>
  <c r="AC265" i="43"/>
  <c r="AV265" i="43" s="1"/>
  <c r="AA265" i="43"/>
  <c r="AC273" i="43"/>
  <c r="AA273" i="43"/>
  <c r="AQ290" i="43"/>
  <c r="AX290" i="43" s="1"/>
  <c r="AC313" i="43"/>
  <c r="AV313" i="43" s="1"/>
  <c r="AA313" i="43"/>
  <c r="AA212" i="43"/>
  <c r="AA241" i="43"/>
  <c r="AB255" i="43"/>
  <c r="AU255" i="43" s="1"/>
  <c r="AC280" i="43"/>
  <c r="AV280" i="43" s="1"/>
  <c r="AA280" i="43"/>
  <c r="AQ286" i="43"/>
  <c r="AX286" i="43" s="1"/>
  <c r="AQ302" i="43"/>
  <c r="AX302" i="43" s="1"/>
  <c r="AC304" i="43"/>
  <c r="AV304" i="43" s="1"/>
  <c r="AA304" i="43"/>
  <c r="AC308" i="43"/>
  <c r="AV308" i="43" s="1"/>
  <c r="AA308" i="43"/>
  <c r="AQ317" i="43"/>
  <c r="AX317" i="43" s="1"/>
  <c r="AC325" i="43"/>
  <c r="AV325" i="43" s="1"/>
  <c r="AA325" i="43"/>
  <c r="AB241" i="43"/>
  <c r="AU241" i="43" s="1"/>
  <c r="AQ315" i="43"/>
  <c r="AX315" i="43" s="1"/>
  <c r="AQ318" i="43"/>
  <c r="AX318" i="43" s="1"/>
  <c r="AQ321" i="43"/>
  <c r="AX321" i="43" s="1"/>
  <c r="AC331" i="43"/>
  <c r="AV331" i="43" s="1"/>
  <c r="AA331" i="43"/>
  <c r="AC349" i="43"/>
  <c r="AV349" i="43" s="1"/>
  <c r="AA349" i="43"/>
  <c r="AQ420" i="43"/>
  <c r="AX420" i="43" s="1"/>
  <c r="AC293" i="43"/>
  <c r="AV293" i="43" s="1"/>
  <c r="AA293" i="43"/>
  <c r="AC300" i="43"/>
  <c r="AV300" i="43" s="1"/>
  <c r="AA300" i="43"/>
  <c r="AC303" i="43"/>
  <c r="AV303" i="43" s="1"/>
  <c r="AA303" i="43"/>
  <c r="AC315" i="43"/>
  <c r="AV315" i="43" s="1"/>
  <c r="AA315" i="43"/>
  <c r="AC321" i="43"/>
  <c r="AV321" i="43" s="1"/>
  <c r="AA321" i="43"/>
  <c r="AQ377" i="43"/>
  <c r="AX377" i="43" s="1"/>
  <c r="AC380" i="43"/>
  <c r="AV380" i="43" s="1"/>
  <c r="AA380" i="43"/>
  <c r="AQ381" i="43"/>
  <c r="AX381" i="43" s="1"/>
  <c r="AC384" i="43"/>
  <c r="AV384" i="43" s="1"/>
  <c r="AA384" i="43"/>
  <c r="AQ385" i="43"/>
  <c r="AX385" i="43" s="1"/>
  <c r="AC340" i="43"/>
  <c r="AV340" i="43" s="1"/>
  <c r="AA340" i="43"/>
  <c r="AC378" i="43"/>
  <c r="AV378" i="43" s="1"/>
  <c r="AA378" i="43"/>
  <c r="AQ379" i="43"/>
  <c r="AX379" i="43" s="1"/>
  <c r="AQ383" i="43"/>
  <c r="AX383" i="43" s="1"/>
  <c r="AC386" i="43"/>
  <c r="AV386" i="43" s="1"/>
  <c r="AA386" i="43"/>
  <c r="AQ387" i="43"/>
  <c r="AX387" i="43" s="1"/>
  <c r="AC390" i="43"/>
  <c r="AV390" i="43" s="1"/>
  <c r="AA390" i="43"/>
  <c r="AQ412" i="43"/>
  <c r="AX412" i="43" s="1"/>
  <c r="AQ438" i="43"/>
  <c r="AX438" i="43" s="1"/>
  <c r="AC459" i="43"/>
  <c r="AV459" i="43" s="1"/>
  <c r="AB459" i="43"/>
  <c r="AU459" i="43" s="1"/>
  <c r="AA347" i="43"/>
  <c r="AQ376" i="43"/>
  <c r="AX376" i="43" s="1"/>
  <c r="AC379" i="43"/>
  <c r="AV379" i="43" s="1"/>
  <c r="AA379" i="43"/>
  <c r="AQ380" i="43"/>
  <c r="AX380" i="43" s="1"/>
  <c r="AQ384" i="43"/>
  <c r="AX384" i="43" s="1"/>
  <c r="AC387" i="43"/>
  <c r="AV387" i="43" s="1"/>
  <c r="AA387" i="43"/>
  <c r="AC394" i="43"/>
  <c r="AV394" i="43" s="1"/>
  <c r="AC401" i="43"/>
  <c r="AV401" i="43" s="1"/>
  <c r="AA401" i="43"/>
  <c r="AC438" i="43"/>
  <c r="AV438" i="43" s="1"/>
  <c r="AA438" i="43"/>
  <c r="AC397" i="43"/>
  <c r="AV397" i="43" s="1"/>
  <c r="AA397" i="43"/>
  <c r="AQ423" i="43"/>
  <c r="AX423" i="43" s="1"/>
  <c r="AQ428" i="43"/>
  <c r="AX428" i="43" s="1"/>
  <c r="AC463" i="43"/>
  <c r="AV463" i="43" s="1"/>
  <c r="AB463" i="43"/>
  <c r="AU463" i="43" s="1"/>
  <c r="AQ413" i="43"/>
  <c r="AX413" i="43" s="1"/>
  <c r="AQ414" i="43"/>
  <c r="AX414" i="43" s="1"/>
  <c r="AQ421" i="43"/>
  <c r="AX421" i="43" s="1"/>
  <c r="AQ430" i="43"/>
  <c r="AX430" i="43" s="1"/>
  <c r="AB447" i="43"/>
  <c r="AU447" i="43" s="1"/>
  <c r="AQ447" i="43"/>
  <c r="AX447" i="43" s="1"/>
  <c r="AQ461" i="43"/>
  <c r="AX461" i="43" s="1"/>
  <c r="AA396" i="43"/>
  <c r="AQ411" i="43"/>
  <c r="AX411" i="43" s="1"/>
  <c r="AQ417" i="43"/>
  <c r="AX417" i="43" s="1"/>
  <c r="AQ418" i="43"/>
  <c r="AX418" i="43" s="1"/>
  <c r="AQ419" i="43"/>
  <c r="AX419" i="43" s="1"/>
  <c r="AQ425" i="43"/>
  <c r="AX425" i="43" s="1"/>
  <c r="AQ426" i="43"/>
  <c r="AX426" i="43" s="1"/>
  <c r="AQ427" i="43"/>
  <c r="AX427" i="43" s="1"/>
  <c r="AQ433" i="43"/>
  <c r="AX433" i="43" s="1"/>
  <c r="AA65" i="43"/>
  <c r="AB65" i="43"/>
  <c r="AU65" i="43" s="1"/>
  <c r="AC65" i="43"/>
  <c r="AV65" i="43" s="1"/>
  <c r="AA66" i="43"/>
  <c r="AB66" i="43"/>
  <c r="AU66" i="43" s="1"/>
  <c r="AC66" i="43"/>
  <c r="AV66" i="43" s="1"/>
  <c r="AA69" i="43"/>
  <c r="AB69" i="43"/>
  <c r="AU69" i="43" s="1"/>
  <c r="AC69" i="43"/>
  <c r="AV69" i="43" s="1"/>
  <c r="AQ14" i="43"/>
  <c r="AX14" i="43" s="1"/>
  <c r="AA16" i="43"/>
  <c r="AC16" i="43"/>
  <c r="AV16" i="43" s="1"/>
  <c r="AA20" i="43"/>
  <c r="AC20" i="43"/>
  <c r="AV20" i="43" s="1"/>
  <c r="AA24" i="43"/>
  <c r="AC24" i="43"/>
  <c r="AV24" i="43" s="1"/>
  <c r="AA26" i="43"/>
  <c r="AC26" i="43"/>
  <c r="AV26" i="43" s="1"/>
  <c r="AQ28" i="43"/>
  <c r="AX28" i="43" s="1"/>
  <c r="AA33" i="43"/>
  <c r="AC33" i="43"/>
  <c r="AV33" i="43" s="1"/>
  <c r="AQ33" i="43"/>
  <c r="AX33" i="43" s="1"/>
  <c r="AA37" i="43"/>
  <c r="AC37" i="43"/>
  <c r="AV37" i="43" s="1"/>
  <c r="AQ37" i="43"/>
  <c r="AX37" i="43" s="1"/>
  <c r="AA41" i="43"/>
  <c r="AC41" i="43"/>
  <c r="AV41" i="43" s="1"/>
  <c r="AQ47" i="43"/>
  <c r="AX47" i="43" s="1"/>
  <c r="AA51" i="43"/>
  <c r="AC51" i="43"/>
  <c r="AV51" i="43" s="1"/>
  <c r="AQ53" i="43"/>
  <c r="AX53" i="43" s="1"/>
  <c r="AA57" i="43"/>
  <c r="AC57" i="43"/>
  <c r="AV57" i="43" s="1"/>
  <c r="AQ57" i="43"/>
  <c r="AX57" i="43" s="1"/>
  <c r="AA61" i="43"/>
  <c r="AC61" i="43"/>
  <c r="AV61" i="43" s="1"/>
  <c r="AQ61" i="43"/>
  <c r="AX61" i="43" s="1"/>
  <c r="AA74" i="43"/>
  <c r="AC74" i="43"/>
  <c r="AV74" i="43" s="1"/>
  <c r="AB74" i="43"/>
  <c r="AU74" i="43" s="1"/>
  <c r="AA78" i="43"/>
  <c r="AB78" i="43"/>
  <c r="AU78" i="43" s="1"/>
  <c r="AC78" i="43"/>
  <c r="AV78" i="43" s="1"/>
  <c r="AA107" i="43"/>
  <c r="AB107" i="43"/>
  <c r="AU107" i="43" s="1"/>
  <c r="AC107" i="43"/>
  <c r="AV107" i="43" s="1"/>
  <c r="AA111" i="43"/>
  <c r="AB111" i="43"/>
  <c r="AU111" i="43" s="1"/>
  <c r="AC111" i="43"/>
  <c r="AV111" i="43" s="1"/>
  <c r="AA115" i="43"/>
  <c r="AB115" i="43"/>
  <c r="AU115" i="43" s="1"/>
  <c r="AC115" i="43"/>
  <c r="AV115" i="43" s="1"/>
  <c r="AA119" i="43"/>
  <c r="AB119" i="43"/>
  <c r="AU119" i="43" s="1"/>
  <c r="AC119" i="43"/>
  <c r="AV119" i="43" s="1"/>
  <c r="AA123" i="43"/>
  <c r="AB123" i="43"/>
  <c r="AU123" i="43" s="1"/>
  <c r="AC123" i="43"/>
  <c r="AV123" i="43" s="1"/>
  <c r="AA131" i="43"/>
  <c r="AB131" i="43"/>
  <c r="AU131" i="43" s="1"/>
  <c r="AC131" i="43"/>
  <c r="AV131" i="43" s="1"/>
  <c r="AA135" i="43"/>
  <c r="AB135" i="43"/>
  <c r="AU135" i="43" s="1"/>
  <c r="AC135" i="43"/>
  <c r="AV135" i="43" s="1"/>
  <c r="AA73" i="43"/>
  <c r="AC73" i="43"/>
  <c r="AV73" i="43" s="1"/>
  <c r="AB73" i="43"/>
  <c r="AU73" i="43" s="1"/>
  <c r="AA77" i="43"/>
  <c r="AB77" i="43"/>
  <c r="AU77" i="43" s="1"/>
  <c r="AC77" i="43"/>
  <c r="AV77" i="43" s="1"/>
  <c r="AA81" i="43"/>
  <c r="AC81" i="43"/>
  <c r="AV81" i="43" s="1"/>
  <c r="AB81" i="43"/>
  <c r="AU81" i="43" s="1"/>
  <c r="AA85" i="43"/>
  <c r="AB85" i="43"/>
  <c r="AU85" i="43" s="1"/>
  <c r="AC85" i="43"/>
  <c r="AV85" i="43" s="1"/>
  <c r="AA89" i="43"/>
  <c r="AB89" i="43"/>
  <c r="AU89" i="43" s="1"/>
  <c r="AC89" i="43"/>
  <c r="AV89" i="43" s="1"/>
  <c r="AA118" i="43"/>
  <c r="AB118" i="43"/>
  <c r="AU118" i="43" s="1"/>
  <c r="AC118" i="43"/>
  <c r="AV118" i="43" s="1"/>
  <c r="AA122" i="43"/>
  <c r="AB122" i="43"/>
  <c r="AU122" i="43" s="1"/>
  <c r="AC122" i="43"/>
  <c r="AV122" i="43" s="1"/>
  <c r="AA134" i="43"/>
  <c r="AB134" i="43"/>
  <c r="AU134" i="43" s="1"/>
  <c r="AC134" i="43"/>
  <c r="AV134" i="43" s="1"/>
  <c r="AQ16" i="43"/>
  <c r="AX16" i="43" s="1"/>
  <c r="AQ20" i="43"/>
  <c r="AX20" i="43" s="1"/>
  <c r="AQ24" i="43"/>
  <c r="AX24" i="43" s="1"/>
  <c r="AQ26" i="43"/>
  <c r="AX26" i="43" s="1"/>
  <c r="AQ41" i="43"/>
  <c r="AX41" i="43" s="1"/>
  <c r="AQ43" i="43"/>
  <c r="AX43" i="43" s="1"/>
  <c r="AA45" i="43"/>
  <c r="AC45" i="43"/>
  <c r="AV45" i="43" s="1"/>
  <c r="AQ45" i="43"/>
  <c r="AX45" i="43" s="1"/>
  <c r="AQ51" i="43"/>
  <c r="AX51" i="43" s="1"/>
  <c r="AA15" i="43"/>
  <c r="AC15" i="43"/>
  <c r="AV15" i="43" s="1"/>
  <c r="AQ15" i="43"/>
  <c r="AX15" i="43" s="1"/>
  <c r="AB16" i="43"/>
  <c r="AU16" i="43" s="1"/>
  <c r="AQ17" i="43"/>
  <c r="AX17" i="43" s="1"/>
  <c r="AQ19" i="43"/>
  <c r="AX19" i="43" s="1"/>
  <c r="AB20" i="43"/>
  <c r="AU20" i="43" s="1"/>
  <c r="AA21" i="43"/>
  <c r="AC21" i="43"/>
  <c r="AV21" i="43" s="1"/>
  <c r="AQ21" i="43"/>
  <c r="AX21" i="43" s="1"/>
  <c r="AQ23" i="43"/>
  <c r="AX23" i="43" s="1"/>
  <c r="AB24" i="43"/>
  <c r="AU24" i="43" s="1"/>
  <c r="AA25" i="43"/>
  <c r="AC25" i="43"/>
  <c r="AV25" i="43" s="1"/>
  <c r="AQ25" i="43"/>
  <c r="AX25" i="43" s="1"/>
  <c r="AB26" i="43"/>
  <c r="AU26" i="43" s="1"/>
  <c r="AA30" i="43"/>
  <c r="AC30" i="43"/>
  <c r="AV30" i="43" s="1"/>
  <c r="AQ30" i="43"/>
  <c r="AX30" i="43" s="1"/>
  <c r="AQ32" i="43"/>
  <c r="AX32" i="43" s="1"/>
  <c r="AB33" i="43"/>
  <c r="AU33" i="43" s="1"/>
  <c r="AA34" i="43"/>
  <c r="AC34" i="43"/>
  <c r="AV34" i="43" s="1"/>
  <c r="AQ34" i="43"/>
  <c r="AX34" i="43" s="1"/>
  <c r="AQ36" i="43"/>
  <c r="AX36" i="43" s="1"/>
  <c r="AB37" i="43"/>
  <c r="AU37" i="43" s="1"/>
  <c r="AA38" i="43"/>
  <c r="AC38" i="43"/>
  <c r="AV38" i="43" s="1"/>
  <c r="AQ38" i="43"/>
  <c r="AX38" i="43" s="1"/>
  <c r="AQ40" i="43"/>
  <c r="AX40" i="43" s="1"/>
  <c r="AB41" i="43"/>
  <c r="AU41" i="43" s="1"/>
  <c r="AA44" i="43"/>
  <c r="AC44" i="43"/>
  <c r="AV44" i="43" s="1"/>
  <c r="AQ44" i="43"/>
  <c r="AX44" i="43" s="1"/>
  <c r="AB45" i="43"/>
  <c r="AU45" i="43" s="1"/>
  <c r="AA48" i="43"/>
  <c r="AC48" i="43"/>
  <c r="AV48" i="43" s="1"/>
  <c r="AQ48" i="43"/>
  <c r="AX48" i="43" s="1"/>
  <c r="AQ50" i="43"/>
  <c r="AX50" i="43" s="1"/>
  <c r="AB51" i="43"/>
  <c r="AU51" i="43" s="1"/>
  <c r="AA54" i="43"/>
  <c r="AC54" i="43"/>
  <c r="AV54" i="43" s="1"/>
  <c r="AQ54" i="43"/>
  <c r="AX54" i="43" s="1"/>
  <c r="AQ56" i="43"/>
  <c r="AX56" i="43" s="1"/>
  <c r="AB57" i="43"/>
  <c r="AU57" i="43" s="1"/>
  <c r="AA58" i="43"/>
  <c r="AC58" i="43"/>
  <c r="AV58" i="43" s="1"/>
  <c r="AQ58" i="43"/>
  <c r="AX58" i="43" s="1"/>
  <c r="AA60" i="43"/>
  <c r="AC60" i="43"/>
  <c r="AV60" i="43" s="1"/>
  <c r="AQ60" i="43"/>
  <c r="AX60" i="43" s="1"/>
  <c r="AB61" i="43"/>
  <c r="AU61" i="43" s="1"/>
  <c r="AA62" i="43"/>
  <c r="AC62" i="43"/>
  <c r="AV62" i="43" s="1"/>
  <c r="AQ62" i="43"/>
  <c r="AX62" i="43" s="1"/>
  <c r="AA72" i="43"/>
  <c r="AB72" i="43"/>
  <c r="AU72" i="43" s="1"/>
  <c r="AC72" i="43"/>
  <c r="AV72" i="43" s="1"/>
  <c r="AA84" i="43"/>
  <c r="AB84" i="43"/>
  <c r="AU84" i="43" s="1"/>
  <c r="AC84" i="43"/>
  <c r="AV84" i="43" s="1"/>
  <c r="AA88" i="43"/>
  <c r="AB88" i="43"/>
  <c r="AU88" i="43" s="1"/>
  <c r="AC88" i="43"/>
  <c r="AV88" i="43" s="1"/>
  <c r="AA93" i="43"/>
  <c r="AB93" i="43"/>
  <c r="AU93" i="43" s="1"/>
  <c r="AC93" i="43"/>
  <c r="AV93" i="43" s="1"/>
  <c r="AA97" i="43"/>
  <c r="AB97" i="43"/>
  <c r="AU97" i="43" s="1"/>
  <c r="AC97" i="43"/>
  <c r="AV97" i="43" s="1"/>
  <c r="AA101" i="43"/>
  <c r="AC101" i="43"/>
  <c r="AV101" i="43" s="1"/>
  <c r="AB101" i="43"/>
  <c r="AU101" i="43" s="1"/>
  <c r="AA129" i="43"/>
  <c r="AC129" i="43"/>
  <c r="AV129" i="43" s="1"/>
  <c r="AB129" i="43"/>
  <c r="AU129" i="43" s="1"/>
  <c r="AA91" i="43"/>
  <c r="AC91" i="43"/>
  <c r="AV91" i="43" s="1"/>
  <c r="AB91" i="43"/>
  <c r="AU91" i="43" s="1"/>
  <c r="AA96" i="43"/>
  <c r="AB96" i="43"/>
  <c r="AU96" i="43" s="1"/>
  <c r="AC96" i="43"/>
  <c r="AV96" i="43" s="1"/>
  <c r="AA100" i="43"/>
  <c r="AB100" i="43"/>
  <c r="AU100" i="43" s="1"/>
  <c r="AC100" i="43"/>
  <c r="AV100" i="43" s="1"/>
  <c r="AA104" i="43"/>
  <c r="AB104" i="43"/>
  <c r="AU104" i="43" s="1"/>
  <c r="AC104" i="43"/>
  <c r="AV104" i="43" s="1"/>
  <c r="AA108" i="43"/>
  <c r="AB108" i="43"/>
  <c r="AU108" i="43" s="1"/>
  <c r="AC108" i="43"/>
  <c r="AV108" i="43" s="1"/>
  <c r="AA112" i="43"/>
  <c r="AC112" i="43"/>
  <c r="AV112" i="43" s="1"/>
  <c r="AB112" i="43"/>
  <c r="AU112" i="43" s="1"/>
  <c r="AA124" i="43"/>
  <c r="AC124" i="43"/>
  <c r="AV124" i="43" s="1"/>
  <c r="AB124" i="43"/>
  <c r="AU124" i="43" s="1"/>
  <c r="AA128" i="43"/>
  <c r="AB128" i="43"/>
  <c r="AU128" i="43" s="1"/>
  <c r="AC128" i="43"/>
  <c r="AV128" i="43" s="1"/>
  <c r="AC136" i="43"/>
  <c r="AV136" i="43" s="1"/>
  <c r="AB136" i="43"/>
  <c r="AU136" i="43" s="1"/>
  <c r="AA136" i="43"/>
  <c r="AA143" i="43"/>
  <c r="AC143" i="43"/>
  <c r="AV143" i="43" s="1"/>
  <c r="AB143" i="43"/>
  <c r="AU143" i="43" s="1"/>
  <c r="AC138" i="43"/>
  <c r="AV138" i="43" s="1"/>
  <c r="AC142" i="43"/>
  <c r="AV142" i="43" s="1"/>
  <c r="AB154" i="43"/>
  <c r="AU154" i="43" s="1"/>
  <c r="AQ136" i="43"/>
  <c r="AX136" i="43" s="1"/>
  <c r="AQ140" i="43"/>
  <c r="AX140" i="43" s="1"/>
  <c r="AC158" i="43"/>
  <c r="AV158" i="43" s="1"/>
  <c r="AB158" i="43"/>
  <c r="AU158" i="43" s="1"/>
  <c r="AC159" i="43"/>
  <c r="AV159" i="43" s="1"/>
  <c r="AB159" i="43"/>
  <c r="AU159" i="43" s="1"/>
  <c r="AC160" i="43"/>
  <c r="AV160" i="43" s="1"/>
  <c r="AB160" i="43"/>
  <c r="AU160" i="43" s="1"/>
  <c r="AC161" i="43"/>
  <c r="AV161" i="43" s="1"/>
  <c r="AB161" i="43"/>
  <c r="AU161" i="43" s="1"/>
  <c r="AC164" i="43"/>
  <c r="AV164" i="43" s="1"/>
  <c r="AB164" i="43"/>
  <c r="AU164" i="43" s="1"/>
  <c r="AC202" i="43"/>
  <c r="AV202" i="43" s="1"/>
  <c r="AB202" i="43"/>
  <c r="AU202" i="43" s="1"/>
  <c r="AA202" i="43"/>
  <c r="AC210" i="43"/>
  <c r="AV210" i="43" s="1"/>
  <c r="AB210" i="43"/>
  <c r="AU210" i="43" s="1"/>
  <c r="AA210" i="43"/>
  <c r="AC218" i="43"/>
  <c r="AV218" i="43" s="1"/>
  <c r="AB218" i="43"/>
  <c r="AU218" i="43" s="1"/>
  <c r="AA218" i="43"/>
  <c r="AC234" i="43"/>
  <c r="AV234" i="43" s="1"/>
  <c r="AB234" i="43"/>
  <c r="AU234" i="43" s="1"/>
  <c r="AA234" i="43"/>
  <c r="AC242" i="43"/>
  <c r="AV242" i="43" s="1"/>
  <c r="AB242" i="43"/>
  <c r="AU242" i="43" s="1"/>
  <c r="AA242" i="43"/>
  <c r="AC339" i="43"/>
  <c r="AV339" i="43" s="1"/>
  <c r="AB339" i="43"/>
  <c r="AU339" i="43" s="1"/>
  <c r="AA339" i="43"/>
  <c r="AB144" i="43"/>
  <c r="AU144" i="43" s="1"/>
  <c r="AB150" i="43"/>
  <c r="AU150" i="43" s="1"/>
  <c r="AQ192" i="43"/>
  <c r="AX192" i="43" s="1"/>
  <c r="AQ208" i="43"/>
  <c r="AX208" i="43" s="1"/>
  <c r="AQ216" i="43"/>
  <c r="AX216" i="43" s="1"/>
  <c r="AQ224" i="43"/>
  <c r="AX224" i="43" s="1"/>
  <c r="AQ232" i="43"/>
  <c r="AX232" i="43" s="1"/>
  <c r="AQ240" i="43"/>
  <c r="AX240" i="43" s="1"/>
  <c r="AQ248" i="43"/>
  <c r="AX248" i="43" s="1"/>
  <c r="AQ64" i="43"/>
  <c r="AX64" i="43" s="1"/>
  <c r="AQ65" i="43"/>
  <c r="AX65" i="43" s="1"/>
  <c r="AQ66" i="43"/>
  <c r="AX66" i="43" s="1"/>
  <c r="AQ68" i="43"/>
  <c r="AX68" i="43" s="1"/>
  <c r="AQ69" i="43"/>
  <c r="AX69" i="43" s="1"/>
  <c r="AQ71" i="43"/>
  <c r="AX71" i="43" s="1"/>
  <c r="AQ72" i="43"/>
  <c r="AX72" i="43" s="1"/>
  <c r="AQ73" i="43"/>
  <c r="AX73" i="43" s="1"/>
  <c r="AQ74" i="43"/>
  <c r="AX74" i="43" s="1"/>
  <c r="AQ76" i="43"/>
  <c r="AX76" i="43" s="1"/>
  <c r="AQ77" i="43"/>
  <c r="AX77" i="43" s="1"/>
  <c r="AQ78" i="43"/>
  <c r="AX78" i="43" s="1"/>
  <c r="AQ80" i="43"/>
  <c r="AX80" i="43" s="1"/>
  <c r="AQ81" i="43"/>
  <c r="AX81" i="43" s="1"/>
  <c r="AQ83" i="43"/>
  <c r="AX83" i="43" s="1"/>
  <c r="AQ84" i="43"/>
  <c r="AX84" i="43" s="1"/>
  <c r="AQ85" i="43"/>
  <c r="AX85" i="43" s="1"/>
  <c r="AQ87" i="43"/>
  <c r="AX87" i="43" s="1"/>
  <c r="AQ88" i="43"/>
  <c r="AX88" i="43" s="1"/>
  <c r="AQ89" i="43"/>
  <c r="AX89" i="43" s="1"/>
  <c r="AQ91" i="43"/>
  <c r="AX91" i="43" s="1"/>
  <c r="AQ93" i="43"/>
  <c r="AX93" i="43" s="1"/>
  <c r="AQ95" i="43"/>
  <c r="AX95" i="43" s="1"/>
  <c r="AQ96" i="43"/>
  <c r="AX96" i="43" s="1"/>
  <c r="AQ97" i="43"/>
  <c r="AX97" i="43" s="1"/>
  <c r="AQ99" i="43"/>
  <c r="AX99" i="43" s="1"/>
  <c r="AQ100" i="43"/>
  <c r="AX100" i="43" s="1"/>
  <c r="AQ101" i="43"/>
  <c r="AX101" i="43" s="1"/>
  <c r="AQ103" i="43"/>
  <c r="AX103" i="43" s="1"/>
  <c r="AQ104" i="43"/>
  <c r="AX104" i="43" s="1"/>
  <c r="AQ106" i="43"/>
  <c r="AX106" i="43" s="1"/>
  <c r="AQ107" i="43"/>
  <c r="AX107" i="43" s="1"/>
  <c r="AQ108" i="43"/>
  <c r="AX108" i="43" s="1"/>
  <c r="AQ110" i="43"/>
  <c r="AX110" i="43" s="1"/>
  <c r="AQ111" i="43"/>
  <c r="AX111" i="43" s="1"/>
  <c r="AQ112" i="43"/>
  <c r="AX112" i="43" s="1"/>
  <c r="AQ114" i="43"/>
  <c r="AX114" i="43" s="1"/>
  <c r="AQ115" i="43"/>
  <c r="AX115" i="43" s="1"/>
  <c r="AQ117" i="43"/>
  <c r="AX117" i="43" s="1"/>
  <c r="AQ118" i="43"/>
  <c r="AX118" i="43" s="1"/>
  <c r="AQ119" i="43"/>
  <c r="AX119" i="43" s="1"/>
  <c r="AQ121" i="43"/>
  <c r="AX121" i="43" s="1"/>
  <c r="AQ122" i="43"/>
  <c r="AX122" i="43" s="1"/>
  <c r="AQ123" i="43"/>
  <c r="AX123" i="43" s="1"/>
  <c r="AQ124" i="43"/>
  <c r="AX124" i="43" s="1"/>
  <c r="AQ126" i="43"/>
  <c r="AX126" i="43" s="1"/>
  <c r="AQ127" i="43"/>
  <c r="AX127" i="43" s="1"/>
  <c r="AQ128" i="43"/>
  <c r="AX128" i="43" s="1"/>
  <c r="AQ129" i="43"/>
  <c r="AX129" i="43" s="1"/>
  <c r="AQ130" i="43"/>
  <c r="AX130" i="43" s="1"/>
  <c r="AQ131" i="43"/>
  <c r="AX131" i="43" s="1"/>
  <c r="AQ133" i="43"/>
  <c r="AX133" i="43" s="1"/>
  <c r="AQ134" i="43"/>
  <c r="AX134" i="43" s="1"/>
  <c r="AB137" i="43"/>
  <c r="AU137" i="43" s="1"/>
  <c r="AQ137" i="43"/>
  <c r="AX137" i="43" s="1"/>
  <c r="AA138" i="43"/>
  <c r="AB141" i="43"/>
  <c r="AU141" i="43" s="1"/>
  <c r="AQ141" i="43"/>
  <c r="AX141" i="43" s="1"/>
  <c r="AA142" i="43"/>
  <c r="AA144" i="43"/>
  <c r="AB147" i="43"/>
  <c r="AU147" i="43" s="1"/>
  <c r="AB149" i="43"/>
  <c r="AU149" i="43" s="1"/>
  <c r="AA150" i="43"/>
  <c r="AB153" i="43"/>
  <c r="AU153" i="43" s="1"/>
  <c r="AA154" i="43"/>
  <c r="AB155" i="43"/>
  <c r="AU155" i="43" s="1"/>
  <c r="AC156" i="43"/>
  <c r="AV156" i="43" s="1"/>
  <c r="AB156" i="43"/>
  <c r="AU156" i="43" s="1"/>
  <c r="AQ196" i="43"/>
  <c r="AX196" i="43" s="1"/>
  <c r="AQ204" i="43"/>
  <c r="AX204" i="43" s="1"/>
  <c r="AQ212" i="43"/>
  <c r="AX212" i="43" s="1"/>
  <c r="AQ220" i="43"/>
  <c r="AX220" i="43" s="1"/>
  <c r="AQ228" i="43"/>
  <c r="AX228" i="43" s="1"/>
  <c r="AQ236" i="43"/>
  <c r="AX236" i="43" s="1"/>
  <c r="AQ244" i="43"/>
  <c r="AX244" i="43" s="1"/>
  <c r="AQ252" i="43"/>
  <c r="AX252" i="43" s="1"/>
  <c r="AA338" i="43"/>
  <c r="AB338" i="43"/>
  <c r="AU338" i="43" s="1"/>
  <c r="AC338" i="43"/>
  <c r="AV338" i="43" s="1"/>
  <c r="AA342" i="43"/>
  <c r="AC342" i="43"/>
  <c r="AV342" i="43" s="1"/>
  <c r="AB342" i="43"/>
  <c r="AU342" i="43" s="1"/>
  <c r="AQ135" i="43"/>
  <c r="AX135" i="43" s="1"/>
  <c r="AB148" i="43"/>
  <c r="AU148" i="43" s="1"/>
  <c r="AQ138" i="43"/>
  <c r="AX138" i="43" s="1"/>
  <c r="AQ142" i="43"/>
  <c r="AX142" i="43" s="1"/>
  <c r="AC144" i="43"/>
  <c r="AV144" i="43" s="1"/>
  <c r="AC148" i="43"/>
  <c r="AV148" i="43" s="1"/>
  <c r="AC150" i="43"/>
  <c r="AV150" i="43" s="1"/>
  <c r="AC154" i="43"/>
  <c r="AV154" i="43" s="1"/>
  <c r="AA158" i="43"/>
  <c r="AA159" i="43"/>
  <c r="AA160" i="43"/>
  <c r="AA161" i="43"/>
  <c r="AA164" i="43"/>
  <c r="AC198" i="43"/>
  <c r="AV198" i="43" s="1"/>
  <c r="AB198" i="43"/>
  <c r="AU198" i="43" s="1"/>
  <c r="AA198" i="43"/>
  <c r="AC222" i="43"/>
  <c r="AV222" i="43" s="1"/>
  <c r="AB222" i="43"/>
  <c r="AU222" i="43" s="1"/>
  <c r="AA222" i="43"/>
  <c r="AC230" i="43"/>
  <c r="AV230" i="43" s="1"/>
  <c r="AB230" i="43"/>
  <c r="AU230" i="43" s="1"/>
  <c r="AA230" i="43"/>
  <c r="AC246" i="43"/>
  <c r="AV246" i="43" s="1"/>
  <c r="AB246" i="43"/>
  <c r="AU246" i="43" s="1"/>
  <c r="AA246" i="43"/>
  <c r="AA260" i="43"/>
  <c r="AC260" i="43"/>
  <c r="AV260" i="43" s="1"/>
  <c r="AB260" i="43"/>
  <c r="AU260" i="43" s="1"/>
  <c r="AB165" i="43"/>
  <c r="AU165" i="43" s="1"/>
  <c r="AB166" i="43"/>
  <c r="AU166" i="43" s="1"/>
  <c r="AB167" i="43"/>
  <c r="AU167" i="43" s="1"/>
  <c r="AB170" i="43"/>
  <c r="AU170" i="43" s="1"/>
  <c r="AB171" i="43"/>
  <c r="AU171" i="43" s="1"/>
  <c r="AB172" i="43"/>
  <c r="AU172" i="43" s="1"/>
  <c r="AB173" i="43"/>
  <c r="AU173" i="43" s="1"/>
  <c r="AB176" i="43"/>
  <c r="AU176" i="43" s="1"/>
  <c r="AB177" i="43"/>
  <c r="AU177" i="43" s="1"/>
  <c r="AB178" i="43"/>
  <c r="AU178" i="43" s="1"/>
  <c r="AB179" i="43"/>
  <c r="AU179" i="43" s="1"/>
  <c r="AB182" i="43"/>
  <c r="AU182" i="43" s="1"/>
  <c r="AB183" i="43"/>
  <c r="AU183" i="43" s="1"/>
  <c r="AB184" i="43"/>
  <c r="AU184" i="43" s="1"/>
  <c r="AB185" i="43"/>
  <c r="AU185" i="43" s="1"/>
  <c r="AB186" i="43"/>
  <c r="AU186" i="43" s="1"/>
  <c r="AB188" i="43"/>
  <c r="AU188" i="43" s="1"/>
  <c r="AB189" i="43"/>
  <c r="AU189" i="43" s="1"/>
  <c r="AB190" i="43"/>
  <c r="AU190" i="43" s="1"/>
  <c r="AB191" i="43"/>
  <c r="AU191" i="43" s="1"/>
  <c r="AB192" i="43"/>
  <c r="AU192" i="43" s="1"/>
  <c r="AQ193" i="43"/>
  <c r="AX193" i="43" s="1"/>
  <c r="AB196" i="43"/>
  <c r="AU196" i="43" s="1"/>
  <c r="AQ197" i="43"/>
  <c r="AX197" i="43" s="1"/>
  <c r="AQ201" i="43"/>
  <c r="AX201" i="43" s="1"/>
  <c r="AB204" i="43"/>
  <c r="AU204" i="43" s="1"/>
  <c r="AQ205" i="43"/>
  <c r="AX205" i="43" s="1"/>
  <c r="AB208" i="43"/>
  <c r="AU208" i="43" s="1"/>
  <c r="AQ209" i="43"/>
  <c r="AX209" i="43" s="1"/>
  <c r="AB212" i="43"/>
  <c r="AU212" i="43" s="1"/>
  <c r="AB216" i="43"/>
  <c r="AU216" i="43" s="1"/>
  <c r="AQ217" i="43"/>
  <c r="AX217" i="43" s="1"/>
  <c r="AQ221" i="43"/>
  <c r="AX221" i="43" s="1"/>
  <c r="AB224" i="43"/>
  <c r="AU224" i="43" s="1"/>
  <c r="AB228" i="43"/>
  <c r="AU228" i="43" s="1"/>
  <c r="AQ229" i="43"/>
  <c r="AX229" i="43" s="1"/>
  <c r="AQ233" i="43"/>
  <c r="AX233" i="43" s="1"/>
  <c r="AB236" i="43"/>
  <c r="AU236" i="43" s="1"/>
  <c r="AB240" i="43"/>
  <c r="AU240" i="43" s="1"/>
  <c r="AQ241" i="43"/>
  <c r="AX241" i="43" s="1"/>
  <c r="AQ245" i="43"/>
  <c r="AX245" i="43" s="1"/>
  <c r="AB248" i="43"/>
  <c r="AU248" i="43" s="1"/>
  <c r="AB252" i="43"/>
  <c r="AU252" i="43" s="1"/>
  <c r="AA253" i="43"/>
  <c r="AC253" i="43"/>
  <c r="AV253" i="43" s="1"/>
  <c r="AQ253" i="43"/>
  <c r="AX253" i="43" s="1"/>
  <c r="AQ257" i="43"/>
  <c r="AX257" i="43" s="1"/>
  <c r="AX258" i="43" s="1"/>
  <c r="AA268" i="43"/>
  <c r="AA269" i="43"/>
  <c r="AA270" i="43"/>
  <c r="AQ330" i="43"/>
  <c r="AX330" i="43" s="1"/>
  <c r="AQ331" i="43"/>
  <c r="AX331" i="43" s="1"/>
  <c r="AC395" i="43"/>
  <c r="AV395" i="43" s="1"/>
  <c r="AB395" i="43"/>
  <c r="AU395" i="43" s="1"/>
  <c r="AA395" i="43"/>
  <c r="AQ198" i="43"/>
  <c r="AX198" i="43" s="1"/>
  <c r="AQ202" i="43"/>
  <c r="AX202" i="43" s="1"/>
  <c r="AQ210" i="43"/>
  <c r="AX210" i="43" s="1"/>
  <c r="AQ214" i="43"/>
  <c r="AX214" i="43" s="1"/>
  <c r="AQ218" i="43"/>
  <c r="AX218" i="43" s="1"/>
  <c r="AQ222" i="43"/>
  <c r="AX222" i="43" s="1"/>
  <c r="AQ226" i="43"/>
  <c r="AX226" i="43" s="1"/>
  <c r="AQ230" i="43"/>
  <c r="AX230" i="43" s="1"/>
  <c r="AQ234" i="43"/>
  <c r="AX234" i="43" s="1"/>
  <c r="AQ238" i="43"/>
  <c r="AX238" i="43" s="1"/>
  <c r="AQ242" i="43"/>
  <c r="AX242" i="43" s="1"/>
  <c r="AQ246" i="43"/>
  <c r="AX246" i="43" s="1"/>
  <c r="AQ250" i="43"/>
  <c r="AX250" i="43" s="1"/>
  <c r="AA254" i="43"/>
  <c r="AC254" i="43"/>
  <c r="AV254" i="43" s="1"/>
  <c r="AQ254" i="43"/>
  <c r="AX254" i="43" s="1"/>
  <c r="AA274" i="43"/>
  <c r="AA278" i="43"/>
  <c r="AA282" i="43"/>
  <c r="AA286" i="43"/>
  <c r="AA290" i="43"/>
  <c r="AA294" i="43"/>
  <c r="AA302" i="43"/>
  <c r="AA310" i="43"/>
  <c r="AA318" i="43"/>
  <c r="AA326" i="43"/>
  <c r="AQ346" i="43"/>
  <c r="AX346" i="43" s="1"/>
  <c r="AQ347" i="43"/>
  <c r="AX347" i="43" s="1"/>
  <c r="AQ143" i="43"/>
  <c r="AX143" i="43" s="1"/>
  <c r="AQ144" i="43"/>
  <c r="AX144" i="43" s="1"/>
  <c r="AQ146" i="43"/>
  <c r="AX146" i="43" s="1"/>
  <c r="AQ147" i="43"/>
  <c r="AX147" i="43" s="1"/>
  <c r="AQ148" i="43"/>
  <c r="AX148" i="43" s="1"/>
  <c r="AQ149" i="43"/>
  <c r="AX149" i="43" s="1"/>
  <c r="AQ150" i="43"/>
  <c r="AX150" i="43" s="1"/>
  <c r="AQ152" i="43"/>
  <c r="AX152" i="43" s="1"/>
  <c r="AQ153" i="43"/>
  <c r="AX153" i="43" s="1"/>
  <c r="AQ154" i="43"/>
  <c r="AX154" i="43" s="1"/>
  <c r="AQ155" i="43"/>
  <c r="AX155" i="43" s="1"/>
  <c r="AQ156" i="43"/>
  <c r="AX156" i="43" s="1"/>
  <c r="AQ158" i="43"/>
  <c r="AX158" i="43" s="1"/>
  <c r="AQ159" i="43"/>
  <c r="AX159" i="43" s="1"/>
  <c r="AQ160" i="43"/>
  <c r="AX160" i="43" s="1"/>
  <c r="AQ161" i="43"/>
  <c r="AX161" i="43" s="1"/>
  <c r="AQ163" i="43"/>
  <c r="AX163" i="43" s="1"/>
  <c r="AQ164" i="43"/>
  <c r="AX164" i="43" s="1"/>
  <c r="AQ165" i="43"/>
  <c r="AX165" i="43" s="1"/>
  <c r="AQ166" i="43"/>
  <c r="AX166" i="43" s="1"/>
  <c r="AQ167" i="43"/>
  <c r="AX167" i="43" s="1"/>
  <c r="AQ169" i="43"/>
  <c r="AX169" i="43" s="1"/>
  <c r="AQ170" i="43"/>
  <c r="AX170" i="43" s="1"/>
  <c r="AQ171" i="43"/>
  <c r="AX171" i="43" s="1"/>
  <c r="AQ172" i="43"/>
  <c r="AX172" i="43" s="1"/>
  <c r="AQ173" i="43"/>
  <c r="AX173" i="43" s="1"/>
  <c r="AQ175" i="43"/>
  <c r="AX175" i="43" s="1"/>
  <c r="AQ176" i="43"/>
  <c r="AX176" i="43" s="1"/>
  <c r="AQ177" i="43"/>
  <c r="AX177" i="43" s="1"/>
  <c r="AQ178" i="43"/>
  <c r="AX178" i="43" s="1"/>
  <c r="AQ179" i="43"/>
  <c r="AX179" i="43" s="1"/>
  <c r="AQ181" i="43"/>
  <c r="AX181" i="43" s="1"/>
  <c r="AQ182" i="43"/>
  <c r="AX182" i="43" s="1"/>
  <c r="AQ183" i="43"/>
  <c r="AX183" i="43" s="1"/>
  <c r="AQ184" i="43"/>
  <c r="AX184" i="43" s="1"/>
  <c r="AQ185" i="43"/>
  <c r="AX185" i="43" s="1"/>
  <c r="AQ186" i="43"/>
  <c r="AX186" i="43" s="1"/>
  <c r="AQ188" i="43"/>
  <c r="AX188" i="43" s="1"/>
  <c r="AQ189" i="43"/>
  <c r="AX189" i="43" s="1"/>
  <c r="AQ190" i="43"/>
  <c r="AX190" i="43" s="1"/>
  <c r="AQ191" i="43"/>
  <c r="AX191" i="43" s="1"/>
  <c r="AQ195" i="43"/>
  <c r="AX195" i="43" s="1"/>
  <c r="AA199" i="43"/>
  <c r="AQ199" i="43"/>
  <c r="AX199" i="43" s="1"/>
  <c r="AA203" i="43"/>
  <c r="AQ203" i="43"/>
  <c r="AX203" i="43" s="1"/>
  <c r="AQ207" i="43"/>
  <c r="AX207" i="43" s="1"/>
  <c r="AA211" i="43"/>
  <c r="AQ211" i="43"/>
  <c r="AX211" i="43" s="1"/>
  <c r="AA215" i="43"/>
  <c r="AQ215" i="43"/>
  <c r="AX215" i="43" s="1"/>
  <c r="AA223" i="43"/>
  <c r="AQ223" i="43"/>
  <c r="AX223" i="43" s="1"/>
  <c r="AA227" i="43"/>
  <c r="AQ227" i="43"/>
  <c r="AX227" i="43" s="1"/>
  <c r="AA235" i="43"/>
  <c r="AQ235" i="43"/>
  <c r="AX235" i="43" s="1"/>
  <c r="AA239" i="43"/>
  <c r="AQ239" i="43"/>
  <c r="AX239" i="43" s="1"/>
  <c r="AA247" i="43"/>
  <c r="AQ247" i="43"/>
  <c r="AX247" i="43" s="1"/>
  <c r="AA251" i="43"/>
  <c r="AQ251" i="43"/>
  <c r="AX251" i="43" s="1"/>
  <c r="AB253" i="43"/>
  <c r="AU253" i="43" s="1"/>
  <c r="AA255" i="43"/>
  <c r="AC255" i="43"/>
  <c r="AV255" i="43" s="1"/>
  <c r="AQ255" i="43"/>
  <c r="AX255" i="43" s="1"/>
  <c r="AQ259" i="43"/>
  <c r="AX259" i="43" s="1"/>
  <c r="AB261" i="43"/>
  <c r="AU261" i="43" s="1"/>
  <c r="AB264" i="43"/>
  <c r="AU264" i="43" s="1"/>
  <c r="AB265" i="43"/>
  <c r="AU265" i="43" s="1"/>
  <c r="AB330" i="43"/>
  <c r="AU330" i="43" s="1"/>
  <c r="AB331" i="43"/>
  <c r="AU331" i="43" s="1"/>
  <c r="AB341" i="43"/>
  <c r="AU341" i="43" s="1"/>
  <c r="AA341" i="43"/>
  <c r="AQ342" i="43"/>
  <c r="AX342" i="43" s="1"/>
  <c r="AA343" i="43"/>
  <c r="AQ343" i="43"/>
  <c r="AX343" i="43" s="1"/>
  <c r="AB346" i="43"/>
  <c r="AU346" i="43" s="1"/>
  <c r="AB352" i="43"/>
  <c r="AU352" i="43" s="1"/>
  <c r="AA352" i="43"/>
  <c r="AC352" i="43"/>
  <c r="AV352" i="43" s="1"/>
  <c r="AB353" i="43"/>
  <c r="AU353" i="43" s="1"/>
  <c r="AA353" i="43"/>
  <c r="AC353" i="43"/>
  <c r="AV353" i="43" s="1"/>
  <c r="AB356" i="43"/>
  <c r="AU356" i="43" s="1"/>
  <c r="AA356" i="43"/>
  <c r="AC356" i="43"/>
  <c r="AV356" i="43" s="1"/>
  <c r="AB360" i="43"/>
  <c r="AU360" i="43" s="1"/>
  <c r="AA360" i="43"/>
  <c r="AC360" i="43"/>
  <c r="AV360" i="43" s="1"/>
  <c r="AB361" i="43"/>
  <c r="AU361" i="43" s="1"/>
  <c r="AA361" i="43"/>
  <c r="AC361" i="43"/>
  <c r="AV361" i="43" s="1"/>
  <c r="AB364" i="43"/>
  <c r="AU364" i="43" s="1"/>
  <c r="AA364" i="43"/>
  <c r="AC364" i="43"/>
  <c r="AV364" i="43" s="1"/>
  <c r="AB365" i="43"/>
  <c r="AU365" i="43" s="1"/>
  <c r="AA365" i="43"/>
  <c r="AC365" i="43"/>
  <c r="AV365" i="43" s="1"/>
  <c r="AB368" i="43"/>
  <c r="AU368" i="43" s="1"/>
  <c r="AA368" i="43"/>
  <c r="AC368" i="43"/>
  <c r="AV368" i="43" s="1"/>
  <c r="AB372" i="43"/>
  <c r="AU372" i="43" s="1"/>
  <c r="AA372" i="43"/>
  <c r="AC372" i="43"/>
  <c r="AV372" i="43" s="1"/>
  <c r="AC403" i="43"/>
  <c r="AV403" i="43" s="1"/>
  <c r="AB403" i="43"/>
  <c r="AU403" i="43" s="1"/>
  <c r="AA403" i="43"/>
  <c r="AA334" i="43"/>
  <c r="AB337" i="43"/>
  <c r="AU337" i="43" s="1"/>
  <c r="AA337" i="43"/>
  <c r="AQ338" i="43"/>
  <c r="AX338" i="43" s="1"/>
  <c r="AQ339" i="43"/>
  <c r="AX339" i="43" s="1"/>
  <c r="AB343" i="43"/>
  <c r="AU343" i="43" s="1"/>
  <c r="AC347" i="43"/>
  <c r="AV347" i="43" s="1"/>
  <c r="AB348" i="43"/>
  <c r="AU348" i="43" s="1"/>
  <c r="AA348" i="43"/>
  <c r="AC268" i="43"/>
  <c r="AV268" i="43" s="1"/>
  <c r="AB268" i="43"/>
  <c r="AU268" i="43" s="1"/>
  <c r="AC269" i="43"/>
  <c r="AV269" i="43" s="1"/>
  <c r="AB269" i="43"/>
  <c r="AU269" i="43" s="1"/>
  <c r="AC270" i="43"/>
  <c r="AV270" i="43" s="1"/>
  <c r="AB270" i="43"/>
  <c r="AU270" i="43" s="1"/>
  <c r="AA330" i="43"/>
  <c r="AQ334" i="43"/>
  <c r="AX334" i="43" s="1"/>
  <c r="AA346" i="43"/>
  <c r="AB271" i="43"/>
  <c r="AU271" i="43" s="1"/>
  <c r="AB273" i="43"/>
  <c r="AU273" i="43" s="1"/>
  <c r="AB274" i="43"/>
  <c r="AU274" i="43" s="1"/>
  <c r="AB275" i="43"/>
  <c r="AU275" i="43" s="1"/>
  <c r="AB278" i="43"/>
  <c r="AU278" i="43" s="1"/>
  <c r="AB279" i="43"/>
  <c r="AU279" i="43" s="1"/>
  <c r="AB280" i="43"/>
  <c r="AU280" i="43" s="1"/>
  <c r="AB281" i="43"/>
  <c r="AU281" i="43" s="1"/>
  <c r="AB282" i="43"/>
  <c r="AU282" i="43" s="1"/>
  <c r="AB284" i="43"/>
  <c r="AU284" i="43" s="1"/>
  <c r="AB285" i="43"/>
  <c r="AU285" i="43" s="1"/>
  <c r="AB286" i="43"/>
  <c r="AU286" i="43" s="1"/>
  <c r="AB287" i="43"/>
  <c r="AU287" i="43" s="1"/>
  <c r="AB290" i="43"/>
  <c r="AU290" i="43" s="1"/>
  <c r="AB291" i="43"/>
  <c r="AU291" i="43" s="1"/>
  <c r="AB292" i="43"/>
  <c r="AU292" i="43" s="1"/>
  <c r="AB293" i="43"/>
  <c r="AU293" i="43" s="1"/>
  <c r="AB294" i="43"/>
  <c r="AU294" i="43" s="1"/>
  <c r="AB295" i="43"/>
  <c r="AU295" i="43" s="1"/>
  <c r="AB300" i="43"/>
  <c r="AU300" i="43" s="1"/>
  <c r="AB301" i="43"/>
  <c r="AU301" i="43" s="1"/>
  <c r="AB302" i="43"/>
  <c r="AU302" i="43" s="1"/>
  <c r="AB303" i="43"/>
  <c r="AU303" i="43" s="1"/>
  <c r="AB304" i="43"/>
  <c r="AU304" i="43" s="1"/>
  <c r="AB307" i="43"/>
  <c r="AU307" i="43" s="1"/>
  <c r="AB308" i="43"/>
  <c r="AU308" i="43" s="1"/>
  <c r="AB309" i="43"/>
  <c r="AU309" i="43" s="1"/>
  <c r="AB310" i="43"/>
  <c r="AU310" i="43" s="1"/>
  <c r="AB311" i="43"/>
  <c r="AU311" i="43" s="1"/>
  <c r="AB313" i="43"/>
  <c r="AU313" i="43" s="1"/>
  <c r="AB315" i="43"/>
  <c r="AU315" i="43" s="1"/>
  <c r="AB318" i="43"/>
  <c r="AU318" i="43" s="1"/>
  <c r="AB319" i="43"/>
  <c r="AU319" i="43" s="1"/>
  <c r="AB320" i="43"/>
  <c r="AU320" i="43" s="1"/>
  <c r="AB321" i="43"/>
  <c r="AU321" i="43" s="1"/>
  <c r="AB325" i="43"/>
  <c r="AU325" i="43" s="1"/>
  <c r="AB326" i="43"/>
  <c r="AU326" i="43" s="1"/>
  <c r="AQ336" i="43"/>
  <c r="AX336" i="43" s="1"/>
  <c r="AB340" i="43"/>
  <c r="AU340" i="43" s="1"/>
  <c r="AQ340" i="43"/>
  <c r="AX340" i="43" s="1"/>
  <c r="AB354" i="43"/>
  <c r="AU354" i="43" s="1"/>
  <c r="AA354" i="43"/>
  <c r="AB366" i="43"/>
  <c r="AU366" i="43" s="1"/>
  <c r="AA366" i="43"/>
  <c r="AQ374" i="43"/>
  <c r="AX374" i="43" s="1"/>
  <c r="AX375" i="43" s="1"/>
  <c r="AQ393" i="43"/>
  <c r="AX393" i="43" s="1"/>
  <c r="AQ401" i="43"/>
  <c r="AX401" i="43" s="1"/>
  <c r="AQ329" i="43"/>
  <c r="AX329" i="43" s="1"/>
  <c r="AQ333" i="43"/>
  <c r="AX333" i="43" s="1"/>
  <c r="AQ337" i="43"/>
  <c r="AX337" i="43" s="1"/>
  <c r="AQ341" i="43"/>
  <c r="AX341" i="43" s="1"/>
  <c r="AQ345" i="43"/>
  <c r="AX345" i="43" s="1"/>
  <c r="AB349" i="43"/>
  <c r="AU349" i="43" s="1"/>
  <c r="AB355" i="43"/>
  <c r="AU355" i="43" s="1"/>
  <c r="AA355" i="43"/>
  <c r="AB359" i="43"/>
  <c r="AU359" i="43" s="1"/>
  <c r="AA359" i="43"/>
  <c r="AB367" i="43"/>
  <c r="AU367" i="43" s="1"/>
  <c r="AA367" i="43"/>
  <c r="AB371" i="43"/>
  <c r="AU371" i="43" s="1"/>
  <c r="AA371" i="43"/>
  <c r="AQ397" i="43"/>
  <c r="AX397" i="43" s="1"/>
  <c r="AQ348" i="43"/>
  <c r="AX348" i="43" s="1"/>
  <c r="AQ349" i="43"/>
  <c r="AX349" i="43" s="1"/>
  <c r="AQ351" i="43"/>
  <c r="AX351" i="43" s="1"/>
  <c r="AQ352" i="43"/>
  <c r="AX352" i="43" s="1"/>
  <c r="AQ353" i="43"/>
  <c r="AX353" i="43" s="1"/>
  <c r="AQ354" i="43"/>
  <c r="AX354" i="43" s="1"/>
  <c r="AQ355" i="43"/>
  <c r="AX355" i="43" s="1"/>
  <c r="AQ356" i="43"/>
  <c r="AX356" i="43" s="1"/>
  <c r="AQ358" i="43"/>
  <c r="AX358" i="43" s="1"/>
  <c r="AQ359" i="43"/>
  <c r="AX359" i="43" s="1"/>
  <c r="AQ360" i="43"/>
  <c r="AX360" i="43" s="1"/>
  <c r="AQ361" i="43"/>
  <c r="AX361" i="43" s="1"/>
  <c r="AQ363" i="43"/>
  <c r="AX363" i="43" s="1"/>
  <c r="AQ364" i="43"/>
  <c r="AX364" i="43" s="1"/>
  <c r="AQ365" i="43"/>
  <c r="AX365" i="43" s="1"/>
  <c r="AQ366" i="43"/>
  <c r="AX366" i="43" s="1"/>
  <c r="AQ367" i="43"/>
  <c r="AX367" i="43" s="1"/>
  <c r="AQ368" i="43"/>
  <c r="AX368" i="43" s="1"/>
  <c r="AQ370" i="43"/>
  <c r="AX370" i="43" s="1"/>
  <c r="AQ371" i="43"/>
  <c r="AX371" i="43" s="1"/>
  <c r="AQ372" i="43"/>
  <c r="AX372" i="43" s="1"/>
  <c r="AB377" i="43"/>
  <c r="AU377" i="43" s="1"/>
  <c r="AB378" i="43"/>
  <c r="AU378" i="43" s="1"/>
  <c r="AB379" i="43"/>
  <c r="AU379" i="43" s="1"/>
  <c r="AB380" i="43"/>
  <c r="AU380" i="43" s="1"/>
  <c r="AB381" i="43"/>
  <c r="AU381" i="43" s="1"/>
  <c r="AB384" i="43"/>
  <c r="AU384" i="43" s="1"/>
  <c r="AB385" i="43"/>
  <c r="AU385" i="43" s="1"/>
  <c r="AB386" i="43"/>
  <c r="AU386" i="43" s="1"/>
  <c r="AB387" i="43"/>
  <c r="AU387" i="43" s="1"/>
  <c r="AB390" i="43"/>
  <c r="AU390" i="43" s="1"/>
  <c r="AB391" i="43"/>
  <c r="AU391" i="43" s="1"/>
  <c r="AA394" i="43"/>
  <c r="AQ394" i="43"/>
  <c r="AX394" i="43" s="1"/>
  <c r="AB397" i="43"/>
  <c r="AU397" i="43" s="1"/>
  <c r="AA398" i="43"/>
  <c r="AQ398" i="43"/>
  <c r="AX398" i="43" s="1"/>
  <c r="AB401" i="43"/>
  <c r="AU401" i="43" s="1"/>
  <c r="AA402" i="43"/>
  <c r="AQ402" i="43"/>
  <c r="AX402" i="43" s="1"/>
  <c r="AC404" i="43"/>
  <c r="AV404" i="43" s="1"/>
  <c r="AA404" i="43"/>
  <c r="AC408" i="43"/>
  <c r="AV408" i="43" s="1"/>
  <c r="AA408" i="43"/>
  <c r="AB412" i="43"/>
  <c r="AU412" i="43" s="1"/>
  <c r="AC412" i="43"/>
  <c r="AV412" i="43" s="1"/>
  <c r="AA412" i="43"/>
  <c r="AB420" i="43"/>
  <c r="AU420" i="43" s="1"/>
  <c r="AC420" i="43"/>
  <c r="AV420" i="43" s="1"/>
  <c r="AA420" i="43"/>
  <c r="AB424" i="43"/>
  <c r="AU424" i="43" s="1"/>
  <c r="AC424" i="43"/>
  <c r="AV424" i="43" s="1"/>
  <c r="AA424" i="43"/>
  <c r="AB428" i="43"/>
  <c r="AU428" i="43" s="1"/>
  <c r="AC428" i="43"/>
  <c r="AV428" i="43" s="1"/>
  <c r="AA428" i="43"/>
  <c r="AB432" i="43"/>
  <c r="AU432" i="43" s="1"/>
  <c r="AC432" i="43"/>
  <c r="AV432" i="43" s="1"/>
  <c r="AA432" i="43"/>
  <c r="AQ462" i="43"/>
  <c r="AX462" i="43" s="1"/>
  <c r="AB394" i="43"/>
  <c r="AU394" i="43" s="1"/>
  <c r="AQ395" i="43"/>
  <c r="AX395" i="43" s="1"/>
  <c r="AB398" i="43"/>
  <c r="AU398" i="43" s="1"/>
  <c r="AB402" i="43"/>
  <c r="AU402" i="43" s="1"/>
  <c r="AQ403" i="43"/>
  <c r="AX403" i="43" s="1"/>
  <c r="AQ396" i="43"/>
  <c r="AX396" i="43" s="1"/>
  <c r="AQ400" i="43"/>
  <c r="AX400" i="43" s="1"/>
  <c r="AC405" i="43"/>
  <c r="AV405" i="43" s="1"/>
  <c r="AA405" i="43"/>
  <c r="AB411" i="43"/>
  <c r="AU411" i="43" s="1"/>
  <c r="AA411" i="43"/>
  <c r="AC411" i="43"/>
  <c r="AV411" i="43" s="1"/>
  <c r="AB413" i="43"/>
  <c r="AU413" i="43" s="1"/>
  <c r="AC413" i="43"/>
  <c r="AV413" i="43" s="1"/>
  <c r="AA413" i="43"/>
  <c r="AB417" i="43"/>
  <c r="AU417" i="43" s="1"/>
  <c r="AC417" i="43"/>
  <c r="AV417" i="43" s="1"/>
  <c r="AA417" i="43"/>
  <c r="AB421" i="43"/>
  <c r="AU421" i="43" s="1"/>
  <c r="AC421" i="43"/>
  <c r="AV421" i="43" s="1"/>
  <c r="AA421" i="43"/>
  <c r="AB425" i="43"/>
  <c r="AU425" i="43" s="1"/>
  <c r="AC425" i="43"/>
  <c r="AV425" i="43" s="1"/>
  <c r="AA425" i="43"/>
  <c r="AB433" i="43"/>
  <c r="AU433" i="43" s="1"/>
  <c r="AC433" i="43"/>
  <c r="AV433" i="43" s="1"/>
  <c r="AA433" i="43"/>
  <c r="AB419" i="43"/>
  <c r="AU419" i="43" s="1"/>
  <c r="AC419" i="43"/>
  <c r="AV419" i="43" s="1"/>
  <c r="AA419" i="43"/>
  <c r="AB427" i="43"/>
  <c r="AU427" i="43" s="1"/>
  <c r="AC427" i="43"/>
  <c r="AV427" i="43" s="1"/>
  <c r="AA427" i="43"/>
  <c r="AB431" i="43"/>
  <c r="AU431" i="43" s="1"/>
  <c r="AC431" i="43"/>
  <c r="AV431" i="43" s="1"/>
  <c r="AA431" i="43"/>
  <c r="AB414" i="43"/>
  <c r="AU414" i="43" s="1"/>
  <c r="AC414" i="43"/>
  <c r="AV414" i="43" s="1"/>
  <c r="AA414" i="43"/>
  <c r="AB418" i="43"/>
  <c r="AU418" i="43" s="1"/>
  <c r="AC418" i="43"/>
  <c r="AV418" i="43" s="1"/>
  <c r="AA418" i="43"/>
  <c r="AB426" i="43"/>
  <c r="AU426" i="43" s="1"/>
  <c r="AC426" i="43"/>
  <c r="AV426" i="43" s="1"/>
  <c r="AA426" i="43"/>
  <c r="AB434" i="43"/>
  <c r="AU434" i="43" s="1"/>
  <c r="AC434" i="43"/>
  <c r="AV434" i="43" s="1"/>
  <c r="AA434" i="43"/>
  <c r="AA452" i="43"/>
  <c r="AC452" i="43"/>
  <c r="AV452" i="43" s="1"/>
  <c r="AB452" i="43"/>
  <c r="AU452" i="43" s="1"/>
  <c r="AA453" i="43"/>
  <c r="AB453" i="43"/>
  <c r="AU453" i="43" s="1"/>
  <c r="AQ448" i="43"/>
  <c r="AX448" i="43" s="1"/>
  <c r="AA449" i="43"/>
  <c r="AC449" i="43"/>
  <c r="AV449" i="43" s="1"/>
  <c r="AB449" i="43"/>
  <c r="AU449" i="43" s="1"/>
  <c r="AB435" i="43"/>
  <c r="AU435" i="43" s="1"/>
  <c r="AB438" i="43"/>
  <c r="AU438" i="43" s="1"/>
  <c r="AB439" i="43"/>
  <c r="AU439" i="43" s="1"/>
  <c r="AA440" i="43"/>
  <c r="AA441" i="43"/>
  <c r="AA442" i="43"/>
  <c r="AA445" i="43"/>
  <c r="AA446" i="43"/>
  <c r="AA447" i="43"/>
  <c r="AQ451" i="43"/>
  <c r="AX451" i="43" s="1"/>
  <c r="AA456" i="43"/>
  <c r="AC458" i="43"/>
  <c r="AV458" i="43" s="1"/>
  <c r="AQ458" i="43"/>
  <c r="AX458" i="43" s="1"/>
  <c r="AA462" i="43"/>
  <c r="AC462" i="43"/>
  <c r="AV462" i="43" s="1"/>
  <c r="AB462" i="43"/>
  <c r="AU462" i="43" s="1"/>
  <c r="AB440" i="43"/>
  <c r="AU440" i="43" s="1"/>
  <c r="AB441" i="43"/>
  <c r="AU441" i="43" s="1"/>
  <c r="AB442" i="43"/>
  <c r="AU442" i="43" s="1"/>
  <c r="AB445" i="43"/>
  <c r="AU445" i="43" s="1"/>
  <c r="AA454" i="43"/>
  <c r="AB454" i="43"/>
  <c r="AU454" i="43" s="1"/>
  <c r="AA455" i="43"/>
  <c r="AC455" i="43"/>
  <c r="AV455" i="43" s="1"/>
  <c r="AQ455" i="43"/>
  <c r="AX455" i="43" s="1"/>
  <c r="AA448" i="43"/>
  <c r="AQ449" i="43"/>
  <c r="AX449" i="43" s="1"/>
  <c r="AQ452" i="43"/>
  <c r="AX452" i="43" s="1"/>
  <c r="AA458" i="43"/>
  <c r="AB458" i="43"/>
  <c r="AU458" i="43" s="1"/>
  <c r="AQ459" i="43"/>
  <c r="AX459" i="43" s="1"/>
  <c r="AQ463" i="43"/>
  <c r="AX463" i="43" s="1"/>
  <c r="AA459" i="43"/>
  <c r="AA463" i="43"/>
  <c r="AQ12" i="44"/>
  <c r="AQ12" i="43"/>
  <c r="AP466" i="43" l="1"/>
  <c r="AO466" i="43"/>
  <c r="AO133" i="44"/>
  <c r="AP132" i="44"/>
  <c r="AS18" i="43"/>
  <c r="AV95" i="44"/>
  <c r="AT13" i="44"/>
  <c r="AF133" i="44"/>
  <c r="O132" i="44"/>
  <c r="AF132" i="44"/>
  <c r="Z132" i="44"/>
  <c r="AT13" i="43"/>
  <c r="Z467" i="43"/>
  <c r="AF467" i="43"/>
  <c r="AF466" i="43"/>
  <c r="Z466" i="43"/>
  <c r="O467" i="43"/>
  <c r="O466" i="43"/>
  <c r="Z133" i="44"/>
  <c r="O133" i="44"/>
  <c r="AX276" i="43"/>
  <c r="AX262" i="43"/>
  <c r="AS132" i="43"/>
  <c r="AX101" i="44"/>
  <c r="AS19" i="44"/>
  <c r="AX42" i="43"/>
  <c r="AU460" i="43"/>
  <c r="AX406" i="43"/>
  <c r="AX335" i="43"/>
  <c r="AX213" i="43"/>
  <c r="AX266" i="43"/>
  <c r="AX373" i="43"/>
  <c r="AV94" i="43"/>
  <c r="AV460" i="43"/>
  <c r="AU94" i="43"/>
  <c r="AX332" i="43"/>
  <c r="AX409" i="43"/>
  <c r="AX120" i="43"/>
  <c r="AX109" i="43"/>
  <c r="AX98" i="43"/>
  <c r="AX86" i="43"/>
  <c r="AX52" i="43"/>
  <c r="AX272" i="43"/>
  <c r="AX125" i="43"/>
  <c r="AX113" i="43"/>
  <c r="AX102" i="43"/>
  <c r="AX90" i="43"/>
  <c r="AX79" i="43"/>
  <c r="AX75" i="43"/>
  <c r="AX382" i="43"/>
  <c r="AX35" i="44"/>
  <c r="AX91" i="44"/>
  <c r="AU95" i="44"/>
  <c r="AV113" i="44"/>
  <c r="AX63" i="44"/>
  <c r="AX95" i="44"/>
  <c r="AX28" i="44"/>
  <c r="AX42" i="44"/>
  <c r="AX105" i="44"/>
  <c r="AX77" i="44"/>
  <c r="AS28" i="44"/>
  <c r="AV56" i="44"/>
  <c r="AX56" i="44"/>
  <c r="AU113" i="44"/>
  <c r="AU56" i="44"/>
  <c r="AX124" i="44"/>
  <c r="AV42" i="44"/>
  <c r="AX84" i="44"/>
  <c r="AX70" i="44"/>
  <c r="AX130" i="44"/>
  <c r="AU42" i="44"/>
  <c r="AX19" i="44"/>
  <c r="AX49" i="44"/>
  <c r="AX113" i="44"/>
  <c r="AX457" i="43"/>
  <c r="AX357" i="43"/>
  <c r="AX187" i="43"/>
  <c r="AX157" i="43"/>
  <c r="AX219" i="43"/>
  <c r="AX116" i="43"/>
  <c r="AX105" i="43"/>
  <c r="AX94" i="43"/>
  <c r="AX82" i="43"/>
  <c r="AX67" i="43"/>
  <c r="AU162" i="43"/>
  <c r="AX39" i="43"/>
  <c r="AX55" i="43"/>
  <c r="AX31" i="43"/>
  <c r="AX464" i="43"/>
  <c r="AX305" i="43"/>
  <c r="AX415" i="43"/>
  <c r="AX312" i="43"/>
  <c r="AX316" i="43"/>
  <c r="AX460" i="43"/>
  <c r="AX350" i="43"/>
  <c r="AX180" i="43"/>
  <c r="AX151" i="43"/>
  <c r="AX231" i="43"/>
  <c r="AX225" i="43"/>
  <c r="AX139" i="43"/>
  <c r="AX70" i="43"/>
  <c r="AV162" i="43"/>
  <c r="AX59" i="43"/>
  <c r="AX35" i="43"/>
  <c r="AX46" i="43"/>
  <c r="AX18" i="43"/>
  <c r="AX322" i="43"/>
  <c r="AX392" i="43"/>
  <c r="AX328" i="43"/>
  <c r="AU63" i="43"/>
  <c r="AX443" i="43"/>
  <c r="AX369" i="43"/>
  <c r="AX362" i="43"/>
  <c r="AX200" i="43"/>
  <c r="AX194" i="43"/>
  <c r="AX174" i="43"/>
  <c r="AX243" i="43"/>
  <c r="AX206" i="43"/>
  <c r="AU194" i="43"/>
  <c r="AX249" i="43"/>
  <c r="AX145" i="43"/>
  <c r="AX63" i="43"/>
  <c r="AX27" i="43"/>
  <c r="AX429" i="43"/>
  <c r="AV288" i="43"/>
  <c r="AX450" i="43"/>
  <c r="AX283" i="43"/>
  <c r="AX422" i="43"/>
  <c r="AX399" i="43"/>
  <c r="AX344" i="43"/>
  <c r="AU288" i="43"/>
  <c r="AU276" i="43"/>
  <c r="AX168" i="43"/>
  <c r="AX162" i="43"/>
  <c r="AX256" i="43"/>
  <c r="AX132" i="43"/>
  <c r="AX237" i="43"/>
  <c r="AV63" i="43"/>
  <c r="AX22" i="43"/>
  <c r="AX49" i="43"/>
  <c r="AX436" i="43"/>
  <c r="AX388" i="43"/>
  <c r="AX296" i="43"/>
  <c r="AX288" i="43"/>
  <c r="AV194" i="43"/>
  <c r="M134" i="44"/>
  <c r="L134" i="44"/>
  <c r="O134" i="44"/>
  <c r="AC389" i="43"/>
  <c r="AV389" i="43" s="1"/>
  <c r="AV392" i="43" s="1"/>
  <c r="AC345" i="43"/>
  <c r="AV345" i="43" s="1"/>
  <c r="AV350" i="43" s="1"/>
  <c r="AA400" i="43"/>
  <c r="AA406" i="43" s="1"/>
  <c r="AB323" i="43"/>
  <c r="AC83" i="43"/>
  <c r="AV83" i="43" s="1"/>
  <c r="AV86" i="43" s="1"/>
  <c r="AA201" i="43"/>
  <c r="AA206" i="43" s="1"/>
  <c r="V476" i="43"/>
  <c r="AS476" i="43"/>
  <c r="AC276" i="43"/>
  <c r="AV273" i="43"/>
  <c r="AV276" i="43" s="1"/>
  <c r="V464" i="43"/>
  <c r="V305" i="43"/>
  <c r="AB19" i="43"/>
  <c r="AU19" i="43" s="1"/>
  <c r="AU22" i="43" s="1"/>
  <c r="AQ324" i="43"/>
  <c r="AB314" i="43"/>
  <c r="AU314" i="43" s="1"/>
  <c r="AU316" i="43" s="1"/>
  <c r="AA374" i="43"/>
  <c r="AA375" i="43" s="1"/>
  <c r="V120" i="43"/>
  <c r="V344" i="43"/>
  <c r="V272" i="43"/>
  <c r="AA195" i="43"/>
  <c r="AA200" i="43" s="1"/>
  <c r="AB327" i="43"/>
  <c r="AU327" i="43" s="1"/>
  <c r="AU328" i="43" s="1"/>
  <c r="AC416" i="43"/>
  <c r="AV416" i="43" s="1"/>
  <c r="AV422" i="43" s="1"/>
  <c r="V219" i="43"/>
  <c r="AA175" i="43"/>
  <c r="AA180" i="43" s="1"/>
  <c r="V145" i="43"/>
  <c r="AB23" i="43"/>
  <c r="AU23" i="43" s="1"/>
  <c r="AU27" i="43" s="1"/>
  <c r="V283" i="43"/>
  <c r="V90" i="43"/>
  <c r="AC56" i="43"/>
  <c r="AV56" i="43" s="1"/>
  <c r="AV59" i="43" s="1"/>
  <c r="V52" i="43"/>
  <c r="V46" i="43"/>
  <c r="V109" i="43"/>
  <c r="V388" i="43"/>
  <c r="V113" i="43"/>
  <c r="V49" i="43"/>
  <c r="V332" i="43"/>
  <c r="V266" i="43"/>
  <c r="AA169" i="43"/>
  <c r="AA174" i="43" s="1"/>
  <c r="AA14" i="43"/>
  <c r="AC127" i="43"/>
  <c r="AV127" i="43" s="1"/>
  <c r="AA407" i="43"/>
  <c r="AA409" i="43" s="1"/>
  <c r="V429" i="43"/>
  <c r="AA370" i="43"/>
  <c r="AA373" i="43" s="1"/>
  <c r="V31" i="43"/>
  <c r="AB32" i="43"/>
  <c r="AU32" i="43" s="1"/>
  <c r="AU35" i="43" s="1"/>
  <c r="AA358" i="43"/>
  <c r="AA362" i="43" s="1"/>
  <c r="V105" i="43"/>
  <c r="V79" i="43"/>
  <c r="V237" i="43"/>
  <c r="AA126" i="43"/>
  <c r="V102" i="43"/>
  <c r="AA306" i="43"/>
  <c r="AA312" i="43" s="1"/>
  <c r="AQ298" i="43"/>
  <c r="AB430" i="43"/>
  <c r="AU430" i="43" s="1"/>
  <c r="AU436" i="43" s="1"/>
  <c r="V125" i="43"/>
  <c r="AQ375" i="43"/>
  <c r="AC451" i="43"/>
  <c r="AV451" i="43" s="1"/>
  <c r="AV457" i="43" s="1"/>
  <c r="AB393" i="43"/>
  <c r="AU393" i="43" s="1"/>
  <c r="AU399" i="43" s="1"/>
  <c r="V382" i="43"/>
  <c r="AA444" i="43"/>
  <c r="AA450" i="43" s="1"/>
  <c r="V168" i="43"/>
  <c r="V151" i="43"/>
  <c r="V116" i="43"/>
  <c r="V55" i="43"/>
  <c r="AB40" i="43"/>
  <c r="AU40" i="43" s="1"/>
  <c r="AU42" i="43" s="1"/>
  <c r="AB36" i="43"/>
  <c r="AU36" i="43" s="1"/>
  <c r="AU39" i="43" s="1"/>
  <c r="V296" i="43"/>
  <c r="V225" i="43"/>
  <c r="V139" i="43"/>
  <c r="V67" i="43"/>
  <c r="AB78" i="44"/>
  <c r="AU78" i="44" s="1"/>
  <c r="AU84" i="44" s="1"/>
  <c r="AC114" i="44"/>
  <c r="AV114" i="44" s="1"/>
  <c r="AV115" i="44" s="1"/>
  <c r="V105" i="44"/>
  <c r="AA43" i="44"/>
  <c r="AA49" i="44" s="1"/>
  <c r="AC20" i="44"/>
  <c r="AV20" i="44" s="1"/>
  <c r="AQ107" i="44"/>
  <c r="V91" i="44"/>
  <c r="AA116" i="44"/>
  <c r="AA124" i="44" s="1"/>
  <c r="AA14" i="44"/>
  <c r="AA137" i="44" s="1"/>
  <c r="V138" i="44"/>
  <c r="V107" i="44"/>
  <c r="AB26" i="44"/>
  <c r="AU26" i="44" s="1"/>
  <c r="AA17" i="44"/>
  <c r="AA142" i="44" s="1"/>
  <c r="AS142" i="44"/>
  <c r="AB14" i="44"/>
  <c r="AU14" i="44" s="1"/>
  <c r="AA20" i="44"/>
  <c r="AC14" i="44"/>
  <c r="AV14" i="44" s="1"/>
  <c r="AC12" i="44"/>
  <c r="AC13" i="44" s="1"/>
  <c r="AB102" i="44"/>
  <c r="AU102" i="44" s="1"/>
  <c r="AU105" i="44" s="1"/>
  <c r="AB30" i="44"/>
  <c r="AU30" i="44" s="1"/>
  <c r="AU35" i="44" s="1"/>
  <c r="AC78" i="44"/>
  <c r="AV78" i="44" s="1"/>
  <c r="AV84" i="44" s="1"/>
  <c r="AT472" i="43"/>
  <c r="AC117" i="43"/>
  <c r="AA28" i="43"/>
  <c r="AA31" i="43" s="1"/>
  <c r="AG166" i="43"/>
  <c r="AR166" i="43" s="1"/>
  <c r="AG247" i="43"/>
  <c r="AR247" i="43" s="1"/>
  <c r="AA110" i="43"/>
  <c r="AA113" i="43" s="1"/>
  <c r="AB103" i="43"/>
  <c r="AB28" i="43"/>
  <c r="AU28" i="43" s="1"/>
  <c r="AU31" i="43" s="1"/>
  <c r="AC103" i="43"/>
  <c r="AV103" i="43" s="1"/>
  <c r="AV105" i="43" s="1"/>
  <c r="AC32" i="43"/>
  <c r="AA32" i="43"/>
  <c r="AC28" i="43"/>
  <c r="AA103" i="43"/>
  <c r="AA105" i="43" s="1"/>
  <c r="AC26" i="44"/>
  <c r="AV26" i="44" s="1"/>
  <c r="AO465" i="43"/>
  <c r="AB181" i="43"/>
  <c r="AC130" i="43"/>
  <c r="AB130" i="43"/>
  <c r="AU130" i="43" s="1"/>
  <c r="AA53" i="43"/>
  <c r="AA55" i="43" s="1"/>
  <c r="AB169" i="43"/>
  <c r="AA163" i="43"/>
  <c r="AA168" i="43" s="1"/>
  <c r="AA130" i="43"/>
  <c r="AA476" i="43" s="1"/>
  <c r="AB127" i="43"/>
  <c r="AU127" i="43" s="1"/>
  <c r="AB12" i="43"/>
  <c r="AU12" i="43" s="1"/>
  <c r="AU13" i="43" s="1"/>
  <c r="AS12" i="43"/>
  <c r="AS13" i="43" s="1"/>
  <c r="AB94" i="43"/>
  <c r="AA410" i="43"/>
  <c r="AA415" i="43" s="1"/>
  <c r="AA12" i="43"/>
  <c r="AA13" i="43" s="1"/>
  <c r="AA430" i="43"/>
  <c r="AA436" i="43" s="1"/>
  <c r="AB416" i="43"/>
  <c r="AU416" i="43" s="1"/>
  <c r="AU422" i="43" s="1"/>
  <c r="AA127" i="43"/>
  <c r="AG227" i="43"/>
  <c r="AR227" i="43" s="1"/>
  <c r="AA181" i="43"/>
  <c r="AA187" i="43" s="1"/>
  <c r="V132" i="43"/>
  <c r="AG221" i="43"/>
  <c r="AR221" i="43" s="1"/>
  <c r="AZ478" i="43"/>
  <c r="AG193" i="43"/>
  <c r="AR193" i="43" s="1"/>
  <c r="AC50" i="43"/>
  <c r="AV50" i="43" s="1"/>
  <c r="AV52" i="43" s="1"/>
  <c r="AC40" i="43"/>
  <c r="AV40" i="43" s="1"/>
  <c r="AV42" i="43" s="1"/>
  <c r="AB14" i="43"/>
  <c r="AU14" i="43" s="1"/>
  <c r="AA451" i="43"/>
  <c r="AA457" i="43" s="1"/>
  <c r="AB370" i="43"/>
  <c r="AC163" i="43"/>
  <c r="AV163" i="43" s="1"/>
  <c r="AV168" i="43" s="1"/>
  <c r="AC121" i="43"/>
  <c r="AV121" i="43" s="1"/>
  <c r="AV125" i="43" s="1"/>
  <c r="AA50" i="43"/>
  <c r="AA52" i="43" s="1"/>
  <c r="AC14" i="43"/>
  <c r="AV14" i="43" s="1"/>
  <c r="AB50" i="43"/>
  <c r="AC110" i="43"/>
  <c r="AV110" i="43" s="1"/>
  <c r="AV113" i="43" s="1"/>
  <c r="AG446" i="43"/>
  <c r="AR446" i="43" s="1"/>
  <c r="AB374" i="43"/>
  <c r="AU374" i="43" s="1"/>
  <c r="AU375" i="43" s="1"/>
  <c r="AB389" i="43"/>
  <c r="AU389" i="43" s="1"/>
  <c r="AU392" i="43" s="1"/>
  <c r="AC383" i="43"/>
  <c r="AG396" i="43"/>
  <c r="AR396" i="43" s="1"/>
  <c r="AA336" i="43"/>
  <c r="AA344" i="43" s="1"/>
  <c r="AB336" i="43"/>
  <c r="AU336" i="43" s="1"/>
  <c r="AU344" i="43" s="1"/>
  <c r="AC336" i="43"/>
  <c r="AV336" i="43" s="1"/>
  <c r="AV344" i="43" s="1"/>
  <c r="AC329" i="43"/>
  <c r="AV329" i="43" s="1"/>
  <c r="AV332" i="43" s="1"/>
  <c r="AB277" i="43"/>
  <c r="AU277" i="43" s="1"/>
  <c r="AU283" i="43" s="1"/>
  <c r="AB289" i="43"/>
  <c r="AA289" i="43"/>
  <c r="AA296" i="43" s="1"/>
  <c r="AC277" i="43"/>
  <c r="AV277" i="43" s="1"/>
  <c r="AV283" i="43" s="1"/>
  <c r="AQ478" i="43"/>
  <c r="AA329" i="43"/>
  <c r="AA314" i="43"/>
  <c r="AA316" i="43" s="1"/>
  <c r="AG439" i="43"/>
  <c r="AR439" i="43" s="1"/>
  <c r="AB437" i="43"/>
  <c r="AU437" i="43" s="1"/>
  <c r="AU443" i="43" s="1"/>
  <c r="AG211" i="43"/>
  <c r="AR211" i="43" s="1"/>
  <c r="AB329" i="43"/>
  <c r="AA276" i="43"/>
  <c r="AA259" i="43"/>
  <c r="AA262" i="43" s="1"/>
  <c r="AC232" i="43"/>
  <c r="AV232" i="43" s="1"/>
  <c r="AV237" i="43" s="1"/>
  <c r="AB232" i="43"/>
  <c r="AU232" i="43" s="1"/>
  <c r="AU237" i="43" s="1"/>
  <c r="AC267" i="43"/>
  <c r="AA267" i="43"/>
  <c r="AA272" i="43" s="1"/>
  <c r="AC214" i="43"/>
  <c r="AV214" i="43" s="1"/>
  <c r="AV219" i="43" s="1"/>
  <c r="AB267" i="43"/>
  <c r="AU267" i="43" s="1"/>
  <c r="AU272" i="43" s="1"/>
  <c r="AC106" i="44"/>
  <c r="AV106" i="44" s="1"/>
  <c r="AV107" i="44" s="1"/>
  <c r="AB106" i="44"/>
  <c r="AU106" i="44" s="1"/>
  <c r="AU107" i="44" s="1"/>
  <c r="AA106" i="44"/>
  <c r="AA144" i="44" s="1"/>
  <c r="AB358" i="43"/>
  <c r="AU358" i="43" s="1"/>
  <c r="AU362" i="43" s="1"/>
  <c r="AB333" i="43"/>
  <c r="AU333" i="43" s="1"/>
  <c r="AU335" i="43" s="1"/>
  <c r="AG251" i="43"/>
  <c r="AR251" i="43" s="1"/>
  <c r="AC140" i="43"/>
  <c r="AV140" i="43" s="1"/>
  <c r="AV145" i="43" s="1"/>
  <c r="AC19" i="43"/>
  <c r="AV19" i="43" s="1"/>
  <c r="AV22" i="43" s="1"/>
  <c r="AB114" i="43"/>
  <c r="AU114" i="43" s="1"/>
  <c r="AU116" i="43" s="1"/>
  <c r="AG229" i="43"/>
  <c r="AR229" i="43" s="1"/>
  <c r="AG176" i="43"/>
  <c r="AR176" i="43" s="1"/>
  <c r="AC289" i="43"/>
  <c r="AV289" i="43" s="1"/>
  <c r="AV296" i="43" s="1"/>
  <c r="AG205" i="43"/>
  <c r="AR205" i="43" s="1"/>
  <c r="AG171" i="43"/>
  <c r="AR171" i="43" s="1"/>
  <c r="AA19" i="43"/>
  <c r="AQ276" i="43"/>
  <c r="AQ409" i="43"/>
  <c r="AA140" i="43"/>
  <c r="AA145" i="43" s="1"/>
  <c r="AG172" i="43"/>
  <c r="AR172" i="43" s="1"/>
  <c r="AG155" i="43"/>
  <c r="AR155" i="43" s="1"/>
  <c r="AC47" i="43"/>
  <c r="AV47" i="43" s="1"/>
  <c r="AV49" i="43" s="1"/>
  <c r="AB110" i="43"/>
  <c r="AA277" i="43"/>
  <c r="AA283" i="43" s="1"/>
  <c r="AY144" i="44"/>
  <c r="AA26" i="44"/>
  <c r="R134" i="44"/>
  <c r="V133" i="44" s="1"/>
  <c r="AF134" i="44"/>
  <c r="AA12" i="44"/>
  <c r="AY136" i="44"/>
  <c r="AC43" i="44"/>
  <c r="AV43" i="44" s="1"/>
  <c r="AV49" i="44" s="1"/>
  <c r="AA78" i="44"/>
  <c r="AA84" i="44" s="1"/>
  <c r="AP134" i="44"/>
  <c r="AB12" i="44"/>
  <c r="AB141" i="44" s="1"/>
  <c r="AC30" i="44"/>
  <c r="AV30" i="44" s="1"/>
  <c r="AV35" i="44" s="1"/>
  <c r="AG104" i="44"/>
  <c r="AR104" i="44" s="1"/>
  <c r="AB85" i="44"/>
  <c r="AU85" i="44" s="1"/>
  <c r="AU91" i="44" s="1"/>
  <c r="AZ136" i="44"/>
  <c r="AA30" i="44"/>
  <c r="AA138" i="44" s="1"/>
  <c r="AG86" i="44"/>
  <c r="AR86" i="44" s="1"/>
  <c r="AC85" i="44"/>
  <c r="AV85" i="44" s="1"/>
  <c r="AV91" i="44" s="1"/>
  <c r="I143" i="44"/>
  <c r="V35" i="44"/>
  <c r="V457" i="43"/>
  <c r="AB451" i="43"/>
  <c r="AU451" i="43" s="1"/>
  <c r="AU457" i="43" s="1"/>
  <c r="V422" i="43"/>
  <c r="AA416" i="43"/>
  <c r="AA422" i="43" s="1"/>
  <c r="V399" i="43"/>
  <c r="AA393" i="43"/>
  <c r="AC393" i="43"/>
  <c r="AV393" i="43" s="1"/>
  <c r="AV399" i="43" s="1"/>
  <c r="V86" i="43"/>
  <c r="AA83" i="43"/>
  <c r="AA86" i="43" s="1"/>
  <c r="AB83" i="43"/>
  <c r="V70" i="43"/>
  <c r="AB68" i="43"/>
  <c r="AC68" i="43"/>
  <c r="AV68" i="43" s="1"/>
  <c r="AV70" i="43" s="1"/>
  <c r="AA68" i="43"/>
  <c r="AA70" i="43" s="1"/>
  <c r="AA460" i="43"/>
  <c r="AQ443" i="43"/>
  <c r="V436" i="43"/>
  <c r="AC430" i="43"/>
  <c r="AV430" i="43" s="1"/>
  <c r="AV436" i="43" s="1"/>
  <c r="V213" i="43"/>
  <c r="AB207" i="43"/>
  <c r="AU207" i="43" s="1"/>
  <c r="AU213" i="43" s="1"/>
  <c r="AB351" i="43"/>
  <c r="AU351" i="43" s="1"/>
  <c r="AU357" i="43" s="1"/>
  <c r="AA351" i="43"/>
  <c r="AA357" i="43" s="1"/>
  <c r="AB297" i="43"/>
  <c r="AQ266" i="43"/>
  <c r="AB244" i="43"/>
  <c r="V101" i="44"/>
  <c r="AA96" i="44"/>
  <c r="AA136" i="44" s="1"/>
  <c r="AB96" i="44"/>
  <c r="AU96" i="44" s="1"/>
  <c r="AU101" i="44" s="1"/>
  <c r="V136" i="44"/>
  <c r="V124" i="44"/>
  <c r="AC116" i="44"/>
  <c r="AV116" i="44" s="1"/>
  <c r="AV124" i="44" s="1"/>
  <c r="V115" i="44"/>
  <c r="AB114" i="44"/>
  <c r="AU114" i="44" s="1"/>
  <c r="AU115" i="44" s="1"/>
  <c r="AA114" i="44"/>
  <c r="AA115" i="44" s="1"/>
  <c r="V392" i="43"/>
  <c r="AA389" i="43"/>
  <c r="V350" i="43"/>
  <c r="AB345" i="43"/>
  <c r="AA345" i="43"/>
  <c r="AA350" i="43" s="1"/>
  <c r="AA23" i="43"/>
  <c r="AC23" i="43"/>
  <c r="AV23" i="43" s="1"/>
  <c r="AV27" i="43" s="1"/>
  <c r="V231" i="43"/>
  <c r="AC226" i="43"/>
  <c r="AV226" i="43" s="1"/>
  <c r="AV231" i="43" s="1"/>
  <c r="AB363" i="43"/>
  <c r="AU363" i="43" s="1"/>
  <c r="AU369" i="43" s="1"/>
  <c r="AA363" i="43"/>
  <c r="AA369" i="43" s="1"/>
  <c r="AB306" i="43"/>
  <c r="AU306" i="43" s="1"/>
  <c r="AU312" i="43" s="1"/>
  <c r="V262" i="43"/>
  <c r="AB259" i="43"/>
  <c r="AU259" i="43" s="1"/>
  <c r="AU262" i="43" s="1"/>
  <c r="AC259" i="43"/>
  <c r="AV259" i="43" s="1"/>
  <c r="AV262" i="43" s="1"/>
  <c r="V243" i="43"/>
  <c r="AC238" i="43"/>
  <c r="AB238" i="43"/>
  <c r="AU238" i="43" s="1"/>
  <c r="AU243" i="43" s="1"/>
  <c r="AA238" i="43"/>
  <c r="AA243" i="43" s="1"/>
  <c r="V98" i="43"/>
  <c r="AB95" i="43"/>
  <c r="V75" i="43"/>
  <c r="AB71" i="43"/>
  <c r="V82" i="43"/>
  <c r="AB80" i="43"/>
  <c r="AU80" i="43" s="1"/>
  <c r="AU82" i="43" s="1"/>
  <c r="AC80" i="43"/>
  <c r="AV80" i="43" s="1"/>
  <c r="AV82" i="43" s="1"/>
  <c r="AA80" i="43"/>
  <c r="AA82" i="43" s="1"/>
  <c r="AG254" i="43"/>
  <c r="AR254" i="43" s="1"/>
  <c r="AG204" i="43"/>
  <c r="AR204" i="43" s="1"/>
  <c r="AQ288" i="43"/>
  <c r="AS136" i="44"/>
  <c r="AG215" i="43"/>
  <c r="AR215" i="43" s="1"/>
  <c r="AG235" i="43"/>
  <c r="AR235" i="43" s="1"/>
  <c r="AB175" i="43"/>
  <c r="AU175" i="43" s="1"/>
  <c r="AU180" i="43" s="1"/>
  <c r="AG165" i="43"/>
  <c r="AR165" i="43" s="1"/>
  <c r="AB163" i="43"/>
  <c r="AU163" i="43" s="1"/>
  <c r="AU168" i="43" s="1"/>
  <c r="AA133" i="43"/>
  <c r="AA139" i="43" s="1"/>
  <c r="AB53" i="43"/>
  <c r="AB47" i="43"/>
  <c r="AU47" i="43" s="1"/>
  <c r="AU49" i="43" s="1"/>
  <c r="AA40" i="43"/>
  <c r="AA42" i="43" s="1"/>
  <c r="AA47" i="43"/>
  <c r="AA49" i="43" s="1"/>
  <c r="AC53" i="43"/>
  <c r="AV53" i="43" s="1"/>
  <c r="AV55" i="43" s="1"/>
  <c r="AA64" i="43"/>
  <c r="AA67" i="43" s="1"/>
  <c r="AG340" i="43"/>
  <c r="AR340" i="43" s="1"/>
  <c r="AA232" i="43"/>
  <c r="AA237" i="43" s="1"/>
  <c r="AQ137" i="44"/>
  <c r="I144" i="44"/>
  <c r="AW472" i="43"/>
  <c r="AG147" i="43"/>
  <c r="AR147" i="43" s="1"/>
  <c r="AY143" i="44"/>
  <c r="AZ142" i="44"/>
  <c r="I137" i="44"/>
  <c r="AP468" i="43"/>
  <c r="AZ477" i="43"/>
  <c r="AO134" i="44"/>
  <c r="Z468" i="43"/>
  <c r="R468" i="43"/>
  <c r="V467" i="43" s="1"/>
  <c r="L468" i="43"/>
  <c r="M468" i="43"/>
  <c r="AY475" i="43"/>
  <c r="V258" i="43"/>
  <c r="V477" i="43"/>
  <c r="V206" i="43"/>
  <c r="AB201" i="43"/>
  <c r="AU201" i="43" s="1"/>
  <c r="AU206" i="43" s="1"/>
  <c r="AA71" i="44"/>
  <c r="AA77" i="44" s="1"/>
  <c r="AC71" i="44"/>
  <c r="AV71" i="44" s="1"/>
  <c r="AV77" i="44" s="1"/>
  <c r="I142" i="44"/>
  <c r="V475" i="43"/>
  <c r="AB17" i="43"/>
  <c r="AU17" i="43" s="1"/>
  <c r="I476" i="43"/>
  <c r="AG149" i="43"/>
  <c r="AR149" i="43" s="1"/>
  <c r="AQ470" i="43"/>
  <c r="AB121" i="43"/>
  <c r="AU121" i="43" s="1"/>
  <c r="AU125" i="43" s="1"/>
  <c r="AP465" i="43"/>
  <c r="AT478" i="43"/>
  <c r="AT469" i="43"/>
  <c r="AZ475" i="43"/>
  <c r="AY137" i="44"/>
  <c r="AW135" i="44"/>
  <c r="AZ469" i="43"/>
  <c r="I136" i="44"/>
  <c r="M465" i="43"/>
  <c r="I141" i="44"/>
  <c r="AW475" i="43"/>
  <c r="AX142" i="44"/>
  <c r="AQ142" i="44"/>
  <c r="AG51" i="44"/>
  <c r="AR51" i="44" s="1"/>
  <c r="V70" i="44"/>
  <c r="AA64" i="44"/>
  <c r="AA70" i="44" s="1"/>
  <c r="AC64" i="44"/>
  <c r="AV64" i="44" s="1"/>
  <c r="AV70" i="44" s="1"/>
  <c r="AZ144" i="44"/>
  <c r="AQ477" i="43"/>
  <c r="AC17" i="43"/>
  <c r="AV17" i="43" s="1"/>
  <c r="AY469" i="43"/>
  <c r="I475" i="43"/>
  <c r="AC201" i="43"/>
  <c r="AV201" i="43" s="1"/>
  <c r="AV206" i="43" s="1"/>
  <c r="AA194" i="43"/>
  <c r="AG170" i="43"/>
  <c r="AR170" i="43" s="1"/>
  <c r="I478" i="43"/>
  <c r="AS141" i="44"/>
  <c r="AA461" i="43"/>
  <c r="AA464" i="43" s="1"/>
  <c r="AA423" i="43"/>
  <c r="AA429" i="43" s="1"/>
  <c r="AB376" i="43"/>
  <c r="AU376" i="43" s="1"/>
  <c r="AU382" i="43" s="1"/>
  <c r="AA333" i="43"/>
  <c r="AA335" i="43" s="1"/>
  <c r="AG330" i="43"/>
  <c r="AR330" i="43" s="1"/>
  <c r="AG199" i="43"/>
  <c r="AR199" i="43" s="1"/>
  <c r="AQ471" i="43"/>
  <c r="AY477" i="43"/>
  <c r="AX476" i="43"/>
  <c r="AQ476" i="43"/>
  <c r="AA226" i="43"/>
  <c r="AA231" i="43" s="1"/>
  <c r="AY476" i="43"/>
  <c r="AB140" i="43"/>
  <c r="AG112" i="43"/>
  <c r="AR112" i="43" s="1"/>
  <c r="AC76" i="43"/>
  <c r="AV76" i="43" s="1"/>
  <c r="AV79" i="43" s="1"/>
  <c r="AG25" i="43"/>
  <c r="AR25" i="43" s="1"/>
  <c r="AA17" i="43"/>
  <c r="AC126" i="43"/>
  <c r="AV126" i="43" s="1"/>
  <c r="AA114" i="43"/>
  <c r="AA116" i="43" s="1"/>
  <c r="AA299" i="43"/>
  <c r="AA305" i="43" s="1"/>
  <c r="O465" i="43"/>
  <c r="AT477" i="43"/>
  <c r="AQ144" i="44"/>
  <c r="AB64" i="44"/>
  <c r="AU64" i="44" s="1"/>
  <c r="AU70" i="44" s="1"/>
  <c r="AY470" i="43"/>
  <c r="Z134" i="44"/>
  <c r="AW136" i="44"/>
  <c r="AY472" i="43"/>
  <c r="AQ174" i="43"/>
  <c r="AQ469" i="43"/>
  <c r="AF465" i="43"/>
  <c r="V256" i="43"/>
  <c r="V471" i="43"/>
  <c r="AA125" i="44"/>
  <c r="AA130" i="44" s="1"/>
  <c r="AC125" i="44"/>
  <c r="AV125" i="44" s="1"/>
  <c r="AV130" i="44" s="1"/>
  <c r="M131" i="44"/>
  <c r="AC57" i="44"/>
  <c r="AV57" i="44" s="1"/>
  <c r="AV63" i="44" s="1"/>
  <c r="AB57" i="44"/>
  <c r="AU57" i="44" s="1"/>
  <c r="AU63" i="44" s="1"/>
  <c r="AB461" i="43"/>
  <c r="AU461" i="43" s="1"/>
  <c r="AU464" i="43" s="1"/>
  <c r="AC407" i="43"/>
  <c r="AV407" i="43" s="1"/>
  <c r="AV409" i="43" s="1"/>
  <c r="AA257" i="43"/>
  <c r="AA258" i="43" s="1"/>
  <c r="AQ141" i="44"/>
  <c r="AB444" i="43"/>
  <c r="AU444" i="43" s="1"/>
  <c r="AU450" i="43" s="1"/>
  <c r="AC461" i="43"/>
  <c r="AV461" i="43" s="1"/>
  <c r="AV464" i="43" s="1"/>
  <c r="AG359" i="43"/>
  <c r="AR359" i="43" s="1"/>
  <c r="AG355" i="43"/>
  <c r="AR355" i="43" s="1"/>
  <c r="AB299" i="43"/>
  <c r="AU299" i="43" s="1"/>
  <c r="AU305" i="43" s="1"/>
  <c r="I472" i="43"/>
  <c r="AY471" i="43"/>
  <c r="AG273" i="43"/>
  <c r="AR273" i="43" s="1"/>
  <c r="AG182" i="43"/>
  <c r="AR182" i="43" s="1"/>
  <c r="AA162" i="43"/>
  <c r="AC146" i="43"/>
  <c r="AV146" i="43" s="1"/>
  <c r="AV151" i="43" s="1"/>
  <c r="I477" i="43"/>
  <c r="AA146" i="43"/>
  <c r="AA151" i="43" s="1"/>
  <c r="AG138" i="43"/>
  <c r="AR138" i="43" s="1"/>
  <c r="AB146" i="43"/>
  <c r="AU146" i="43" s="1"/>
  <c r="AU151" i="43" s="1"/>
  <c r="AB226" i="43"/>
  <c r="AU226" i="43" s="1"/>
  <c r="AU231" i="43" s="1"/>
  <c r="AA94" i="43"/>
  <c r="AA121" i="43"/>
  <c r="AA125" i="43" s="1"/>
  <c r="AQ475" i="43"/>
  <c r="AB126" i="43"/>
  <c r="AU126" i="43" s="1"/>
  <c r="AC114" i="43"/>
  <c r="AV114" i="43" s="1"/>
  <c r="AV116" i="43" s="1"/>
  <c r="AC106" i="43"/>
  <c r="AV106" i="43" s="1"/>
  <c r="AV109" i="43" s="1"/>
  <c r="AC299" i="43"/>
  <c r="AV299" i="43" s="1"/>
  <c r="AV305" i="43" s="1"/>
  <c r="I470" i="43"/>
  <c r="AQ136" i="44"/>
  <c r="AY141" i="44"/>
  <c r="V49" i="44"/>
  <c r="AB43" i="44"/>
  <c r="AU43" i="44" s="1"/>
  <c r="AU49" i="44" s="1"/>
  <c r="AZ137" i="44"/>
  <c r="AF131" i="44"/>
  <c r="AW470" i="43"/>
  <c r="O468" i="43"/>
  <c r="AT475" i="43"/>
  <c r="V142" i="44"/>
  <c r="AC17" i="44"/>
  <c r="AV17" i="44" s="1"/>
  <c r="AB17" i="44"/>
  <c r="AU17" i="44" s="1"/>
  <c r="Z131" i="44"/>
  <c r="AT135" i="44"/>
  <c r="AW141" i="44"/>
  <c r="V144" i="44"/>
  <c r="AZ143" i="44"/>
  <c r="AZ470" i="43"/>
  <c r="AT141" i="44"/>
  <c r="AT144" i="44"/>
  <c r="AF468" i="43"/>
  <c r="AY138" i="44"/>
  <c r="AQ272" i="43"/>
  <c r="AZ471" i="43"/>
  <c r="AY478" i="43"/>
  <c r="I471" i="43"/>
  <c r="AW469" i="43"/>
  <c r="L465" i="43"/>
  <c r="AQ316" i="43"/>
  <c r="I469" i="43"/>
  <c r="Z465" i="43"/>
  <c r="V13" i="43"/>
  <c r="V478" i="43"/>
  <c r="AX138" i="44"/>
  <c r="AQ138" i="44"/>
  <c r="AY142" i="44"/>
  <c r="AQ135" i="44"/>
  <c r="AG112" i="44"/>
  <c r="AR112" i="44" s="1"/>
  <c r="AQ105" i="44"/>
  <c r="I135" i="44"/>
  <c r="AZ141" i="44"/>
  <c r="AT137" i="44"/>
  <c r="AO131" i="44"/>
  <c r="V18" i="43"/>
  <c r="V469" i="43"/>
  <c r="AW478" i="43"/>
  <c r="AT136" i="44"/>
  <c r="AZ472" i="43"/>
  <c r="AW477" i="43"/>
  <c r="AW143" i="44"/>
  <c r="AZ135" i="44"/>
  <c r="AT476" i="43"/>
  <c r="AT470" i="43"/>
  <c r="V13" i="44"/>
  <c r="V141" i="44"/>
  <c r="AW144" i="44"/>
  <c r="AG209" i="43"/>
  <c r="AR209" i="43" s="1"/>
  <c r="AT471" i="43"/>
  <c r="AQ472" i="43"/>
  <c r="AW471" i="43"/>
  <c r="AY135" i="44"/>
  <c r="AQ143" i="44"/>
  <c r="AG103" i="44"/>
  <c r="AR103" i="44" s="1"/>
  <c r="AG88" i="44"/>
  <c r="AR88" i="44" s="1"/>
  <c r="AA85" i="44"/>
  <c r="AA91" i="44" s="1"/>
  <c r="AP131" i="44"/>
  <c r="L131" i="44"/>
  <c r="R131" i="44"/>
  <c r="W132" i="44" s="1"/>
  <c r="V135" i="44"/>
  <c r="V19" i="44"/>
  <c r="V137" i="44"/>
  <c r="V143" i="44"/>
  <c r="AZ476" i="43"/>
  <c r="V470" i="43"/>
  <c r="O131" i="44"/>
  <c r="I138" i="44"/>
  <c r="V472" i="43"/>
  <c r="AO468" i="43"/>
  <c r="AQ467" i="43" s="1"/>
  <c r="AT143" i="44"/>
  <c r="AX12" i="44"/>
  <c r="AX13" i="44" s="1"/>
  <c r="AQ13" i="44"/>
  <c r="AQ49" i="44"/>
  <c r="AC42" i="44"/>
  <c r="AG69" i="44"/>
  <c r="AR69" i="44" s="1"/>
  <c r="AG81" i="44"/>
  <c r="AR81" i="44" s="1"/>
  <c r="AG72" i="44"/>
  <c r="AR72" i="44" s="1"/>
  <c r="AG80" i="44"/>
  <c r="AR80" i="44" s="1"/>
  <c r="AQ70" i="44"/>
  <c r="AQ124" i="44"/>
  <c r="AQ101" i="44"/>
  <c r="AG92" i="44"/>
  <c r="AR92" i="44" s="1"/>
  <c r="AB95" i="44"/>
  <c r="AQ113" i="44"/>
  <c r="AA95" i="44"/>
  <c r="AC113" i="44"/>
  <c r="AB116" i="44"/>
  <c r="AU116" i="44" s="1"/>
  <c r="AU124" i="44" s="1"/>
  <c r="AA102" i="44"/>
  <c r="AA105" i="44" s="1"/>
  <c r="V84" i="44"/>
  <c r="AQ77" i="44"/>
  <c r="AQ28" i="44"/>
  <c r="AA42" i="44"/>
  <c r="AG67" i="44"/>
  <c r="AR67" i="44" s="1"/>
  <c r="AG50" i="44"/>
  <c r="AR50" i="44" s="1"/>
  <c r="AB56" i="44"/>
  <c r="AG79" i="44"/>
  <c r="AR79" i="44" s="1"/>
  <c r="AQ91" i="44"/>
  <c r="AQ95" i="44"/>
  <c r="AC95" i="44"/>
  <c r="AC102" i="44"/>
  <c r="AV102" i="44" s="1"/>
  <c r="AV105" i="44" s="1"/>
  <c r="V28" i="44"/>
  <c r="AB20" i="44"/>
  <c r="AU20" i="44" s="1"/>
  <c r="AQ35" i="44"/>
  <c r="AQ42" i="44"/>
  <c r="AB42" i="44"/>
  <c r="AQ84" i="44"/>
  <c r="AQ63" i="44"/>
  <c r="AG108" i="44"/>
  <c r="AR108" i="44" s="1"/>
  <c r="AB113" i="44"/>
  <c r="AQ115" i="44"/>
  <c r="AA56" i="44"/>
  <c r="AQ19" i="44"/>
  <c r="AQ56" i="44"/>
  <c r="AG120" i="44"/>
  <c r="AR120" i="44" s="1"/>
  <c r="AQ130" i="44"/>
  <c r="AA113" i="44"/>
  <c r="AC96" i="44"/>
  <c r="AV96" i="44" s="1"/>
  <c r="AV101" i="44" s="1"/>
  <c r="V130" i="44"/>
  <c r="AB125" i="44"/>
  <c r="AU125" i="44" s="1"/>
  <c r="AU130" i="44" s="1"/>
  <c r="V77" i="44"/>
  <c r="AB71" i="44"/>
  <c r="AU71" i="44" s="1"/>
  <c r="AU77" i="44" s="1"/>
  <c r="AA57" i="44"/>
  <c r="AA63" i="44" s="1"/>
  <c r="V63" i="44"/>
  <c r="AC56" i="44"/>
  <c r="AG98" i="44"/>
  <c r="AR98" i="44" s="1"/>
  <c r="AG90" i="44"/>
  <c r="AR90" i="44" s="1"/>
  <c r="AG32" i="44"/>
  <c r="AR32" i="44" s="1"/>
  <c r="AG27" i="44"/>
  <c r="AR27" i="44" s="1"/>
  <c r="AG37" i="44"/>
  <c r="AR37" i="44" s="1"/>
  <c r="AG34" i="44"/>
  <c r="AR34" i="44" s="1"/>
  <c r="AG47" i="44"/>
  <c r="AR47" i="44" s="1"/>
  <c r="AG38" i="44"/>
  <c r="AR38" i="44" s="1"/>
  <c r="AG76" i="44"/>
  <c r="AR76" i="44" s="1"/>
  <c r="AG75" i="44"/>
  <c r="AR75" i="44" s="1"/>
  <c r="AG109" i="44"/>
  <c r="AR109" i="44" s="1"/>
  <c r="AG83" i="44"/>
  <c r="AR83" i="44" s="1"/>
  <c r="AG36" i="44"/>
  <c r="AR36" i="44" s="1"/>
  <c r="AG33" i="44"/>
  <c r="AR33" i="44" s="1"/>
  <c r="AG74" i="44"/>
  <c r="AR74" i="44" s="1"/>
  <c r="AG110" i="44"/>
  <c r="AR110" i="44" s="1"/>
  <c r="AG94" i="44"/>
  <c r="AR94" i="44" s="1"/>
  <c r="AG16" i="44"/>
  <c r="AR16" i="44" s="1"/>
  <c r="AG44" i="44"/>
  <c r="AR44" i="44" s="1"/>
  <c r="AG59" i="44"/>
  <c r="AR59" i="44" s="1"/>
  <c r="AG55" i="44"/>
  <c r="AR55" i="44" s="1"/>
  <c r="AG100" i="44"/>
  <c r="AR100" i="44" s="1"/>
  <c r="AG123" i="44"/>
  <c r="AR123" i="44" s="1"/>
  <c r="AG119" i="44"/>
  <c r="AR119" i="44" s="1"/>
  <c r="AG129" i="44"/>
  <c r="AR129" i="44" s="1"/>
  <c r="AG128" i="44"/>
  <c r="AR128" i="44" s="1"/>
  <c r="AG87" i="44"/>
  <c r="AR87" i="44" s="1"/>
  <c r="AG127" i="44"/>
  <c r="AR127" i="44" s="1"/>
  <c r="AG122" i="44"/>
  <c r="AR122" i="44" s="1"/>
  <c r="AG118" i="44"/>
  <c r="AR118" i="44" s="1"/>
  <c r="AG99" i="44"/>
  <c r="AR99" i="44" s="1"/>
  <c r="AG93" i="44"/>
  <c r="AR93" i="44" s="1"/>
  <c r="AG89" i="44"/>
  <c r="AR89" i="44" s="1"/>
  <c r="AG111" i="44"/>
  <c r="AR111" i="44" s="1"/>
  <c r="AG126" i="44"/>
  <c r="AR126" i="44" s="1"/>
  <c r="AG121" i="44"/>
  <c r="AR121" i="44" s="1"/>
  <c r="AG117" i="44"/>
  <c r="AR117" i="44" s="1"/>
  <c r="AG97" i="44"/>
  <c r="AR97" i="44" s="1"/>
  <c r="AG65" i="44"/>
  <c r="AR65" i="44" s="1"/>
  <c r="AG73" i="44"/>
  <c r="AR73" i="44" s="1"/>
  <c r="AG66" i="44"/>
  <c r="AR66" i="44" s="1"/>
  <c r="AG62" i="44"/>
  <c r="AR62" i="44" s="1"/>
  <c r="AG48" i="44"/>
  <c r="AR48" i="44" s="1"/>
  <c r="AG60" i="44"/>
  <c r="AR60" i="44" s="1"/>
  <c r="AG82" i="44"/>
  <c r="AR82" i="44" s="1"/>
  <c r="AG61" i="44"/>
  <c r="AR61" i="44" s="1"/>
  <c r="AG54" i="44"/>
  <c r="AR54" i="44" s="1"/>
  <c r="AG53" i="44"/>
  <c r="AR53" i="44" s="1"/>
  <c r="AG58" i="44"/>
  <c r="AR58" i="44" s="1"/>
  <c r="AG52" i="44"/>
  <c r="AR52" i="44" s="1"/>
  <c r="AG68" i="44"/>
  <c r="AR68" i="44" s="1"/>
  <c r="AG41" i="44"/>
  <c r="AR41" i="44" s="1"/>
  <c r="AG45" i="44"/>
  <c r="AR45" i="44" s="1"/>
  <c r="AG46" i="44"/>
  <c r="AR46" i="44" s="1"/>
  <c r="AG39" i="44"/>
  <c r="AR39" i="44" s="1"/>
  <c r="AG40" i="44"/>
  <c r="AR40" i="44" s="1"/>
  <c r="AG29" i="44"/>
  <c r="AR29" i="44" s="1"/>
  <c r="AG21" i="44"/>
  <c r="AR21" i="44" s="1"/>
  <c r="AG15" i="44"/>
  <c r="AR15" i="44" s="1"/>
  <c r="AG24" i="44"/>
  <c r="AR24" i="44" s="1"/>
  <c r="AG23" i="44"/>
  <c r="AR23" i="44" s="1"/>
  <c r="AG18" i="44"/>
  <c r="AR18" i="44" s="1"/>
  <c r="AG25" i="44"/>
  <c r="AR25" i="44" s="1"/>
  <c r="AG31" i="44"/>
  <c r="AR31" i="44" s="1"/>
  <c r="AG22" i="44"/>
  <c r="AR22" i="44" s="1"/>
  <c r="AQ460" i="43"/>
  <c r="AQ373" i="43"/>
  <c r="AQ357" i="43"/>
  <c r="AB288" i="43"/>
  <c r="AQ332" i="43"/>
  <c r="AQ399" i="43"/>
  <c r="AQ194" i="43"/>
  <c r="AQ109" i="43"/>
  <c r="AA152" i="43"/>
  <c r="AA157" i="43" s="1"/>
  <c r="V157" i="43"/>
  <c r="AV12" i="43"/>
  <c r="AV13" i="43" s="1"/>
  <c r="AC13" i="43"/>
  <c r="AG459" i="43"/>
  <c r="AR459" i="43" s="1"/>
  <c r="AB460" i="43"/>
  <c r="AG448" i="43"/>
  <c r="AR448" i="43" s="1"/>
  <c r="AC460" i="43"/>
  <c r="AQ457" i="43"/>
  <c r="AC423" i="43"/>
  <c r="AV423" i="43" s="1"/>
  <c r="AV429" i="43" s="1"/>
  <c r="AQ406" i="43"/>
  <c r="AB383" i="43"/>
  <c r="AU383" i="43" s="1"/>
  <c r="AU388" i="43" s="1"/>
  <c r="AQ344" i="43"/>
  <c r="AA207" i="43"/>
  <c r="AQ168" i="43"/>
  <c r="AQ162" i="43"/>
  <c r="AQ258" i="43"/>
  <c r="AQ206" i="43"/>
  <c r="AG192" i="43"/>
  <c r="AR192" i="43" s="1"/>
  <c r="AG188" i="43"/>
  <c r="AR188" i="43" s="1"/>
  <c r="AB194" i="43"/>
  <c r="AG178" i="43"/>
  <c r="AR178" i="43" s="1"/>
  <c r="AG161" i="43"/>
  <c r="AR161" i="43" s="1"/>
  <c r="AG338" i="43"/>
  <c r="AR338" i="43" s="1"/>
  <c r="AQ225" i="43"/>
  <c r="AQ132" i="43"/>
  <c r="AQ125" i="43"/>
  <c r="AQ113" i="43"/>
  <c r="AQ102" i="43"/>
  <c r="AQ90" i="43"/>
  <c r="AQ79" i="43"/>
  <c r="AQ75" i="43"/>
  <c r="AA250" i="43"/>
  <c r="AC162" i="43"/>
  <c r="AB87" i="43"/>
  <c r="AU87" i="43" s="1"/>
  <c r="AU90" i="43" s="1"/>
  <c r="AB117" i="43"/>
  <c r="AU117" i="43" s="1"/>
  <c r="AU120" i="43" s="1"/>
  <c r="AA76" i="43"/>
  <c r="AA79" i="43" s="1"/>
  <c r="AA63" i="43"/>
  <c r="AG58" i="43"/>
  <c r="AR58" i="43" s="1"/>
  <c r="AQ52" i="43"/>
  <c r="AQ42" i="43"/>
  <c r="AC36" i="43"/>
  <c r="AV36" i="43" s="1"/>
  <c r="AV39" i="43" s="1"/>
  <c r="AQ35" i="43"/>
  <c r="AQ22" i="43"/>
  <c r="AQ46" i="43"/>
  <c r="AB106" i="43"/>
  <c r="AU106" i="43" s="1"/>
  <c r="AU109" i="43" s="1"/>
  <c r="AA99" i="43"/>
  <c r="AA102" i="43" s="1"/>
  <c r="AA95" i="43"/>
  <c r="AA98" i="43" s="1"/>
  <c r="AQ55" i="43"/>
  <c r="AC43" i="43"/>
  <c r="AV43" i="43" s="1"/>
  <c r="AV46" i="43" s="1"/>
  <c r="AQ31" i="43"/>
  <c r="AC64" i="43"/>
  <c r="AV64" i="43" s="1"/>
  <c r="AV67" i="43" s="1"/>
  <c r="AQ429" i="43"/>
  <c r="AQ388" i="43"/>
  <c r="AC376" i="43"/>
  <c r="AV376" i="43" s="1"/>
  <c r="AV382" i="43" s="1"/>
  <c r="AG331" i="43"/>
  <c r="AR331" i="43" s="1"/>
  <c r="AA263" i="43"/>
  <c r="AA266" i="43" s="1"/>
  <c r="AA220" i="43"/>
  <c r="AA225" i="43" s="1"/>
  <c r="AG191" i="43"/>
  <c r="AR191" i="43" s="1"/>
  <c r="AC444" i="43"/>
  <c r="AV444" i="43" s="1"/>
  <c r="AV450" i="43" s="1"/>
  <c r="V450" i="43"/>
  <c r="AQ415" i="43"/>
  <c r="AB407" i="43"/>
  <c r="AU407" i="43" s="1"/>
  <c r="AU409" i="43" s="1"/>
  <c r="V409" i="43"/>
  <c r="AC333" i="43"/>
  <c r="AV333" i="43" s="1"/>
  <c r="AV335" i="43" s="1"/>
  <c r="V335" i="43"/>
  <c r="AC181" i="43"/>
  <c r="AV181" i="43" s="1"/>
  <c r="AV187" i="43" s="1"/>
  <c r="V187" i="43"/>
  <c r="V22" i="43"/>
  <c r="AC400" i="43"/>
  <c r="AV400" i="43" s="1"/>
  <c r="AV406" i="43" s="1"/>
  <c r="V406" i="43"/>
  <c r="AB400" i="43"/>
  <c r="AU400" i="43" s="1"/>
  <c r="AU406" i="43" s="1"/>
  <c r="AC323" i="43"/>
  <c r="AV323" i="43" s="1"/>
  <c r="AV324" i="43" s="1"/>
  <c r="V324" i="43"/>
  <c r="AA323" i="43"/>
  <c r="AA324" i="43" s="1"/>
  <c r="AC327" i="43"/>
  <c r="AV327" i="43" s="1"/>
  <c r="AV328" i="43" s="1"/>
  <c r="AA327" i="43"/>
  <c r="V328" i="43"/>
  <c r="AB63" i="43"/>
  <c r="AQ86" i="43"/>
  <c r="AQ464" i="43"/>
  <c r="AG325" i="43"/>
  <c r="AR325" i="43" s="1"/>
  <c r="AC317" i="43"/>
  <c r="AV317" i="43" s="1"/>
  <c r="AV322" i="43" s="1"/>
  <c r="V322" i="43"/>
  <c r="V39" i="43"/>
  <c r="V415" i="43"/>
  <c r="AB410" i="43"/>
  <c r="AU410" i="43" s="1"/>
  <c r="AU415" i="43" s="1"/>
  <c r="AX12" i="43"/>
  <c r="AX13" i="43" s="1"/>
  <c r="AQ13" i="43"/>
  <c r="AG427" i="43"/>
  <c r="AR427" i="43" s="1"/>
  <c r="AB423" i="43"/>
  <c r="AU423" i="43" s="1"/>
  <c r="AU429" i="43" s="1"/>
  <c r="AG417" i="43"/>
  <c r="AR417" i="43" s="1"/>
  <c r="AC410" i="43"/>
  <c r="AV410" i="43" s="1"/>
  <c r="AV415" i="43" s="1"/>
  <c r="AQ369" i="43"/>
  <c r="AQ362" i="43"/>
  <c r="AQ350" i="43"/>
  <c r="AQ335" i="43"/>
  <c r="AB317" i="43"/>
  <c r="AU317" i="43" s="1"/>
  <c r="AU322" i="43" s="1"/>
  <c r="AB276" i="43"/>
  <c r="AG346" i="43"/>
  <c r="AR346" i="43" s="1"/>
  <c r="AG337" i="43"/>
  <c r="AR337" i="43" s="1"/>
  <c r="AG341" i="43"/>
  <c r="AR341" i="43" s="1"/>
  <c r="AQ262" i="43"/>
  <c r="AG239" i="43"/>
  <c r="AR239" i="43" s="1"/>
  <c r="AQ187" i="43"/>
  <c r="AQ157" i="43"/>
  <c r="AQ256" i="43"/>
  <c r="AQ243" i="43"/>
  <c r="AQ231" i="43"/>
  <c r="AQ219" i="43"/>
  <c r="AG179" i="43"/>
  <c r="AR179" i="43" s="1"/>
  <c r="AA214" i="43"/>
  <c r="AC152" i="43"/>
  <c r="AV152" i="43" s="1"/>
  <c r="AV157" i="43" s="1"/>
  <c r="AB152" i="43"/>
  <c r="AU152" i="43" s="1"/>
  <c r="AU157" i="43" s="1"/>
  <c r="AQ249" i="43"/>
  <c r="AQ116" i="43"/>
  <c r="AQ105" i="43"/>
  <c r="AQ94" i="43"/>
  <c r="AQ82" i="43"/>
  <c r="AQ67" i="43"/>
  <c r="AB250" i="43"/>
  <c r="AU250" i="43" s="1"/>
  <c r="AU256" i="43" s="1"/>
  <c r="AQ145" i="43"/>
  <c r="AA87" i="43"/>
  <c r="AA90" i="43" s="1"/>
  <c r="AA71" i="43"/>
  <c r="AA75" i="43" s="1"/>
  <c r="AC133" i="43"/>
  <c r="AV133" i="43" s="1"/>
  <c r="AV139" i="43" s="1"/>
  <c r="AA117" i="43"/>
  <c r="AA120" i="43" s="1"/>
  <c r="AB76" i="43"/>
  <c r="AU76" i="43" s="1"/>
  <c r="AU79" i="43" s="1"/>
  <c r="AG72" i="43"/>
  <c r="AR72" i="43" s="1"/>
  <c r="AQ63" i="43"/>
  <c r="AB43" i="43"/>
  <c r="AU43" i="43" s="1"/>
  <c r="AU46" i="43" s="1"/>
  <c r="AA36" i="43"/>
  <c r="AC99" i="43"/>
  <c r="AV99" i="43" s="1"/>
  <c r="AV102" i="43" s="1"/>
  <c r="AG78" i="43"/>
  <c r="AR78" i="43" s="1"/>
  <c r="AA43" i="43"/>
  <c r="AA46" i="43" s="1"/>
  <c r="AG24" i="43"/>
  <c r="AR24" i="43" s="1"/>
  <c r="AB64" i="43"/>
  <c r="AU64" i="43" s="1"/>
  <c r="AU67" i="43" s="1"/>
  <c r="AA383" i="43"/>
  <c r="AA388" i="43" s="1"/>
  <c r="AQ322" i="43"/>
  <c r="AG265" i="43"/>
  <c r="AR265" i="43" s="1"/>
  <c r="AC220" i="43"/>
  <c r="AV220" i="43" s="1"/>
  <c r="AV225" i="43" s="1"/>
  <c r="AG197" i="43"/>
  <c r="AR197" i="43" s="1"/>
  <c r="AQ296" i="43"/>
  <c r="AC207" i="43"/>
  <c r="AV207" i="43" s="1"/>
  <c r="AV213" i="43" s="1"/>
  <c r="AG196" i="43"/>
  <c r="AR196" i="43" s="1"/>
  <c r="AA288" i="43"/>
  <c r="AC370" i="43"/>
  <c r="AV370" i="43" s="1"/>
  <c r="AV373" i="43" s="1"/>
  <c r="V373" i="43"/>
  <c r="AQ312" i="43"/>
  <c r="AC175" i="43"/>
  <c r="AV175" i="43" s="1"/>
  <c r="AV180" i="43" s="1"/>
  <c r="V180" i="43"/>
  <c r="V42" i="43"/>
  <c r="AQ392" i="43"/>
  <c r="AC358" i="43"/>
  <c r="AV358" i="43" s="1"/>
  <c r="AV362" i="43" s="1"/>
  <c r="V362" i="43"/>
  <c r="AQ328" i="43"/>
  <c r="AQ283" i="43"/>
  <c r="AC374" i="43"/>
  <c r="AV374" i="43" s="1"/>
  <c r="AV375" i="43" s="1"/>
  <c r="V375" i="43"/>
  <c r="AQ422" i="43"/>
  <c r="AQ200" i="43"/>
  <c r="AQ120" i="43"/>
  <c r="AQ98" i="43"/>
  <c r="AC63" i="43"/>
  <c r="AQ59" i="43"/>
  <c r="V59" i="43"/>
  <c r="AB56" i="43"/>
  <c r="AU56" i="43" s="1"/>
  <c r="AU59" i="43" s="1"/>
  <c r="AG455" i="43"/>
  <c r="AR455" i="43" s="1"/>
  <c r="AG456" i="43"/>
  <c r="AR456" i="43" s="1"/>
  <c r="AG414" i="43"/>
  <c r="AR414" i="43" s="1"/>
  <c r="AG425" i="43"/>
  <c r="AR425" i="43" s="1"/>
  <c r="AG349" i="43"/>
  <c r="AR349" i="43" s="1"/>
  <c r="AG334" i="43"/>
  <c r="AR334" i="43" s="1"/>
  <c r="AB263" i="43"/>
  <c r="AU263" i="43" s="1"/>
  <c r="AU266" i="43" s="1"/>
  <c r="AB257" i="43"/>
  <c r="AU257" i="43" s="1"/>
  <c r="AU258" i="43" s="1"/>
  <c r="AQ213" i="43"/>
  <c r="AQ180" i="43"/>
  <c r="AQ151" i="43"/>
  <c r="AC257" i="43"/>
  <c r="AV257" i="43" s="1"/>
  <c r="AV258" i="43" s="1"/>
  <c r="AB220" i="43"/>
  <c r="AU220" i="43" s="1"/>
  <c r="AU225" i="43" s="1"/>
  <c r="AG190" i="43"/>
  <c r="AR190" i="43" s="1"/>
  <c r="AB214" i="43"/>
  <c r="AU214" i="43" s="1"/>
  <c r="AU219" i="43" s="1"/>
  <c r="AG198" i="43"/>
  <c r="AR198" i="43" s="1"/>
  <c r="AG142" i="43"/>
  <c r="AR142" i="43" s="1"/>
  <c r="AQ139" i="43"/>
  <c r="AQ70" i="43"/>
  <c r="AQ237" i="43"/>
  <c r="AC250" i="43"/>
  <c r="AV250" i="43" s="1"/>
  <c r="AV256" i="43" s="1"/>
  <c r="AB162" i="43"/>
  <c r="AG128" i="43"/>
  <c r="AR128" i="43" s="1"/>
  <c r="AC94" i="43"/>
  <c r="AC87" i="43"/>
  <c r="AV87" i="43" s="1"/>
  <c r="AV90" i="43" s="1"/>
  <c r="AC71" i="43"/>
  <c r="AV71" i="43" s="1"/>
  <c r="AV75" i="43" s="1"/>
  <c r="AB133" i="43"/>
  <c r="AU133" i="43" s="1"/>
  <c r="AU139" i="43" s="1"/>
  <c r="AA56" i="43"/>
  <c r="AQ39" i="43"/>
  <c r="AQ27" i="43"/>
  <c r="AA106" i="43"/>
  <c r="AA109" i="43" s="1"/>
  <c r="AB99" i="43"/>
  <c r="AU99" i="43" s="1"/>
  <c r="AU102" i="43" s="1"/>
  <c r="AC95" i="43"/>
  <c r="AV95" i="43" s="1"/>
  <c r="AV98" i="43" s="1"/>
  <c r="AQ49" i="43"/>
  <c r="AQ18" i="43"/>
  <c r="AQ436" i="43"/>
  <c r="AQ382" i="43"/>
  <c r="AA376" i="43"/>
  <c r="AA382" i="43" s="1"/>
  <c r="AA317" i="43"/>
  <c r="AA322" i="43" s="1"/>
  <c r="AC263" i="43"/>
  <c r="AV263" i="43" s="1"/>
  <c r="AV266" i="43" s="1"/>
  <c r="AG309" i="43"/>
  <c r="AR309" i="43" s="1"/>
  <c r="AQ305" i="43"/>
  <c r="AC288" i="43"/>
  <c r="AC437" i="43"/>
  <c r="AV437" i="43" s="1"/>
  <c r="AV443" i="43" s="1"/>
  <c r="V443" i="43"/>
  <c r="AA437" i="43"/>
  <c r="AQ450" i="43"/>
  <c r="AC351" i="43"/>
  <c r="AV351" i="43" s="1"/>
  <c r="AV357" i="43" s="1"/>
  <c r="V357" i="43"/>
  <c r="AC297" i="43"/>
  <c r="AV297" i="43" s="1"/>
  <c r="AV298" i="43" s="1"/>
  <c r="V298" i="43"/>
  <c r="AA297" i="43"/>
  <c r="AA298" i="43" s="1"/>
  <c r="AC244" i="43"/>
  <c r="AV244" i="43" s="1"/>
  <c r="AV249" i="43" s="1"/>
  <c r="V249" i="43"/>
  <c r="AA244" i="43"/>
  <c r="AA249" i="43" s="1"/>
  <c r="V27" i="43"/>
  <c r="V35" i="43"/>
  <c r="AC363" i="43"/>
  <c r="AV363" i="43" s="1"/>
  <c r="AV369" i="43" s="1"/>
  <c r="V369" i="43"/>
  <c r="AC314" i="43"/>
  <c r="AV314" i="43" s="1"/>
  <c r="AV316" i="43" s="1"/>
  <c r="V316" i="43"/>
  <c r="AC306" i="43"/>
  <c r="AV306" i="43" s="1"/>
  <c r="AV312" i="43" s="1"/>
  <c r="V312" i="43"/>
  <c r="AC194" i="43"/>
  <c r="AC195" i="43"/>
  <c r="AV195" i="43" s="1"/>
  <c r="AV200" i="43" s="1"/>
  <c r="V200" i="43"/>
  <c r="AB195" i="43"/>
  <c r="AU195" i="43" s="1"/>
  <c r="AU200" i="43" s="1"/>
  <c r="AC169" i="43"/>
  <c r="AV169" i="43" s="1"/>
  <c r="AV174" i="43" s="1"/>
  <c r="V174" i="43"/>
  <c r="AG280" i="43"/>
  <c r="AR280" i="43" s="1"/>
  <c r="AG223" i="43"/>
  <c r="AR223" i="43" s="1"/>
  <c r="AG203" i="43"/>
  <c r="AR203" i="43" s="1"/>
  <c r="AG293" i="43"/>
  <c r="AR293" i="43" s="1"/>
  <c r="AG154" i="43"/>
  <c r="AR154" i="43" s="1"/>
  <c r="AG167" i="43"/>
  <c r="AR167" i="43" s="1"/>
  <c r="AG48" i="43"/>
  <c r="AR48" i="43" s="1"/>
  <c r="AG15" i="43"/>
  <c r="AR15" i="43" s="1"/>
  <c r="AG137" i="43"/>
  <c r="AR137" i="43" s="1"/>
  <c r="AG186" i="43"/>
  <c r="AR186" i="43" s="1"/>
  <c r="AG131" i="43"/>
  <c r="AR131" i="43" s="1"/>
  <c r="AG387" i="43"/>
  <c r="AR387" i="43" s="1"/>
  <c r="AG463" i="43"/>
  <c r="AR463" i="43" s="1"/>
  <c r="AG462" i="43"/>
  <c r="AR462" i="43" s="1"/>
  <c r="AG447" i="43"/>
  <c r="AR447" i="43" s="1"/>
  <c r="AG449" i="43"/>
  <c r="AR449" i="43" s="1"/>
  <c r="AG433" i="43"/>
  <c r="AR433" i="43" s="1"/>
  <c r="AG366" i="43"/>
  <c r="AR366" i="43" s="1"/>
  <c r="AG379" i="43"/>
  <c r="AR379" i="43" s="1"/>
  <c r="AG261" i="43"/>
  <c r="AR261" i="43" s="1"/>
  <c r="AG321" i="43"/>
  <c r="AR321" i="43" s="1"/>
  <c r="AG230" i="43"/>
  <c r="AR230" i="43" s="1"/>
  <c r="AG141" i="43"/>
  <c r="AR141" i="43" s="1"/>
  <c r="AG104" i="43"/>
  <c r="AR104" i="43" s="1"/>
  <c r="AG60" i="43"/>
  <c r="AR60" i="43" s="1"/>
  <c r="AG44" i="43"/>
  <c r="AR44" i="43" s="1"/>
  <c r="AG34" i="43"/>
  <c r="AR34" i="43" s="1"/>
  <c r="AG184" i="43"/>
  <c r="AR184" i="43" s="1"/>
  <c r="AG123" i="43"/>
  <c r="AR123" i="43" s="1"/>
  <c r="AG241" i="43"/>
  <c r="AR241" i="43" s="1"/>
  <c r="AG245" i="43"/>
  <c r="AR245" i="43" s="1"/>
  <c r="AG419" i="43"/>
  <c r="AR419" i="43" s="1"/>
  <c r="AG398" i="43"/>
  <c r="AR398" i="43" s="1"/>
  <c r="AG371" i="43"/>
  <c r="AR371" i="43" s="1"/>
  <c r="AG185" i="43"/>
  <c r="AR185" i="43" s="1"/>
  <c r="AG177" i="43"/>
  <c r="AR177" i="43" s="1"/>
  <c r="AG246" i="43"/>
  <c r="AR246" i="43" s="1"/>
  <c r="AG236" i="43"/>
  <c r="AR236" i="43" s="1"/>
  <c r="AG156" i="43"/>
  <c r="AR156" i="43" s="1"/>
  <c r="AG136" i="43"/>
  <c r="AR136" i="43" s="1"/>
  <c r="AG96" i="43"/>
  <c r="AR96" i="43" s="1"/>
  <c r="AG183" i="43"/>
  <c r="AR183" i="43" s="1"/>
  <c r="AG89" i="43"/>
  <c r="AR89" i="43" s="1"/>
  <c r="AG115" i="43"/>
  <c r="AR115" i="43" s="1"/>
  <c r="AG107" i="43"/>
  <c r="AR107" i="43" s="1"/>
  <c r="AG65" i="43"/>
  <c r="AR65" i="43" s="1"/>
  <c r="AG217" i="43"/>
  <c r="AR217" i="43" s="1"/>
  <c r="AG233" i="43"/>
  <c r="AR233" i="43" s="1"/>
  <c r="AG458" i="43"/>
  <c r="AR458" i="43" s="1"/>
  <c r="AG454" i="43"/>
  <c r="AR454" i="43" s="1"/>
  <c r="AG445" i="43"/>
  <c r="AR445" i="43" s="1"/>
  <c r="AG441" i="43"/>
  <c r="AR441" i="43" s="1"/>
  <c r="AG453" i="43"/>
  <c r="AR453" i="43" s="1"/>
  <c r="AG435" i="43"/>
  <c r="AR435" i="43" s="1"/>
  <c r="AG408" i="43"/>
  <c r="AR408" i="43" s="1"/>
  <c r="AG404" i="43"/>
  <c r="AR404" i="43" s="1"/>
  <c r="AG394" i="43"/>
  <c r="AR394" i="43" s="1"/>
  <c r="AG391" i="43"/>
  <c r="AR391" i="43" s="1"/>
  <c r="AG319" i="43"/>
  <c r="AR319" i="43" s="1"/>
  <c r="AG315" i="43"/>
  <c r="AR315" i="43" s="1"/>
  <c r="AG311" i="43"/>
  <c r="AR311" i="43" s="1"/>
  <c r="AG307" i="43"/>
  <c r="AR307" i="43" s="1"/>
  <c r="AG303" i="43"/>
  <c r="AR303" i="43" s="1"/>
  <c r="AG295" i="43"/>
  <c r="AR295" i="43" s="1"/>
  <c r="AG291" i="43"/>
  <c r="AR291" i="43" s="1"/>
  <c r="AG287" i="43"/>
  <c r="AR287" i="43" s="1"/>
  <c r="AG279" i="43"/>
  <c r="AR279" i="43" s="1"/>
  <c r="AG275" i="43"/>
  <c r="AR275" i="43" s="1"/>
  <c r="AG271" i="43"/>
  <c r="AR271" i="43" s="1"/>
  <c r="AG384" i="43"/>
  <c r="AR384" i="43" s="1"/>
  <c r="AG380" i="43"/>
  <c r="AR380" i="43" s="1"/>
  <c r="AG348" i="43"/>
  <c r="AR348" i="43" s="1"/>
  <c r="AG365" i="43"/>
  <c r="AR365" i="43" s="1"/>
  <c r="AG361" i="43"/>
  <c r="AR361" i="43" s="1"/>
  <c r="AG353" i="43"/>
  <c r="AR353" i="43" s="1"/>
  <c r="AG343" i="43"/>
  <c r="AR343" i="43" s="1"/>
  <c r="AG308" i="43"/>
  <c r="AR308" i="43" s="1"/>
  <c r="AG292" i="43"/>
  <c r="AR292" i="43" s="1"/>
  <c r="AG255" i="43"/>
  <c r="AR255" i="43" s="1"/>
  <c r="AG290" i="43"/>
  <c r="AR290" i="43" s="1"/>
  <c r="AG282" i="43"/>
  <c r="AR282" i="43" s="1"/>
  <c r="AG274" i="43"/>
  <c r="AR274" i="43" s="1"/>
  <c r="AG264" i="43"/>
  <c r="AR264" i="43" s="1"/>
  <c r="AG395" i="43"/>
  <c r="AR395" i="43" s="1"/>
  <c r="AG301" i="43"/>
  <c r="AR301" i="43" s="1"/>
  <c r="AG285" i="43"/>
  <c r="AR285" i="43" s="1"/>
  <c r="AG270" i="43"/>
  <c r="AR270" i="43" s="1"/>
  <c r="AG253" i="43"/>
  <c r="AR253" i="43" s="1"/>
  <c r="AG164" i="43"/>
  <c r="AR164" i="43" s="1"/>
  <c r="AG160" i="43"/>
  <c r="AR160" i="43" s="1"/>
  <c r="AG342" i="43"/>
  <c r="AR342" i="43" s="1"/>
  <c r="AG224" i="43"/>
  <c r="AR224" i="43" s="1"/>
  <c r="AG228" i="43"/>
  <c r="AR228" i="43" s="1"/>
  <c r="AG218" i="43"/>
  <c r="AR218" i="43" s="1"/>
  <c r="AG212" i="43"/>
  <c r="AR212" i="43" s="1"/>
  <c r="AG143" i="43"/>
  <c r="AR143" i="43" s="1"/>
  <c r="AG189" i="43"/>
  <c r="AR189" i="43" s="1"/>
  <c r="AG173" i="43"/>
  <c r="AR173" i="43" s="1"/>
  <c r="AG129" i="43"/>
  <c r="AR129" i="43" s="1"/>
  <c r="AG97" i="43"/>
  <c r="AR97" i="43" s="1"/>
  <c r="AG88" i="43"/>
  <c r="AR88" i="43" s="1"/>
  <c r="AG62" i="43"/>
  <c r="AR62" i="43" s="1"/>
  <c r="AG54" i="43"/>
  <c r="AR54" i="43" s="1"/>
  <c r="AG38" i="43"/>
  <c r="AR38" i="43" s="1"/>
  <c r="AG30" i="43"/>
  <c r="AR30" i="43" s="1"/>
  <c r="AG21" i="43"/>
  <c r="AR21" i="43" s="1"/>
  <c r="AG45" i="43"/>
  <c r="AR45" i="43" s="1"/>
  <c r="AG134" i="43"/>
  <c r="AR134" i="43" s="1"/>
  <c r="AG118" i="43"/>
  <c r="AR118" i="43" s="1"/>
  <c r="AG85" i="43"/>
  <c r="AR85" i="43" s="1"/>
  <c r="AG73" i="43"/>
  <c r="AR73" i="43" s="1"/>
  <c r="AG153" i="43"/>
  <c r="AR153" i="43" s="1"/>
  <c r="AG135" i="43"/>
  <c r="AR135" i="43" s="1"/>
  <c r="AG61" i="43"/>
  <c r="AR61" i="43" s="1"/>
  <c r="AG20" i="43"/>
  <c r="AR20" i="43" s="1"/>
  <c r="AG16" i="43"/>
  <c r="AR16" i="43" s="1"/>
  <c r="AG69" i="43"/>
  <c r="AR69" i="43" s="1"/>
  <c r="AG150" i="43"/>
  <c r="AR150" i="43" s="1"/>
  <c r="AG37" i="43"/>
  <c r="AR37" i="43" s="1"/>
  <c r="AG452" i="43"/>
  <c r="AR452" i="43" s="1"/>
  <c r="AG434" i="43"/>
  <c r="AR434" i="43" s="1"/>
  <c r="AG426" i="43"/>
  <c r="AR426" i="43" s="1"/>
  <c r="AG418" i="43"/>
  <c r="AR418" i="43" s="1"/>
  <c r="AG431" i="43"/>
  <c r="AR431" i="43" s="1"/>
  <c r="AG421" i="43"/>
  <c r="AR421" i="43" s="1"/>
  <c r="AG413" i="43"/>
  <c r="AR413" i="43" s="1"/>
  <c r="AG411" i="43"/>
  <c r="AR411" i="43" s="1"/>
  <c r="AG405" i="43"/>
  <c r="AR405" i="43" s="1"/>
  <c r="AG367" i="43"/>
  <c r="AR367" i="43" s="1"/>
  <c r="AG438" i="43"/>
  <c r="AR438" i="43" s="1"/>
  <c r="AG397" i="43"/>
  <c r="AR397" i="43" s="1"/>
  <c r="AG385" i="43"/>
  <c r="AR385" i="43" s="1"/>
  <c r="AG381" i="43"/>
  <c r="AR381" i="43" s="1"/>
  <c r="AG377" i="43"/>
  <c r="AR377" i="43" s="1"/>
  <c r="AG320" i="43"/>
  <c r="AR320" i="43" s="1"/>
  <c r="AG304" i="43"/>
  <c r="AR304" i="43" s="1"/>
  <c r="AG313" i="43"/>
  <c r="AR313" i="43" s="1"/>
  <c r="AG281" i="43"/>
  <c r="AR281" i="43" s="1"/>
  <c r="AG269" i="43"/>
  <c r="AR269" i="43" s="1"/>
  <c r="AG222" i="43"/>
  <c r="AR222" i="43" s="1"/>
  <c r="AG159" i="43"/>
  <c r="AR159" i="43" s="1"/>
  <c r="AG347" i="43"/>
  <c r="AR347" i="43" s="1"/>
  <c r="AG248" i="43"/>
  <c r="AR248" i="43" s="1"/>
  <c r="AG216" i="43"/>
  <c r="AR216" i="43" s="1"/>
  <c r="AG144" i="43"/>
  <c r="AR144" i="43" s="1"/>
  <c r="AG339" i="43"/>
  <c r="AR339" i="43" s="1"/>
  <c r="AG242" i="43"/>
  <c r="AR242" i="43" s="1"/>
  <c r="AG210" i="43"/>
  <c r="AR210" i="43" s="1"/>
  <c r="AG124" i="43"/>
  <c r="AR124" i="43" s="1"/>
  <c r="AG108" i="43"/>
  <c r="AR108" i="43" s="1"/>
  <c r="AG100" i="43"/>
  <c r="AR100" i="43" s="1"/>
  <c r="AG91" i="43"/>
  <c r="AR91" i="43" s="1"/>
  <c r="AG148" i="43"/>
  <c r="AR148" i="43" s="1"/>
  <c r="AG77" i="43"/>
  <c r="AR77" i="43" s="1"/>
  <c r="AG119" i="43"/>
  <c r="AR119" i="43" s="1"/>
  <c r="AG111" i="43"/>
  <c r="AR111" i="43" s="1"/>
  <c r="AG74" i="43"/>
  <c r="AR74" i="43" s="1"/>
  <c r="AG51" i="43"/>
  <c r="AR51" i="43" s="1"/>
  <c r="AG33" i="43"/>
  <c r="AR33" i="43" s="1"/>
  <c r="AG26" i="43"/>
  <c r="AR26" i="43" s="1"/>
  <c r="AG442" i="43"/>
  <c r="AR442" i="43" s="1"/>
  <c r="AG440" i="43"/>
  <c r="AR440" i="43" s="1"/>
  <c r="AG432" i="43"/>
  <c r="AR432" i="43" s="1"/>
  <c r="AG428" i="43"/>
  <c r="AR428" i="43" s="1"/>
  <c r="AG424" i="43"/>
  <c r="AR424" i="43" s="1"/>
  <c r="AG420" i="43"/>
  <c r="AR420" i="43" s="1"/>
  <c r="AG412" i="43"/>
  <c r="AR412" i="43" s="1"/>
  <c r="AG402" i="43"/>
  <c r="AR402" i="43" s="1"/>
  <c r="AG401" i="43"/>
  <c r="AR401" i="43" s="1"/>
  <c r="AG354" i="43"/>
  <c r="AR354" i="43" s="1"/>
  <c r="AG390" i="43"/>
  <c r="AR390" i="43" s="1"/>
  <c r="AG386" i="43"/>
  <c r="AR386" i="43" s="1"/>
  <c r="AG378" i="43"/>
  <c r="AR378" i="43" s="1"/>
  <c r="AG403" i="43"/>
  <c r="AR403" i="43" s="1"/>
  <c r="AG372" i="43"/>
  <c r="AR372" i="43" s="1"/>
  <c r="AG368" i="43"/>
  <c r="AR368" i="43" s="1"/>
  <c r="AG364" i="43"/>
  <c r="AR364" i="43" s="1"/>
  <c r="AG360" i="43"/>
  <c r="AR360" i="43" s="1"/>
  <c r="AG356" i="43"/>
  <c r="AR356" i="43" s="1"/>
  <c r="AG352" i="43"/>
  <c r="AR352" i="43" s="1"/>
  <c r="AG300" i="43"/>
  <c r="AR300" i="43" s="1"/>
  <c r="AG284" i="43"/>
  <c r="AR284" i="43" s="1"/>
  <c r="AG326" i="43"/>
  <c r="AR326" i="43" s="1"/>
  <c r="AG318" i="43"/>
  <c r="AR318" i="43" s="1"/>
  <c r="AG310" i="43"/>
  <c r="AR310" i="43" s="1"/>
  <c r="AG302" i="43"/>
  <c r="AR302" i="43" s="1"/>
  <c r="AG294" i="43"/>
  <c r="AR294" i="43" s="1"/>
  <c r="AG286" i="43"/>
  <c r="AR286" i="43" s="1"/>
  <c r="AG278" i="43"/>
  <c r="AR278" i="43" s="1"/>
  <c r="AG268" i="43"/>
  <c r="AR268" i="43" s="1"/>
  <c r="AG260" i="43"/>
  <c r="AR260" i="43" s="1"/>
  <c r="AG158" i="43"/>
  <c r="AR158" i="43" s="1"/>
  <c r="AG240" i="43"/>
  <c r="AR240" i="43" s="1"/>
  <c r="AG208" i="43"/>
  <c r="AR208" i="43" s="1"/>
  <c r="AG252" i="43"/>
  <c r="AR252" i="43" s="1"/>
  <c r="AG234" i="43"/>
  <c r="AR234" i="43" s="1"/>
  <c r="AG202" i="43"/>
  <c r="AR202" i="43" s="1"/>
  <c r="AG101" i="43"/>
  <c r="AR101" i="43" s="1"/>
  <c r="AG93" i="43"/>
  <c r="AR93" i="43" s="1"/>
  <c r="AG84" i="43"/>
  <c r="AR84" i="43" s="1"/>
  <c r="AG122" i="43"/>
  <c r="AR122" i="43" s="1"/>
  <c r="AG81" i="43"/>
  <c r="AR81" i="43" s="1"/>
  <c r="AG57" i="43"/>
  <c r="AR57" i="43" s="1"/>
  <c r="AG41" i="43"/>
  <c r="AR41" i="43" s="1"/>
  <c r="AG66" i="43"/>
  <c r="AR66" i="43" s="1"/>
  <c r="AQ466" i="43" l="1"/>
  <c r="I133" i="44"/>
  <c r="W466" i="43"/>
  <c r="V466" i="43"/>
  <c r="I132" i="44"/>
  <c r="AQ132" i="44"/>
  <c r="I467" i="43"/>
  <c r="I466" i="43"/>
  <c r="V132" i="44"/>
  <c r="AQ133" i="44"/>
  <c r="AU28" i="44"/>
  <c r="AU132" i="43"/>
  <c r="AU19" i="44"/>
  <c r="AB84" i="44"/>
  <c r="AA19" i="44"/>
  <c r="AV19" i="44"/>
  <c r="AV28" i="44"/>
  <c r="AU18" i="43"/>
  <c r="AV18" i="43"/>
  <c r="AC350" i="43"/>
  <c r="AB27" i="43"/>
  <c r="AB399" i="43"/>
  <c r="AC472" i="43"/>
  <c r="AC422" i="43"/>
  <c r="AB436" i="43"/>
  <c r="AB39" i="43"/>
  <c r="AS138" i="44"/>
  <c r="AC392" i="43"/>
  <c r="AC457" i="43"/>
  <c r="AB316" i="43"/>
  <c r="AC86" i="43"/>
  <c r="AB328" i="43"/>
  <c r="AB22" i="43"/>
  <c r="AB137" i="44"/>
  <c r="AS144" i="44"/>
  <c r="AR460" i="43"/>
  <c r="AR288" i="43"/>
  <c r="AR94" i="43"/>
  <c r="AS472" i="43"/>
  <c r="AR162" i="43"/>
  <c r="AR194" i="43"/>
  <c r="AR63" i="43"/>
  <c r="AR276" i="43"/>
  <c r="AC272" i="43"/>
  <c r="AV267" i="43"/>
  <c r="AV272" i="43" s="1"/>
  <c r="AB35" i="43"/>
  <c r="AA18" i="43"/>
  <c r="AB145" i="43"/>
  <c r="AU140" i="43"/>
  <c r="AU145" i="43" s="1"/>
  <c r="AB98" i="43"/>
  <c r="AU95" i="43"/>
  <c r="AU98" i="43" s="1"/>
  <c r="AC243" i="43"/>
  <c r="AV238" i="43"/>
  <c r="AV243" i="43" s="1"/>
  <c r="AB249" i="43"/>
  <c r="AU244" i="43"/>
  <c r="AU249" i="43" s="1"/>
  <c r="AB70" i="43"/>
  <c r="AU68" i="43"/>
  <c r="AU70" i="43" s="1"/>
  <c r="AB52" i="43"/>
  <c r="AU50" i="43"/>
  <c r="AU52" i="43" s="1"/>
  <c r="AB174" i="43"/>
  <c r="AU169" i="43"/>
  <c r="AU174" i="43" s="1"/>
  <c r="AV130" i="43"/>
  <c r="AV476" i="43" s="1"/>
  <c r="AB42" i="43"/>
  <c r="AB55" i="43"/>
  <c r="AU53" i="43"/>
  <c r="AU55" i="43" s="1"/>
  <c r="AB373" i="43"/>
  <c r="AU370" i="43"/>
  <c r="AU373" i="43" s="1"/>
  <c r="AB187" i="43"/>
  <c r="AU181" i="43"/>
  <c r="AU187" i="43" s="1"/>
  <c r="AC31" i="43"/>
  <c r="AV28" i="43"/>
  <c r="AV31" i="43" s="1"/>
  <c r="AB324" i="43"/>
  <c r="AU323" i="43"/>
  <c r="AU324" i="43" s="1"/>
  <c r="AB113" i="43"/>
  <c r="AU110" i="43"/>
  <c r="AU113" i="43" s="1"/>
  <c r="AB296" i="43"/>
  <c r="AU289" i="43"/>
  <c r="AU296" i="43" s="1"/>
  <c r="AC35" i="43"/>
  <c r="AV32" i="43"/>
  <c r="AV35" i="43" s="1"/>
  <c r="AC120" i="43"/>
  <c r="AV117" i="43"/>
  <c r="AV120" i="43" s="1"/>
  <c r="AC59" i="43"/>
  <c r="AB75" i="43"/>
  <c r="AU71" i="43"/>
  <c r="AU75" i="43" s="1"/>
  <c r="AB472" i="43"/>
  <c r="AU345" i="43"/>
  <c r="AU350" i="43" s="1"/>
  <c r="AB298" i="43"/>
  <c r="AU297" i="43"/>
  <c r="AU298" i="43" s="1"/>
  <c r="AB86" i="43"/>
  <c r="AU83" i="43"/>
  <c r="AU86" i="43" s="1"/>
  <c r="AB332" i="43"/>
  <c r="AU329" i="43"/>
  <c r="AU332" i="43" s="1"/>
  <c r="AC388" i="43"/>
  <c r="AV383" i="43"/>
  <c r="AV388" i="43" s="1"/>
  <c r="AB105" i="43"/>
  <c r="AU103" i="43"/>
  <c r="AU105" i="43" s="1"/>
  <c r="AR42" i="44"/>
  <c r="AS137" i="44"/>
  <c r="AB35" i="44"/>
  <c r="AR113" i="44"/>
  <c r="AR56" i="44"/>
  <c r="AR95" i="44"/>
  <c r="AC137" i="44"/>
  <c r="AC115" i="44"/>
  <c r="AB49" i="44"/>
  <c r="AC138" i="44"/>
  <c r="AC107" i="44"/>
  <c r="AC136" i="44"/>
  <c r="AC77" i="44"/>
  <c r="AB144" i="44"/>
  <c r="AC143" i="44"/>
  <c r="AV143" i="44"/>
  <c r="AB19" i="44"/>
  <c r="AU142" i="44"/>
  <c r="AG20" i="44"/>
  <c r="AR20" i="44" s="1"/>
  <c r="AC28" i="44"/>
  <c r="AB63" i="44"/>
  <c r="AB91" i="44"/>
  <c r="AB105" i="44"/>
  <c r="AG14" i="44"/>
  <c r="AR14" i="44" s="1"/>
  <c r="AG17" i="44"/>
  <c r="AR17" i="44" s="1"/>
  <c r="AR142" i="44" s="1"/>
  <c r="AB136" i="44"/>
  <c r="AC35" i="44"/>
  <c r="AB138" i="44"/>
  <c r="AV12" i="44"/>
  <c r="AV13" i="44" s="1"/>
  <c r="AA101" i="44"/>
  <c r="AG116" i="44"/>
  <c r="AR116" i="44" s="1"/>
  <c r="AR124" i="44" s="1"/>
  <c r="AC84" i="44"/>
  <c r="AC141" i="44"/>
  <c r="AB151" i="43"/>
  <c r="AC82" i="43"/>
  <c r="AC49" i="43"/>
  <c r="AB107" i="44"/>
  <c r="AG30" i="44"/>
  <c r="AG106" i="44"/>
  <c r="AG144" i="44" s="1"/>
  <c r="AC144" i="44"/>
  <c r="AB101" i="44"/>
  <c r="AU12" i="44"/>
  <c r="AU13" i="44" s="1"/>
  <c r="AC55" i="43"/>
  <c r="AG40" i="43"/>
  <c r="AC151" i="43"/>
  <c r="AC145" i="43"/>
  <c r="AB357" i="43"/>
  <c r="AG28" i="43"/>
  <c r="AB31" i="43"/>
  <c r="AC168" i="43"/>
  <c r="AC42" i="43"/>
  <c r="AC22" i="43"/>
  <c r="AC70" i="43"/>
  <c r="AX475" i="43"/>
  <c r="AC283" i="43"/>
  <c r="AG389" i="43"/>
  <c r="AR389" i="43" s="1"/>
  <c r="AR392" i="43" s="1"/>
  <c r="AC105" i="43"/>
  <c r="AB168" i="43"/>
  <c r="AB13" i="43"/>
  <c r="AB478" i="43"/>
  <c r="AC476" i="43"/>
  <c r="AG169" i="43"/>
  <c r="AR169" i="43" s="1"/>
  <c r="AR174" i="43" s="1"/>
  <c r="AG103" i="43"/>
  <c r="AR103" i="43" s="1"/>
  <c r="AR105" i="43" s="1"/>
  <c r="AC125" i="43"/>
  <c r="AG181" i="43"/>
  <c r="AB305" i="43"/>
  <c r="AG32" i="43"/>
  <c r="AR32" i="43" s="1"/>
  <c r="AR35" i="43" s="1"/>
  <c r="AB180" i="43"/>
  <c r="AC27" i="43"/>
  <c r="AA35" i="43"/>
  <c r="AG12" i="43"/>
  <c r="AC79" i="43"/>
  <c r="AG175" i="43"/>
  <c r="AR175" i="43" s="1"/>
  <c r="AR180" i="43" s="1"/>
  <c r="AC296" i="43"/>
  <c r="AB335" i="43"/>
  <c r="AB116" i="43"/>
  <c r="AC206" i="43"/>
  <c r="AC109" i="43"/>
  <c r="AG127" i="43"/>
  <c r="AR127" i="43" s="1"/>
  <c r="AG23" i="43"/>
  <c r="AR23" i="43" s="1"/>
  <c r="AR27" i="43" s="1"/>
  <c r="AA143" i="44"/>
  <c r="AG12" i="44"/>
  <c r="AG141" i="44" s="1"/>
  <c r="AG26" i="44"/>
  <c r="AR26" i="44" s="1"/>
  <c r="AG78" i="44"/>
  <c r="AR78" i="44" s="1"/>
  <c r="AR84" i="44" s="1"/>
  <c r="AA107" i="44"/>
  <c r="AC124" i="44"/>
  <c r="AB13" i="44"/>
  <c r="AA28" i="44"/>
  <c r="AS143" i="44"/>
  <c r="AG76" i="43"/>
  <c r="AR76" i="43" s="1"/>
  <c r="AR79" i="43" s="1"/>
  <c r="AB82" i="43"/>
  <c r="AC132" i="43"/>
  <c r="AG393" i="43"/>
  <c r="AR393" i="43" s="1"/>
  <c r="AR399" i="43" s="1"/>
  <c r="AA132" i="43"/>
  <c r="AC18" i="43"/>
  <c r="AC471" i="43"/>
  <c r="AB476" i="43"/>
  <c r="AS478" i="43"/>
  <c r="AC464" i="43"/>
  <c r="AG50" i="43"/>
  <c r="AR50" i="43" s="1"/>
  <c r="AR52" i="43" s="1"/>
  <c r="AG374" i="43"/>
  <c r="AG370" i="43"/>
  <c r="AA27" i="43"/>
  <c r="AG130" i="43"/>
  <c r="AG53" i="43"/>
  <c r="AC113" i="43"/>
  <c r="AB344" i="43"/>
  <c r="AB375" i="43"/>
  <c r="AB369" i="43"/>
  <c r="AB237" i="43"/>
  <c r="AC436" i="43"/>
  <c r="AG430" i="43"/>
  <c r="AR430" i="43" s="1"/>
  <c r="AR436" i="43" s="1"/>
  <c r="AC52" i="43"/>
  <c r="AC332" i="43"/>
  <c r="AC219" i="43"/>
  <c r="AG114" i="43"/>
  <c r="AG140" i="43"/>
  <c r="AR140" i="43" s="1"/>
  <c r="AR145" i="43" s="1"/>
  <c r="AG289" i="43"/>
  <c r="AR289" i="43" s="1"/>
  <c r="AR296" i="43" s="1"/>
  <c r="AG14" i="43"/>
  <c r="AR14" i="43" s="1"/>
  <c r="AG133" i="43"/>
  <c r="AR133" i="43" s="1"/>
  <c r="AR139" i="43" s="1"/>
  <c r="AG68" i="43"/>
  <c r="AR68" i="43" s="1"/>
  <c r="AR70" i="43" s="1"/>
  <c r="AC344" i="43"/>
  <c r="AB422" i="43"/>
  <c r="AA399" i="43"/>
  <c r="AB49" i="43"/>
  <c r="AB362" i="43"/>
  <c r="AG121" i="43"/>
  <c r="AR121" i="43" s="1"/>
  <c r="AR125" i="43" s="1"/>
  <c r="AG416" i="43"/>
  <c r="AR416" i="43" s="1"/>
  <c r="AR422" i="43" s="1"/>
  <c r="AG80" i="43"/>
  <c r="AR80" i="43" s="1"/>
  <c r="AR82" i="43" s="1"/>
  <c r="AG358" i="43"/>
  <c r="AB450" i="43"/>
  <c r="AB125" i="43"/>
  <c r="AB18" i="43"/>
  <c r="AG110" i="43"/>
  <c r="AR110" i="43" s="1"/>
  <c r="AR113" i="43" s="1"/>
  <c r="AB464" i="43"/>
  <c r="AG19" i="43"/>
  <c r="AG106" i="43"/>
  <c r="AR106" i="43" s="1"/>
  <c r="AR109" i="43" s="1"/>
  <c r="AB457" i="43"/>
  <c r="AG451" i="43"/>
  <c r="AR451" i="43" s="1"/>
  <c r="AR457" i="43" s="1"/>
  <c r="AG423" i="43"/>
  <c r="AR423" i="43" s="1"/>
  <c r="AR429" i="43" s="1"/>
  <c r="AB443" i="43"/>
  <c r="AG336" i="43"/>
  <c r="AR336" i="43" s="1"/>
  <c r="AR344" i="43" s="1"/>
  <c r="AB392" i="43"/>
  <c r="AA392" i="43"/>
  <c r="AS475" i="43"/>
  <c r="AG345" i="43"/>
  <c r="AR345" i="43" s="1"/>
  <c r="AR350" i="43" s="1"/>
  <c r="AG363" i="43"/>
  <c r="AR363" i="43" s="1"/>
  <c r="AR369" i="43" s="1"/>
  <c r="AG383" i="43"/>
  <c r="AR383" i="43" s="1"/>
  <c r="AR388" i="43" s="1"/>
  <c r="AB350" i="43"/>
  <c r="AB283" i="43"/>
  <c r="AG277" i="43"/>
  <c r="AR277" i="43" s="1"/>
  <c r="AR283" i="43" s="1"/>
  <c r="AB477" i="43"/>
  <c r="AG329" i="43"/>
  <c r="AR329" i="43" s="1"/>
  <c r="AR332" i="43" s="1"/>
  <c r="AA332" i="43"/>
  <c r="AB312" i="43"/>
  <c r="AC231" i="43"/>
  <c r="AG232" i="43"/>
  <c r="AR232" i="43" s="1"/>
  <c r="AR237" i="43" s="1"/>
  <c r="AG163" i="43"/>
  <c r="AR163" i="43" s="1"/>
  <c r="AR168" i="43" s="1"/>
  <c r="AG407" i="43"/>
  <c r="AR407" i="43" s="1"/>
  <c r="AR409" i="43" s="1"/>
  <c r="AG47" i="43"/>
  <c r="AG299" i="43"/>
  <c r="AG351" i="43"/>
  <c r="AC116" i="43"/>
  <c r="AA472" i="43"/>
  <c r="AC305" i="43"/>
  <c r="AC409" i="43"/>
  <c r="AG226" i="43"/>
  <c r="AA22" i="43"/>
  <c r="AB382" i="43"/>
  <c r="AG83" i="43"/>
  <c r="AR83" i="43" s="1"/>
  <c r="AR86" i="43" s="1"/>
  <c r="AG333" i="43"/>
  <c r="AC237" i="43"/>
  <c r="AC399" i="43"/>
  <c r="AG323" i="43"/>
  <c r="AR323" i="43" s="1"/>
  <c r="AR324" i="43" s="1"/>
  <c r="AG460" i="43"/>
  <c r="AB213" i="43"/>
  <c r="AC262" i="43"/>
  <c r="AB262" i="43"/>
  <c r="AB243" i="43"/>
  <c r="AB272" i="43"/>
  <c r="AG259" i="43"/>
  <c r="AR259" i="43" s="1"/>
  <c r="AR262" i="43" s="1"/>
  <c r="AG238" i="43"/>
  <c r="AG267" i="43"/>
  <c r="AR267" i="43" s="1"/>
  <c r="AR272" i="43" s="1"/>
  <c r="AB231" i="43"/>
  <c r="AG195" i="43"/>
  <c r="AR195" i="43" s="1"/>
  <c r="AR200" i="43" s="1"/>
  <c r="AG96" i="44"/>
  <c r="AR96" i="44" s="1"/>
  <c r="AR101" i="44" s="1"/>
  <c r="AA141" i="44"/>
  <c r="AG114" i="44"/>
  <c r="AB70" i="44"/>
  <c r="AA13" i="44"/>
  <c r="AB115" i="44"/>
  <c r="AB143" i="44"/>
  <c r="AG87" i="43"/>
  <c r="AR87" i="43" s="1"/>
  <c r="AR90" i="43" s="1"/>
  <c r="AB132" i="43"/>
  <c r="AG126" i="43"/>
  <c r="AR126" i="43" s="1"/>
  <c r="AG146" i="43"/>
  <c r="AR146" i="43" s="1"/>
  <c r="AR151" i="43" s="1"/>
  <c r="AG64" i="44"/>
  <c r="AR64" i="44" s="1"/>
  <c r="AR70" i="44" s="1"/>
  <c r="AC70" i="44"/>
  <c r="AC63" i="44"/>
  <c r="AC91" i="44"/>
  <c r="AX144" i="44"/>
  <c r="AG43" i="44"/>
  <c r="AR43" i="44" s="1"/>
  <c r="AR49" i="44" s="1"/>
  <c r="AG85" i="44"/>
  <c r="AR85" i="44" s="1"/>
  <c r="AR91" i="44" s="1"/>
  <c r="AC19" i="44"/>
  <c r="AA35" i="44"/>
  <c r="AW131" i="44"/>
  <c r="AZ131" i="44"/>
  <c r="AC49" i="44"/>
  <c r="AC130" i="44"/>
  <c r="AG244" i="43"/>
  <c r="AR244" i="43" s="1"/>
  <c r="AR249" i="43" s="1"/>
  <c r="AC477" i="43"/>
  <c r="AC470" i="43"/>
  <c r="AG327" i="43"/>
  <c r="AR327" i="43" s="1"/>
  <c r="AR328" i="43" s="1"/>
  <c r="AG400" i="43"/>
  <c r="AR400" i="43" s="1"/>
  <c r="AR406" i="43" s="1"/>
  <c r="AG102" i="44"/>
  <c r="AR102" i="44" s="1"/>
  <c r="AR105" i="44" s="1"/>
  <c r="AG57" i="44"/>
  <c r="AR57" i="44" s="1"/>
  <c r="AR63" i="44" s="1"/>
  <c r="AZ468" i="43"/>
  <c r="AG117" i="43"/>
  <c r="V465" i="43"/>
  <c r="AB469" i="43"/>
  <c r="AT465" i="43"/>
  <c r="AC328" i="43"/>
  <c r="I131" i="44"/>
  <c r="B14" i="47" s="1"/>
  <c r="AT131" i="44"/>
  <c r="AC135" i="44"/>
  <c r="AG64" i="43"/>
  <c r="AA469" i="43"/>
  <c r="AZ465" i="43"/>
  <c r="AC469" i="43"/>
  <c r="AA135" i="44"/>
  <c r="AU138" i="44"/>
  <c r="AW465" i="43"/>
  <c r="AV472" i="43"/>
  <c r="AZ134" i="44"/>
  <c r="I134" i="44"/>
  <c r="AS469" i="43"/>
  <c r="AG71" i="43"/>
  <c r="AG317" i="43"/>
  <c r="AR317" i="43" s="1"/>
  <c r="AR322" i="43" s="1"/>
  <c r="I465" i="43"/>
  <c r="B13" i="47" s="1"/>
  <c r="AG201" i="43"/>
  <c r="AR201" i="43" s="1"/>
  <c r="AR206" i="43" s="1"/>
  <c r="AQ465" i="43"/>
  <c r="AX137" i="44"/>
  <c r="AB135" i="44"/>
  <c r="AX135" i="44"/>
  <c r="V134" i="44"/>
  <c r="AA133" i="44" s="1"/>
  <c r="AX143" i="44"/>
  <c r="AY465" i="43"/>
  <c r="V468" i="43"/>
  <c r="AA467" i="43" s="1"/>
  <c r="AQ134" i="44"/>
  <c r="AW468" i="43"/>
  <c r="AU476" i="43"/>
  <c r="AS470" i="43"/>
  <c r="AX471" i="43"/>
  <c r="AW134" i="44"/>
  <c r="AB475" i="43"/>
  <c r="AU475" i="43"/>
  <c r="AA475" i="43"/>
  <c r="AX470" i="43"/>
  <c r="AG257" i="43"/>
  <c r="AR257" i="43" s="1"/>
  <c r="AR258" i="43" s="1"/>
  <c r="AG461" i="43"/>
  <c r="AG263" i="43"/>
  <c r="AR263" i="43" s="1"/>
  <c r="AR266" i="43" s="1"/>
  <c r="AG43" i="43"/>
  <c r="AR43" i="43" s="1"/>
  <c r="AR46" i="43" s="1"/>
  <c r="AG250" i="43"/>
  <c r="AR250" i="43" s="1"/>
  <c r="AR256" i="43" s="1"/>
  <c r="AG17" i="43"/>
  <c r="AR17" i="43" s="1"/>
  <c r="AB471" i="43"/>
  <c r="AA328" i="43"/>
  <c r="AB206" i="43"/>
  <c r="AG125" i="44"/>
  <c r="AR125" i="44" s="1"/>
  <c r="AR130" i="44" s="1"/>
  <c r="AS135" i="44"/>
  <c r="AX141" i="44"/>
  <c r="AY134" i="44"/>
  <c r="AQ468" i="43"/>
  <c r="AB142" i="44"/>
  <c r="AX136" i="44"/>
  <c r="AA477" i="43"/>
  <c r="AS477" i="43"/>
  <c r="AC478" i="43"/>
  <c r="AT468" i="43"/>
  <c r="AA470" i="43"/>
  <c r="AX472" i="43"/>
  <c r="AX478" i="43"/>
  <c r="AG314" i="43"/>
  <c r="AR314" i="43" s="1"/>
  <c r="AR316" i="43" s="1"/>
  <c r="AA256" i="43"/>
  <c r="AA471" i="43"/>
  <c r="AG71" i="44"/>
  <c r="AR71" i="44" s="1"/>
  <c r="AR77" i="44" s="1"/>
  <c r="V131" i="44"/>
  <c r="AQ131" i="44"/>
  <c r="AY131" i="44"/>
  <c r="AU137" i="44"/>
  <c r="AU143" i="44"/>
  <c r="I468" i="43"/>
  <c r="AT134" i="44"/>
  <c r="AV142" i="44"/>
  <c r="AC142" i="44"/>
  <c r="AU136" i="44"/>
  <c r="AY468" i="43"/>
  <c r="AA478" i="43"/>
  <c r="AC475" i="43"/>
  <c r="AX477" i="43"/>
  <c r="AB470" i="43"/>
  <c r="AS471" i="43"/>
  <c r="AX469" i="43"/>
  <c r="AB124" i="44"/>
  <c r="AB130" i="44"/>
  <c r="AG113" i="44"/>
  <c r="AB28" i="44"/>
  <c r="AC105" i="44"/>
  <c r="AG56" i="44"/>
  <c r="AG95" i="44"/>
  <c r="AG42" i="44"/>
  <c r="AB77" i="44"/>
  <c r="AC101" i="44"/>
  <c r="AG162" i="43"/>
  <c r="AC312" i="43"/>
  <c r="AC298" i="43"/>
  <c r="AB415" i="43"/>
  <c r="AC406" i="43"/>
  <c r="AC450" i="43"/>
  <c r="AG288" i="43"/>
  <c r="AG95" i="43"/>
  <c r="AR95" i="43" s="1"/>
  <c r="AR98" i="43" s="1"/>
  <c r="AG297" i="43"/>
  <c r="AR297" i="43" s="1"/>
  <c r="AR298" i="43" s="1"/>
  <c r="AG410" i="43"/>
  <c r="AR410" i="43" s="1"/>
  <c r="AR415" i="43" s="1"/>
  <c r="AC249" i="43"/>
  <c r="AG56" i="43"/>
  <c r="AR56" i="43" s="1"/>
  <c r="AR59" i="43" s="1"/>
  <c r="AA59" i="43"/>
  <c r="AC75" i="43"/>
  <c r="AB219" i="43"/>
  <c r="AB258" i="43"/>
  <c r="AB46" i="43"/>
  <c r="AB79" i="43"/>
  <c r="AB256" i="43"/>
  <c r="AC157" i="43"/>
  <c r="AB429" i="43"/>
  <c r="AB406" i="43"/>
  <c r="AC187" i="43"/>
  <c r="AC67" i="43"/>
  <c r="AB90" i="43"/>
  <c r="AG207" i="43"/>
  <c r="AR207" i="43" s="1"/>
  <c r="AR213" i="43" s="1"/>
  <c r="AA213" i="43"/>
  <c r="AC429" i="43"/>
  <c r="AB225" i="43"/>
  <c r="AC373" i="43"/>
  <c r="AC213" i="43"/>
  <c r="AC415" i="43"/>
  <c r="AB409" i="43"/>
  <c r="AB388" i="43"/>
  <c r="AG444" i="43"/>
  <c r="AR444" i="43" s="1"/>
  <c r="AR450" i="43" s="1"/>
  <c r="AG94" i="43"/>
  <c r="AG220" i="43"/>
  <c r="AR220" i="43" s="1"/>
  <c r="AR225" i="43" s="1"/>
  <c r="AG63" i="43"/>
  <c r="AC174" i="43"/>
  <c r="AC200" i="43"/>
  <c r="AA443" i="43"/>
  <c r="AG437" i="43"/>
  <c r="AR437" i="43" s="1"/>
  <c r="AR443" i="43" s="1"/>
  <c r="AC256" i="43"/>
  <c r="AC258" i="43"/>
  <c r="AB266" i="43"/>
  <c r="AC362" i="43"/>
  <c r="AG214" i="43"/>
  <c r="AR214" i="43" s="1"/>
  <c r="AR219" i="43" s="1"/>
  <c r="AA219" i="43"/>
  <c r="AB322" i="43"/>
  <c r="AC322" i="43"/>
  <c r="AG276" i="43"/>
  <c r="AC335" i="43"/>
  <c r="AC316" i="43"/>
  <c r="AC46" i="43"/>
  <c r="AC39" i="43"/>
  <c r="AB120" i="43"/>
  <c r="AC369" i="43"/>
  <c r="AC443" i="43"/>
  <c r="AB102" i="43"/>
  <c r="AC375" i="43"/>
  <c r="AC180" i="43"/>
  <c r="AC102" i="43"/>
  <c r="AC139" i="43"/>
  <c r="AB157" i="43"/>
  <c r="AC324" i="43"/>
  <c r="AC382" i="43"/>
  <c r="AB109" i="43"/>
  <c r="AG152" i="43"/>
  <c r="AR152" i="43" s="1"/>
  <c r="AR157" i="43" s="1"/>
  <c r="AG306" i="43"/>
  <c r="AR306" i="43" s="1"/>
  <c r="AR312" i="43" s="1"/>
  <c r="AG376" i="43"/>
  <c r="AR376" i="43" s="1"/>
  <c r="AR382" i="43" s="1"/>
  <c r="AG99" i="43"/>
  <c r="AR99" i="43" s="1"/>
  <c r="AR102" i="43" s="1"/>
  <c r="AB200" i="43"/>
  <c r="AC357" i="43"/>
  <c r="AC266" i="43"/>
  <c r="AC98" i="43"/>
  <c r="AB139" i="43"/>
  <c r="AC90" i="43"/>
  <c r="AB59" i="43"/>
  <c r="AC225" i="43"/>
  <c r="AB67" i="43"/>
  <c r="AG36" i="43"/>
  <c r="AR36" i="43" s="1"/>
  <c r="AR39" i="43" s="1"/>
  <c r="AA39" i="43"/>
  <c r="AG194" i="43"/>
  <c r="AX467" i="43" l="1"/>
  <c r="AX133" i="44"/>
  <c r="AG137" i="44"/>
  <c r="AX132" i="44"/>
  <c r="AX466" i="43"/>
  <c r="AA466" i="43"/>
  <c r="AA132" i="44"/>
  <c r="AV132" i="43"/>
  <c r="AG180" i="43"/>
  <c r="AG91" i="44"/>
  <c r="AG139" i="43"/>
  <c r="AU478" i="43"/>
  <c r="AU472" i="43"/>
  <c r="AR18" i="43"/>
  <c r="AG305" i="43"/>
  <c r="AR299" i="43"/>
  <c r="AR305" i="43" s="1"/>
  <c r="AR130" i="43"/>
  <c r="AR476" i="43" s="1"/>
  <c r="AG464" i="43"/>
  <c r="AR461" i="43"/>
  <c r="AR464" i="43" s="1"/>
  <c r="AG49" i="43"/>
  <c r="AR47" i="43"/>
  <c r="AR49" i="43" s="1"/>
  <c r="AG362" i="43"/>
  <c r="AR358" i="43"/>
  <c r="AR362" i="43" s="1"/>
  <c r="AG75" i="43"/>
  <c r="AR71" i="43"/>
  <c r="AR75" i="43" s="1"/>
  <c r="AG67" i="43"/>
  <c r="AR64" i="43"/>
  <c r="AR67" i="43" s="1"/>
  <c r="AG335" i="43"/>
  <c r="AR333" i="43"/>
  <c r="AR335" i="43" s="1"/>
  <c r="AG231" i="43"/>
  <c r="AR226" i="43"/>
  <c r="AR231" i="43" s="1"/>
  <c r="AG22" i="43"/>
  <c r="AR19" i="43"/>
  <c r="AR22" i="43" s="1"/>
  <c r="AG373" i="43"/>
  <c r="AR370" i="43"/>
  <c r="AR373" i="43" s="1"/>
  <c r="AG31" i="43"/>
  <c r="AR28" i="43"/>
  <c r="AR31" i="43" s="1"/>
  <c r="AG42" i="43"/>
  <c r="AR40" i="43"/>
  <c r="AR42" i="43" s="1"/>
  <c r="AG187" i="43"/>
  <c r="AR181" i="43"/>
  <c r="AR187" i="43" s="1"/>
  <c r="AG120" i="43"/>
  <c r="AR117" i="43"/>
  <c r="AR120" i="43" s="1"/>
  <c r="AG243" i="43"/>
  <c r="AR238" i="43"/>
  <c r="AR243" i="43" s="1"/>
  <c r="AG357" i="43"/>
  <c r="AR351" i="43"/>
  <c r="AR357" i="43" s="1"/>
  <c r="AG116" i="43"/>
  <c r="AR114" i="43"/>
  <c r="AR116" i="43" s="1"/>
  <c r="AG55" i="43"/>
  <c r="AR53" i="43"/>
  <c r="AR55" i="43" s="1"/>
  <c r="AG375" i="43"/>
  <c r="AR374" i="43"/>
  <c r="AR375" i="43" s="1"/>
  <c r="AG70" i="44"/>
  <c r="AR19" i="44"/>
  <c r="AR28" i="44"/>
  <c r="AG19" i="44"/>
  <c r="AV138" i="44"/>
  <c r="AU131" i="44"/>
  <c r="AG142" i="44"/>
  <c r="AV137" i="44"/>
  <c r="AR30" i="44"/>
  <c r="AR35" i="44" s="1"/>
  <c r="AG124" i="44"/>
  <c r="AR12" i="44"/>
  <c r="AR13" i="44" s="1"/>
  <c r="AG138" i="44"/>
  <c r="AG35" i="44"/>
  <c r="AS134" i="44"/>
  <c r="AG115" i="44"/>
  <c r="AR114" i="44"/>
  <c r="AR115" i="44" s="1"/>
  <c r="AG107" i="44"/>
  <c r="AR106" i="44"/>
  <c r="AR107" i="44" s="1"/>
  <c r="AV141" i="44"/>
  <c r="AG13" i="44"/>
  <c r="AV144" i="44"/>
  <c r="AG70" i="43"/>
  <c r="AG174" i="43"/>
  <c r="AG86" i="43"/>
  <c r="AG28" i="44"/>
  <c r="AU144" i="44"/>
  <c r="AG143" i="44"/>
  <c r="AG422" i="43"/>
  <c r="AG52" i="43"/>
  <c r="AG429" i="43"/>
  <c r="AA131" i="44"/>
  <c r="AG105" i="43"/>
  <c r="AG84" i="44"/>
  <c r="AU141" i="44"/>
  <c r="AG130" i="44"/>
  <c r="AG63" i="44"/>
  <c r="AA134" i="44"/>
  <c r="AG237" i="43"/>
  <c r="AS465" i="43"/>
  <c r="AG132" i="43"/>
  <c r="AG79" i="43"/>
  <c r="AG272" i="43"/>
  <c r="AG145" i="43"/>
  <c r="AG109" i="43"/>
  <c r="AG476" i="43"/>
  <c r="AG344" i="43"/>
  <c r="AG392" i="43"/>
  <c r="AG478" i="43"/>
  <c r="AG113" i="43"/>
  <c r="AG13" i="43"/>
  <c r="AG296" i="43"/>
  <c r="AR12" i="43"/>
  <c r="AR13" i="43" s="1"/>
  <c r="AG18" i="43"/>
  <c r="AG350" i="43"/>
  <c r="AG471" i="43"/>
  <c r="AG472" i="43"/>
  <c r="AG35" i="43"/>
  <c r="AG90" i="43"/>
  <c r="AG27" i="43"/>
  <c r="AG399" i="43"/>
  <c r="AG82" i="43"/>
  <c r="AG328" i="43"/>
  <c r="AG316" i="43"/>
  <c r="AS131" i="44"/>
  <c r="AG101" i="44"/>
  <c r="AG136" i="44"/>
  <c r="AR136" i="44"/>
  <c r="AG200" i="43"/>
  <c r="AG324" i="43"/>
  <c r="AG283" i="43"/>
  <c r="AG436" i="43"/>
  <c r="AG125" i="43"/>
  <c r="AG406" i="43"/>
  <c r="AG168" i="43"/>
  <c r="AG369" i="43"/>
  <c r="AG151" i="43"/>
  <c r="AG457" i="43"/>
  <c r="AG409" i="43"/>
  <c r="AG388" i="43"/>
  <c r="AG332" i="43"/>
  <c r="AG249" i="43"/>
  <c r="AG46" i="43"/>
  <c r="AG477" i="43"/>
  <c r="AG206" i="43"/>
  <c r="AG266" i="43"/>
  <c r="AG262" i="43"/>
  <c r="AG49" i="44"/>
  <c r="AA465" i="43"/>
  <c r="AX131" i="44"/>
  <c r="AR144" i="44"/>
  <c r="AG77" i="44"/>
  <c r="AG135" i="44"/>
  <c r="AC134" i="44"/>
  <c r="AG469" i="43"/>
  <c r="AG322" i="43"/>
  <c r="AC465" i="43"/>
  <c r="AV475" i="43"/>
  <c r="AG105" i="44"/>
  <c r="AG256" i="43"/>
  <c r="AB465" i="43"/>
  <c r="AC131" i="44"/>
  <c r="AX465" i="43"/>
  <c r="AG470" i="43"/>
  <c r="AV136" i="44"/>
  <c r="AC468" i="43"/>
  <c r="AB468" i="43"/>
  <c r="AA468" i="43"/>
  <c r="AU477" i="43"/>
  <c r="AR137" i="44"/>
  <c r="AX134" i="44"/>
  <c r="AG475" i="43"/>
  <c r="AS468" i="43"/>
  <c r="AV471" i="43"/>
  <c r="AG258" i="43"/>
  <c r="AB134" i="44"/>
  <c r="AU471" i="43"/>
  <c r="AV469" i="43"/>
  <c r="AU469" i="43"/>
  <c r="AU135" i="44"/>
  <c r="AB131" i="44"/>
  <c r="AX468" i="43"/>
  <c r="AV478" i="43"/>
  <c r="AU470" i="43"/>
  <c r="AR472" i="43"/>
  <c r="AV135" i="44"/>
  <c r="AV477" i="43"/>
  <c r="AV470" i="43"/>
  <c r="AG312" i="43"/>
  <c r="AG443" i="43"/>
  <c r="AG382" i="43"/>
  <c r="AG225" i="43"/>
  <c r="AG213" i="43"/>
  <c r="AG59" i="43"/>
  <c r="AG415" i="43"/>
  <c r="AG157" i="43"/>
  <c r="AG219" i="43"/>
  <c r="AG450" i="43"/>
  <c r="AG298" i="43"/>
  <c r="AG102" i="43"/>
  <c r="AG39" i="43"/>
  <c r="AG98" i="43"/>
  <c r="AG466" i="43" l="1"/>
  <c r="AG467" i="43"/>
  <c r="AG132" i="44"/>
  <c r="AG133" i="44"/>
  <c r="AR141" i="44"/>
  <c r="AR138" i="44"/>
  <c r="AV131" i="44"/>
  <c r="AR132" i="43"/>
  <c r="AR465" i="43" s="1"/>
  <c r="AU134" i="44"/>
  <c r="AR143" i="44"/>
  <c r="AG131" i="44"/>
  <c r="AR478" i="43"/>
  <c r="AR475" i="43"/>
  <c r="AG134" i="44"/>
  <c r="AR471" i="43"/>
  <c r="AV465" i="43"/>
  <c r="AR135" i="44"/>
  <c r="AR131" i="44"/>
  <c r="AG465" i="43"/>
  <c r="AV134" i="44"/>
  <c r="AU465" i="43"/>
  <c r="AG468" i="43"/>
  <c r="AU468" i="43"/>
  <c r="AR469" i="43"/>
  <c r="AR470" i="43"/>
  <c r="AR477" i="43"/>
  <c r="AV468" i="43"/>
  <c r="E23" i="47"/>
  <c r="L23" i="47"/>
  <c r="AR133" i="44" l="1"/>
  <c r="AR467" i="43"/>
  <c r="AR466" i="43"/>
  <c r="AR132" i="44"/>
  <c r="AR134" i="44"/>
  <c r="AR468" i="43"/>
  <c r="L26" i="47"/>
  <c r="E26" i="47"/>
  <c r="AQ26" i="47" l="1"/>
  <c r="AQ23" i="47"/>
  <c r="AA26" i="47" l="1"/>
  <c r="AA23" i="47"/>
  <c r="J23" i="47" l="1"/>
  <c r="F23" i="47"/>
  <c r="I23" i="47"/>
  <c r="G23" i="47"/>
  <c r="M23" i="47"/>
  <c r="H23" i="47"/>
  <c r="B23" i="47"/>
  <c r="C23" i="47"/>
  <c r="H24" i="47" l="1"/>
  <c r="B24" i="47"/>
  <c r="F26" i="47"/>
  <c r="AH23" i="47" l="1"/>
  <c r="AG23" i="47"/>
  <c r="AI26" i="47" l="1"/>
  <c r="G26" i="47" l="1"/>
  <c r="AJ23" i="47"/>
  <c r="N23" i="47"/>
  <c r="Y23" i="47"/>
  <c r="R23" i="47"/>
  <c r="AI23" i="47"/>
  <c r="AJ24" i="47" s="1"/>
  <c r="N26" i="47"/>
  <c r="C26" i="47"/>
  <c r="Y26" i="47"/>
  <c r="AH26" i="47"/>
  <c r="AJ25" i="47" s="1"/>
  <c r="R26" i="47"/>
  <c r="H26" i="47"/>
  <c r="B26" i="47"/>
  <c r="AF26" i="47"/>
  <c r="AG26" i="47"/>
  <c r="I26" i="47"/>
  <c r="M26" i="47"/>
  <c r="AJ26" i="47"/>
  <c r="AF23" i="47"/>
  <c r="B25" i="47" l="1"/>
  <c r="AB23" i="47"/>
  <c r="AI24" i="47" s="1"/>
  <c r="Q23" i="47"/>
  <c r="Q26" i="47"/>
  <c r="AB26" i="47"/>
  <c r="AI25" i="47" s="1"/>
  <c r="W23" i="47" l="1"/>
  <c r="X23" i="47"/>
  <c r="AP23" i="47"/>
  <c r="W26" i="47"/>
  <c r="X26" i="47"/>
  <c r="AP26" i="47"/>
  <c r="Y24" i="47" l="1"/>
  <c r="Y25" i="47"/>
  <c r="AC23" i="47"/>
  <c r="AH24" i="47" s="1"/>
  <c r="AR23" i="47"/>
  <c r="AS23" i="47"/>
  <c r="AS26" i="47"/>
  <c r="AR26" i="47"/>
  <c r="AC26" i="47"/>
  <c r="AH25" i="47" s="1"/>
  <c r="AQ24" i="47" l="1"/>
  <c r="AQ25" i="47"/>
  <c r="J26" i="47" l="1"/>
  <c r="H25" i="47" s="1"/>
  <c r="K26" i="47" l="1"/>
  <c r="O25" i="47" s="1"/>
  <c r="AM23" i="47" l="1"/>
  <c r="K23" i="47"/>
  <c r="P23" i="47"/>
  <c r="S23" i="47"/>
  <c r="P26" i="47"/>
  <c r="S25" i="47" s="1"/>
  <c r="K24" i="47" l="1"/>
  <c r="S24" i="47"/>
  <c r="P24" i="47"/>
  <c r="O24" i="47"/>
  <c r="AL26" i="47"/>
  <c r="AL23" i="47"/>
  <c r="S26" i="47"/>
  <c r="O23" i="47"/>
  <c r="T24" i="47" s="1"/>
  <c r="AM26" i="47"/>
  <c r="O26" i="47"/>
  <c r="V23" i="47"/>
  <c r="U23" i="47" l="1"/>
  <c r="T25" i="47"/>
  <c r="AO23" i="47"/>
  <c r="V26" i="47"/>
  <c r="T23" i="47"/>
  <c r="Z23" i="47"/>
  <c r="T26" i="47"/>
  <c r="Z24" i="47" l="1"/>
  <c r="AN23" i="47"/>
  <c r="AK24" i="47" s="1"/>
  <c r="U26" i="47"/>
  <c r="Z25" i="47" s="1"/>
  <c r="AK23" i="47"/>
  <c r="AO26" i="47"/>
  <c r="Z26" i="47"/>
  <c r="AN26" i="47" l="1"/>
  <c r="AK25" i="47" s="1"/>
  <c r="AK26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AE12" authorId="0" shapeId="0" xr:uid="{025F80B1-5CF1-4412-AAF2-CB614B369389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navýšení normativních ONIV</t>
        </r>
      </text>
    </comment>
    <comment ref="AE212" authorId="0" shapeId="0" xr:uid="{7813E13F-75BC-4C11-8A6E-0F1CBC8ABF02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navýšení normativních ONIV</t>
        </r>
      </text>
    </comment>
    <comment ref="U235" authorId="0" shapeId="0" xr:uid="{12EE8F15-6EC4-43DC-93F6-E9A248E59747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překračování kapacity</t>
        </r>
      </text>
    </comment>
    <comment ref="AE323" authorId="0" shapeId="0" xr:uid="{05F130FE-456B-4D7D-A875-E749837DE1AB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navýšení normativních ONIV</t>
        </r>
      </text>
    </comment>
    <comment ref="U441" authorId="0" shapeId="0" xr:uid="{B027B398-7C76-4782-9D89-C4C2B670F817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překračování kapacity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U21" authorId="0" shapeId="0" xr:uid="{C473D503-8CCD-4518-A2CB-EA6028D50419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žádost školy</t>
        </r>
      </text>
    </comment>
    <comment ref="AM21" authorId="0" shapeId="0" xr:uid="{1C5625E3-EBF2-41F2-9F8A-BBBD7D53D5F2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žádost školy</t>
        </r>
      </text>
    </comment>
    <comment ref="AN21" authorId="0" shapeId="0" xr:uid="{B169293B-11AD-431B-9174-2D4545C8FC63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žádost školy</t>
        </r>
      </text>
    </comment>
    <comment ref="AE27" authorId="0" shapeId="0" xr:uid="{D1FF45DD-ECBF-433A-A91E-2FA63D08B7ED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navýšení normativních ONIV</t>
        </r>
      </text>
    </comment>
    <comment ref="U86" authorId="0" shapeId="0" xr:uid="{87936C32-0312-48E8-954A-C016FD9C7D7B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žádost školy</t>
        </r>
      </text>
    </comment>
    <comment ref="AM86" authorId="0" shapeId="0" xr:uid="{87C59AAF-7DDC-49B8-904B-67A3E18EA090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žádost školy</t>
        </r>
      </text>
    </comment>
    <comment ref="U92" authorId="0" shapeId="0" xr:uid="{803B741C-EBD0-4B7C-8A0D-2EAA1D876C2D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překračování kapacity</t>
        </r>
      </text>
    </comment>
    <comment ref="AE106" authorId="0" shapeId="0" xr:uid="{35999FF4-7BE2-4D19-B1DE-B3818D1CA1D7}">
      <text>
        <r>
          <rPr>
            <b/>
            <sz val="9"/>
            <color indexed="81"/>
            <rFont val="Tahoma"/>
            <charset val="1"/>
          </rPr>
          <t>Parmová Kateřina:</t>
        </r>
        <r>
          <rPr>
            <sz val="9"/>
            <color indexed="81"/>
            <rFont val="Tahoma"/>
            <charset val="1"/>
          </rPr>
          <t xml:space="preserve">
navýšení normativních ONIV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U113" authorId="0" shapeId="0" xr:uid="{BA4544AD-4FE2-47A6-9308-E42BF473FD80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výdej MŠ Montessori</t>
        </r>
      </text>
    </comment>
    <comment ref="U156" authorId="0" shapeId="0" xr:uid="{3E9C9469-0D67-4826-89FD-B464C192EDF3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1 žák podle §41 nad kapacitu školy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U72" authorId="0" shapeId="0" xr:uid="{A49F2B61-0D45-4590-9EEF-9E3F4B74C999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převod do ONIV náhrady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AM18" authorId="0" shapeId="0" xr:uid="{096CC713-7C32-42C6-81AD-26B42EE0F157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oprava (+1 úv. pedagoga)</t>
        </r>
      </text>
    </comment>
    <comment ref="AM23" authorId="0" shapeId="0" xr:uid="{44230B23-EA42-4398-920C-34E9199CFA52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oprava (+1 úv. pedagoga)</t>
        </r>
      </text>
    </comment>
    <comment ref="U63" authorId="0" shapeId="0" xr:uid="{7078046A-D84E-48C8-8FA3-EF4DFAB372F1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nárůst počtu účastníků od 1.1.2023</t>
        </r>
      </text>
    </comment>
    <comment ref="U137" authorId="0" shapeId="0" xr:uid="{9D4B736D-F45F-459D-81C9-3BF5CDB696F3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dodatečně jazyková příprava +132 hodin na 1-6/2023</t>
        </r>
      </text>
    </comment>
    <comment ref="AM137" authorId="0" shapeId="0" xr:uid="{7F39820E-B665-4556-9E39-13F50F2CA60C}">
      <text>
        <r>
          <rPr>
            <b/>
            <sz val="11"/>
            <color indexed="81"/>
            <rFont val="Tahoma"/>
            <charset val="1"/>
          </rPr>
          <t>Luňáčková Miroslava:</t>
        </r>
        <r>
          <rPr>
            <sz val="11"/>
            <color indexed="81"/>
            <rFont val="Tahoma"/>
            <charset val="1"/>
          </rPr>
          <t xml:space="preserve">
dodatečně jazyková příprava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U91" authorId="0" shapeId="0" xr:uid="{1FD6176B-F55E-4650-9F91-E92CAB7E7BC8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nové oddělení ŠD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U36" authorId="0" shapeId="0" xr:uid="{844675A7-7525-4F97-8564-A41F3DBFB57D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překročení kapacity u ŠD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U91" authorId="0" shapeId="0" xr:uid="{BA4FEB2C-5E69-493C-A10E-398AA90E2B08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 
d</t>
        </r>
        <r>
          <rPr>
            <sz val="9"/>
            <color indexed="81"/>
            <rFont val="Tahoma"/>
            <family val="2"/>
            <charset val="238"/>
          </rPr>
          <t>ofinacování 6 hod.ped</t>
        </r>
      </text>
    </comment>
  </commentList>
</comments>
</file>

<file path=xl/sharedStrings.xml><?xml version="1.0" encoding="utf-8"?>
<sst xmlns="http://schemas.openxmlformats.org/spreadsheetml/2006/main" count="6033" uniqueCount="855">
  <si>
    <t>§</t>
  </si>
  <si>
    <t>FKSP</t>
  </si>
  <si>
    <t>Krajský úřad Libereckého kraje</t>
  </si>
  <si>
    <t>U Jezu 642/2a, Liberec 2, 461 80</t>
  </si>
  <si>
    <t>Odbor školství, mládeže, tělovýchovy a sportu</t>
  </si>
  <si>
    <t>Odvody</t>
  </si>
  <si>
    <t>Celkem NIV</t>
  </si>
  <si>
    <t xml:space="preserve">ONIV </t>
  </si>
  <si>
    <t>DDM Jablonec n. N., Podhorská 49</t>
  </si>
  <si>
    <t>DDM Jablonec n. N., Podhorská 49 Celkem</t>
  </si>
  <si>
    <t>MŠ Jablonec n. N., 28.října 16/1858</t>
  </si>
  <si>
    <t>MŠ Jablonec n. N., 28.října 16/1858 Celkem</t>
  </si>
  <si>
    <t xml:space="preserve">MŠ Jablonec n. N., Arbesova 50/3779 </t>
  </si>
  <si>
    <t>MŠ Jablonec n. N., Arbesova 50/3779  Celkem</t>
  </si>
  <si>
    <t>MŠ Jablonec n. N., Čs. armády 37</t>
  </si>
  <si>
    <t>MŠ Jablonec n. N., Čs. armády 37 Celkem</t>
  </si>
  <si>
    <t xml:space="preserve">MŠ Jablonec n. N., Dolní 3969 </t>
  </si>
  <si>
    <t>MŠ Jablonec n. N., Dolní 3969  Celkem</t>
  </si>
  <si>
    <t>MŠ Jablonec n. N., Havlíčkova 4/130</t>
  </si>
  <si>
    <t>MŠ Jablonec n. N., Havlíčkova 4/130 Celkem</t>
  </si>
  <si>
    <t>MŠ Jablonec n. N., Hřbitovní 10/3677</t>
  </si>
  <si>
    <t>MŠ Jablonec n. N., Hřbitovní 10/3677 Celkem</t>
  </si>
  <si>
    <t>MŠ Jablonec n. N., Husova 3/1444</t>
  </si>
  <si>
    <t>MŠ Jablonec n. N., Husova 3/1444 Celkem</t>
  </si>
  <si>
    <t xml:space="preserve">MŠ Jablonec n. N., J. Hory 31/4097 </t>
  </si>
  <si>
    <t>MŠ Jablonec n. N., J. Hory 31/4097  Celkem</t>
  </si>
  <si>
    <t>MŠ Jablonec n. N., Jugoslávská 13/1885</t>
  </si>
  <si>
    <t>MŠ Jablonec n. N., Jugoslávská 13/1885 Celkem</t>
  </si>
  <si>
    <t xml:space="preserve">MŠ Jablonec n. N., Lovecká 11/249 </t>
  </si>
  <si>
    <t>MŠ Jablonec n. N., Lovecká 11/249  Celkem</t>
  </si>
  <si>
    <t>MŠ Jablonec n. N., Mechová 10/3645</t>
  </si>
  <si>
    <t>MŠ Jablonec n. N., Mechová 10/3645 Celkem</t>
  </si>
  <si>
    <t xml:space="preserve">MŠ Jablonec n. N., Nová Pasířská 10/3825 </t>
  </si>
  <si>
    <t>MŠ Jablonec n. N., Nová Pasířská 10/3825</t>
  </si>
  <si>
    <t>MŠ Jablonec n. N., Nová Pasířská 10/3825 Celkem</t>
  </si>
  <si>
    <t>MŠ Jablonec n. N., Slunečná 9/336</t>
  </si>
  <si>
    <t xml:space="preserve">MŠ Jablonec n. N., Slunečná 9/336 </t>
  </si>
  <si>
    <t>MŠ Jablonec n. N., Slunečná 9/336 Celkem</t>
  </si>
  <si>
    <t xml:space="preserve">MŠ Jablonec n. N., Střelecká 14/1067 </t>
  </si>
  <si>
    <t>MŠ Jablonec n. N., Střelecká 14/1067  Celkem</t>
  </si>
  <si>
    <t>MŠ Jablonec n. N., Švédská 14/3494</t>
  </si>
  <si>
    <t>MŠ Jablonec n. N., Švédská 14/3494 Celkem</t>
  </si>
  <si>
    <t>MŠ Jablonec n. N., Tichá 19/3892</t>
  </si>
  <si>
    <t>MŠ Jablonec n. N., Tichá 19/3892 Celkem</t>
  </si>
  <si>
    <t xml:space="preserve">MŠ Jablonec n. N., Zámecká 10/223 </t>
  </si>
  <si>
    <t>MŠ Jablonec n. N., Zámecká 10/223  Celkem</t>
  </si>
  <si>
    <t>MŠ spec. Jablonec n. N., Palackého 37 Celkem</t>
  </si>
  <si>
    <t>ZŠ Jablonec n. N., 5. května 76</t>
  </si>
  <si>
    <t>ZŠ Jablonec n. N., 5. května 76 Celkem</t>
  </si>
  <si>
    <t>ZŠ Jablonec n. N., Arbesova 30</t>
  </si>
  <si>
    <t>ZŠ Jablonec n. N., Arbesova 30 Celkem</t>
  </si>
  <si>
    <t>ZŠ Jablonec n. N., Liberecká 26</t>
  </si>
  <si>
    <t>ZŠ Jablonec n. N., Liberecká 26 Celkem</t>
  </si>
  <si>
    <t>ZŠ Jablonec n. N., Mozartova 24</t>
  </si>
  <si>
    <t>ZŠ Jablonec n. N., Mozartova 24 Celkem</t>
  </si>
  <si>
    <t>ZŠ Jablonec n. N., Na Šumavě 43</t>
  </si>
  <si>
    <t>ZŠ Jablonec n. N., Na Šumavě 43 Celkem</t>
  </si>
  <si>
    <t>ZŠ Jablonec n. N., Pasířská 72</t>
  </si>
  <si>
    <t>ZŠ Jablonec n. N., Pasířská 72 Celkem</t>
  </si>
  <si>
    <t>ZŠ Jablonec n. N., Pivovarská 15</t>
  </si>
  <si>
    <t>ZŠ Jablonec n. N., Pivovarská 15 Celkem</t>
  </si>
  <si>
    <t>ZŠ Jablonec n. N., Pod Vodárnou 10</t>
  </si>
  <si>
    <t>ZŠ Jablonec n. N., Pod Vodárnou 10 Celkem</t>
  </si>
  <si>
    <t>ZŠ Jablonec n. N., Rychnovská 216</t>
  </si>
  <si>
    <t>ZŠ Jablonec n. N., Rychnovská 216 Celkem</t>
  </si>
  <si>
    <t>ZUŠ Jablonec n. N., Podhorská 47</t>
  </si>
  <si>
    <t>ZUŠ Jablonec n. N., Podhorská 47 Celkem</t>
  </si>
  <si>
    <t>ZŠ a MŠ Janov n. N. 374</t>
  </si>
  <si>
    <t>ZŠ a MŠ Janov n. N. 374 Celkem</t>
  </si>
  <si>
    <t>ZŠ a MŠ Josefův Důl 208</t>
  </si>
  <si>
    <t>ZŠ a MŠ Josefův Důl 208 Celkem</t>
  </si>
  <si>
    <t>MŠ Lučany n. N. 570</t>
  </si>
  <si>
    <t>MŠ Lučany n. N. 570 Celkem</t>
  </si>
  <si>
    <t>ZŠ Lučany n. N. 420</t>
  </si>
  <si>
    <t>ZŠ Lučany n. N. 420 Celkem</t>
  </si>
  <si>
    <t>MŠ Maršovice 81</t>
  </si>
  <si>
    <t>MŠ Maršovice 81 Celkem</t>
  </si>
  <si>
    <t>ZŠ a MŠ Nová Ves n. N. 264</t>
  </si>
  <si>
    <t>ZŠ a MŠ Nová Ves n. N. 264 Celkem</t>
  </si>
  <si>
    <t>MŠ Rádlo 3</t>
  </si>
  <si>
    <t>MŠ Rádlo 3 Celkem</t>
  </si>
  <si>
    <t>ZŠ Rádlo 121</t>
  </si>
  <si>
    <t xml:space="preserve">ZŠ Rádlo 121 </t>
  </si>
  <si>
    <t>ZŠ Rádlo 121 Celkem</t>
  </si>
  <si>
    <t>ZŠ a MŠ Rychnov u Jabl. n. N., Školní 488</t>
  </si>
  <si>
    <t>ZŠ a MŠ Rychnov u Jabl. n. N., Školní 488 Celkem</t>
  </si>
  <si>
    <t>MŠ Tanvald, U Školky 579</t>
  </si>
  <si>
    <t>MŠ Tanvald, U Školky 579 Celkem</t>
  </si>
  <si>
    <t>SVČ Tanvald, Protifašistických boj. 336</t>
  </si>
  <si>
    <t>SVČ Tanvald, Protifašistických boj. 336 Celkem</t>
  </si>
  <si>
    <t>ZŠ a OA Tanvald, Školní 416 Celkem</t>
  </si>
  <si>
    <t>ZŠ Tanvald, Sportovní 576</t>
  </si>
  <si>
    <t>ZŠ Tanvald, Sportovní 576 Celkem</t>
  </si>
  <si>
    <t>ZUŠ Tanvald, Nemocniční 339</t>
  </si>
  <si>
    <t>ZUŠ Tanvald, Nemocniční 339 Celkem</t>
  </si>
  <si>
    <t>ZŠ a MŠ Albrechtice v Jiz. horách 226</t>
  </si>
  <si>
    <t>ZŠ a MŠ Albrechtice v Jiz. horách 226 Celkem</t>
  </si>
  <si>
    <t>ZŠ a MŠ Desná v Jiz. horách, Krkonošská 613</t>
  </si>
  <si>
    <t>ZŠ a MŠ Desná v Jiz. horách, Krkonošská 613 Celkem</t>
  </si>
  <si>
    <t>MŠ Harrachov 419</t>
  </si>
  <si>
    <t>MŠ Harrachov 419 Celkem</t>
  </si>
  <si>
    <t xml:space="preserve">ZŠ Harrachov, Nový Svět 77 </t>
  </si>
  <si>
    <t>ZŠ Harrachov, Nový Svět 77  Celkem</t>
  </si>
  <si>
    <t>ZŠ a MŠ Kořenov 800</t>
  </si>
  <si>
    <t>ZŠ a MŠ Kořenov 800 Celkem</t>
  </si>
  <si>
    <t>MŠ Plavy 24</t>
  </si>
  <si>
    <t>MŠ Plavy 24 Celkem</t>
  </si>
  <si>
    <t>ZŠ Plavy 65</t>
  </si>
  <si>
    <t>ZŠ Plavy 65 Celkem</t>
  </si>
  <si>
    <t>MŠ Smržovka, Havlíčkova 826</t>
  </si>
  <si>
    <t>MŠ Smržovka, Havlíčkova 826 Celkem</t>
  </si>
  <si>
    <t>ZŠ Smržovka, Komenského 964</t>
  </si>
  <si>
    <t>ZŠ Smržovka, Komenského 964 Celkem</t>
  </si>
  <si>
    <t>MŠ Velké Hamry I. 621</t>
  </si>
  <si>
    <t>MŠ Velké Hamry I.621</t>
  </si>
  <si>
    <t>MŠ Velké Hamry I.621 Celkem</t>
  </si>
  <si>
    <t>ZŠ a MŠ Velké Hamry II. 212</t>
  </si>
  <si>
    <t>ZŠ a MŠ Velké Hamry II.212 Celkem</t>
  </si>
  <si>
    <t>ZŠ a MŠ Zlatá Olešnice 34</t>
  </si>
  <si>
    <t>ZŠ a MŠ Zlatá Olešnice 34 Celkem</t>
  </si>
  <si>
    <t>MŠ  Železný Brod, Na Vápence 766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</si>
  <si>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</si>
  <si>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</si>
  <si>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</si>
  <si>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</si>
  <si>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</si>
  <si>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MŠ Železný Brod, Stavbařů 832 Celkem</t>
  </si>
  <si>
    <t>SVČ Mozaika Železný Brod, Jiráskovo nábřeží 366</t>
  </si>
  <si>
    <t>SVČ Mozaika Železný Brod, Jiráskovo nábřeží 366 Celkem</t>
  </si>
  <si>
    <t>ZŠ Železný Brod, Pelechovská 800</t>
  </si>
  <si>
    <t>ZŠ Železný Brod, Pelechovská 800 Celkem</t>
  </si>
  <si>
    <t>ZŠ Železný Brod, Školní 700</t>
  </si>
  <si>
    <t>ZŠ Železný Brod, Školní 700 Celkem</t>
  </si>
  <si>
    <t>ZUŠ Železný Brod, Koberovská 589</t>
  </si>
  <si>
    <t>ZUŠ Železný Brod, Koberovská 589 Celkem</t>
  </si>
  <si>
    <t>MŠ Koberovy 140</t>
  </si>
  <si>
    <t>MŠ Koberovy 140 Celkem</t>
  </si>
  <si>
    <t>ZŠ Koberovy 1</t>
  </si>
  <si>
    <t>ZŠ Koberovy 1 Celkem</t>
  </si>
  <si>
    <t>MŠ Pěnčín 62</t>
  </si>
  <si>
    <t>MŠ Pěnčín 62 Celkem</t>
  </si>
  <si>
    <t>ZŠ Pěnčín 22, Bratříkov</t>
  </si>
  <si>
    <t>ZŠ Pěnčín 22, Bratříkov Celkem</t>
  </si>
  <si>
    <t>ZŠ a MŠ Skuhrov, Huntířov n. J. 63</t>
  </si>
  <si>
    <t>ZŠ a MŠ Skuhrov, Huntířov n. J. 63 Celkem</t>
  </si>
  <si>
    <t>MŠ Zásada 326</t>
  </si>
  <si>
    <t>MŠ Zásada 326 Celkem</t>
  </si>
  <si>
    <t>ZŠ Zásada 264</t>
  </si>
  <si>
    <t>ZŠ Zásada 264 Celkem</t>
  </si>
  <si>
    <t>DDM Česká Lípa, Škroupovo nám. 138</t>
  </si>
  <si>
    <t>DDM Česká Lípa, Škroupovo nám. 138 Celkem</t>
  </si>
  <si>
    <t>MŠ Česká Lípa,  A.Sovy 1740</t>
  </si>
  <si>
    <t>MŠ Česká Lípa,  A.Sovy 1740 Celkem</t>
  </si>
  <si>
    <t>MŠ Česká Lípa, Arbesova 411</t>
  </si>
  <si>
    <t>MŠ Česká Lípa, Arbesova 411 Celkem</t>
  </si>
  <si>
    <t>MŠ Česká Lípa, Bratří Čapků 2864</t>
  </si>
  <si>
    <t>MŠ Česká Lípa, Bratří Čapků 2864 Celkem</t>
  </si>
  <si>
    <t>MŠ Česká Lípa, Moskevská 2434</t>
  </si>
  <si>
    <t>MŠ Česká Lípa, Moskevská 2434 Celkem</t>
  </si>
  <si>
    <t>MŠ Česká Lípa, Severní 2214</t>
  </si>
  <si>
    <t>MŠ Česká Lípa, Severní 2214 Celkem</t>
  </si>
  <si>
    <t>MŠ Česká Lípa, Svárovská 3315</t>
  </si>
  <si>
    <t>MŠ Česká Lípa, Svárovská 3315 Celkem</t>
  </si>
  <si>
    <t>MŠ Česká Lípa, Zhořelecká 2607</t>
  </si>
  <si>
    <t>MŠ Česká Lípa, Zhořelecká 2607 Celkem</t>
  </si>
  <si>
    <t>ŠJ Česká Lípa, 28. října 2733</t>
  </si>
  <si>
    <t>ŠJ Česká Lípa, 28. října 2733 Celkem</t>
  </si>
  <si>
    <t>ZŠ a MŠ Česká Lípa, Jižní 1903</t>
  </si>
  <si>
    <t>ZŠ a MŠ Česká Lípa, Jižní 1903 Celkem</t>
  </si>
  <si>
    <t>ZŠ Česká Lípa, 28.října 2733</t>
  </si>
  <si>
    <t>ZŠ Česká Lípa, 28.října 2733 Celkem</t>
  </si>
  <si>
    <t>ZŠ Česká Lípa, A. Sovy 3056</t>
  </si>
  <si>
    <t>ZŠ Česká Lípa, A. Sovy 3056 Celkem</t>
  </si>
  <si>
    <t xml:space="preserve">ZŠ Česká Lípa, Mánesova 1526 </t>
  </si>
  <si>
    <t>ZŠ Česká Lípa, Mánesova 1526  Celkem</t>
  </si>
  <si>
    <t>ZŠ Česká Lípa, Partyzánská 1053</t>
  </si>
  <si>
    <t>ZŠ Česká Lípa, Partyzánská 1053 Celkem</t>
  </si>
  <si>
    <t>ZŠ Česká Lípa, Pátova 406</t>
  </si>
  <si>
    <t>ZŠ Česká Lípa, Pátova 406 Celkem</t>
  </si>
  <si>
    <t>ZŠ Česká Lípa, Školní 2520</t>
  </si>
  <si>
    <t>ZŠ Česká Lípa, Školní 2520 Celkem</t>
  </si>
  <si>
    <t>ZŠ Česká Lípa, Šluknovská 2904</t>
  </si>
  <si>
    <t>ZŠ Česká Lípa, Šluknovská 2904 Celkem</t>
  </si>
  <si>
    <t>ZŠ, Prakt. škola a MŠ Česká Lípa, Moskevská 679</t>
  </si>
  <si>
    <t>ZŠ, Prakt. škola a MŠ Česká Lípa, Moskevská 679 Celkem</t>
  </si>
  <si>
    <t>ZUŠ Česká Lípa, Arbesova 2077</t>
  </si>
  <si>
    <t>ZUŠ Česká Lípa, Arbesova 2077 Celkem</t>
  </si>
  <si>
    <t>MŠ Blíževedly 55</t>
  </si>
  <si>
    <t>MŠ Blíževedly 55 Celkem</t>
  </si>
  <si>
    <t>ZŠ a MŠ Brniště 101</t>
  </si>
  <si>
    <t>ZŠ a MŠ Brniště 101 Celkem</t>
  </si>
  <si>
    <t>MŠ Doksy, Libušina 838</t>
  </si>
  <si>
    <t>MŠ Doksy, Libušina 838 Celkem</t>
  </si>
  <si>
    <t>MŠ Doksy, Pražská 836</t>
  </si>
  <si>
    <t>MŠ Doksy, Pražská 836 Celkem</t>
  </si>
  <si>
    <t>ZŠ a MŠ Doksy-Staré Splavy, Jezerní 74</t>
  </si>
  <si>
    <t>ZŠ a MŠ Doksy-Staré Splavy, Jezerní 74 Celkem</t>
  </si>
  <si>
    <t xml:space="preserve">ZŠ Doksy, Valdštejnská 253 </t>
  </si>
  <si>
    <t>ZŠ Doksy, Valdštejnská 253  Celkem</t>
  </si>
  <si>
    <t>ZUŠ Doksy, Sokolská 299</t>
  </si>
  <si>
    <t>ZUŠ Doksy, Sokolská 299 Celkem</t>
  </si>
  <si>
    <t>MŠ Dubá, Luční 28</t>
  </si>
  <si>
    <t>MŠ Dubá, Luční 28 Celkem</t>
  </si>
  <si>
    <t>ZŠ Dubá, Dlouhá 113</t>
  </si>
  <si>
    <t>ZŠ Dubá, Dlouhá 113 Celkem</t>
  </si>
  <si>
    <t>ZŠ a MŠ Dubnice 240</t>
  </si>
  <si>
    <t>ZŠ a MŠ Dubnice 240 Celkem</t>
  </si>
  <si>
    <t>ZŠ a MŠ Holany 45</t>
  </si>
  <si>
    <t>ZŠ a MŠ Holany 45 Celkem</t>
  </si>
  <si>
    <t>ZŠ a MŠ Horní Libchava 196</t>
  </si>
  <si>
    <t>ZŠ a MŠ Horní Libchava 196 Celkem</t>
  </si>
  <si>
    <t>MŠ Horní Police, Křižíkova 183</t>
  </si>
  <si>
    <t>MŠ Horní Police, Křižíkova 183 Celkem</t>
  </si>
  <si>
    <t>ZŠ Horní Police, 9. května 2</t>
  </si>
  <si>
    <t>ZŠ Horní Police, 9. května 2 Celkem</t>
  </si>
  <si>
    <t>ZŠ a MŠ Jestřebí 105</t>
  </si>
  <si>
    <t>ZŠ a MŠ Jestřebí 105 Celkem</t>
  </si>
  <si>
    <t>MŠ Kravaře, Úštěcká 43</t>
  </si>
  <si>
    <t>MŠ Kravaře, Úštěcká 43 Celkem</t>
  </si>
  <si>
    <t>ZŠ Kravaře, Školní 115</t>
  </si>
  <si>
    <t>ZŠ Kravaře, Školní 115 Celkem</t>
  </si>
  <si>
    <t>ZŠ a MŠ Mimoň, Mírová 81</t>
  </si>
  <si>
    <t>ZŠ a MŠ Mimoň, Mírová 81 Celkem</t>
  </si>
  <si>
    <t>ZŠ a MŠ Mimoň, Pod Ralskem 572</t>
  </si>
  <si>
    <t>ZŠ a MŠ Mimoň, Pod Ralskem 572 Celkem</t>
  </si>
  <si>
    <t>ZUŠ Mimoň, Mírová 119</t>
  </si>
  <si>
    <t>ZUŠ Mimoň, Mírová 119 Celkem</t>
  </si>
  <si>
    <t>MŠ Noviny pod Ralskem 116</t>
  </si>
  <si>
    <t>MŠ Noviny pod Ralskem 116 Celkem</t>
  </si>
  <si>
    <t>ZŠ a MŠ Nový Oldřichov 86</t>
  </si>
  <si>
    <t>ZŠ a MŠ Nový Oldřichov 86 Celkem</t>
  </si>
  <si>
    <t>ZŠ a MŠ Okna 3</t>
  </si>
  <si>
    <t>ZŠ a MŠ Okna 3 Celkem</t>
  </si>
  <si>
    <t>MŠ Provodín 1</t>
  </si>
  <si>
    <t>MŠ Provodín 1 Celkem</t>
  </si>
  <si>
    <t>ZŠ a MŠ Ralsko-Kuřivody 700</t>
  </si>
  <si>
    <t>ZŠ a MŠ Ralsko-Kuřivody 700 Celkem</t>
  </si>
  <si>
    <t>MŠ Sosnová 49</t>
  </si>
  <si>
    <t>MŠ Sosnová 49 Celkem</t>
  </si>
  <si>
    <t>ZŠ a MŠ Stráž p. R., Pionýrů 141</t>
  </si>
  <si>
    <t>ZŠ a MŠ Stráž p. R., Pionýrů 141 Celkem</t>
  </si>
  <si>
    <t>ZŠ a MŠ Volfartice 81</t>
  </si>
  <si>
    <t>ZŠ a MŠ Volfartice 81 Celkem</t>
  </si>
  <si>
    <t>ZŠ a MŠ Zahrádky u Č. L. 19</t>
  </si>
  <si>
    <t>ZŠ a MŠ Zahrádky u Č. L. 19 Celkem</t>
  </si>
  <si>
    <t>ZŠ a MŠ Zákupy, Školní 347</t>
  </si>
  <si>
    <t>ZŠ a MŠ Zákupy, Školní 347 Celkem</t>
  </si>
  <si>
    <t>ZŠ a MŠ Žandov, Kostelní 200</t>
  </si>
  <si>
    <t>ZŠ a MŠ Žandov, Kostelní 200 Celkem</t>
  </si>
  <si>
    <t>ZUŠ Žandov, Dlouhá 121</t>
  </si>
  <si>
    <t>ZUŠ Žandov, Dlouhá 121 Celkem</t>
  </si>
  <si>
    <t>SUMÁŘ</t>
  </si>
  <si>
    <t xml:space="preserve">PO III </t>
  </si>
  <si>
    <t>LB</t>
  </si>
  <si>
    <t>FR</t>
  </si>
  <si>
    <t>JN</t>
  </si>
  <si>
    <t>TA</t>
  </si>
  <si>
    <t>ŽB</t>
  </si>
  <si>
    <t>ČL</t>
  </si>
  <si>
    <t>NB</t>
  </si>
  <si>
    <t>SM</t>
  </si>
  <si>
    <t>JI</t>
  </si>
  <si>
    <t>TU</t>
  </si>
  <si>
    <t>Celkem</t>
  </si>
  <si>
    <t>kontrolní</t>
  </si>
  <si>
    <t>IČO</t>
  </si>
  <si>
    <t>druh činnosti</t>
  </si>
  <si>
    <t>RED_IZO</t>
  </si>
  <si>
    <t>ICO</t>
  </si>
  <si>
    <t>NIV_CELKEM</t>
  </si>
  <si>
    <t>Platy_CELKEM</t>
  </si>
  <si>
    <t>ODVODY_CELKEM</t>
  </si>
  <si>
    <t>FKSP_CELKEM</t>
  </si>
  <si>
    <t>ONIV_CELKEM</t>
  </si>
  <si>
    <t>ZAM_CELKEM</t>
  </si>
  <si>
    <t>Platy</t>
  </si>
  <si>
    <t>OON_CELKEM</t>
  </si>
  <si>
    <t>rozpočet sestavil</t>
  </si>
  <si>
    <t>MŠMT</t>
  </si>
  <si>
    <t>KÚ</t>
  </si>
  <si>
    <t>MŠ Jablonec n. N., Palackého 37</t>
  </si>
  <si>
    <t>Limit počtu zaměstnanců</t>
  </si>
  <si>
    <t>ped.</t>
  </si>
  <si>
    <t>neped.</t>
  </si>
  <si>
    <t>PLATY</t>
  </si>
  <si>
    <t>OON</t>
  </si>
  <si>
    <t>Mzdové prostředky celkem</t>
  </si>
  <si>
    <t xml:space="preserve">FKSP          </t>
  </si>
  <si>
    <t>ONIV</t>
  </si>
  <si>
    <t>LIMIT ZAMĚSTNANCŮ</t>
  </si>
  <si>
    <t>převody (platy-dohody)</t>
  </si>
  <si>
    <t>Podpůrná opatření</t>
  </si>
  <si>
    <t>Individuální úpravy</t>
  </si>
  <si>
    <t>celkem úprava limitu zaměstnanců</t>
  </si>
  <si>
    <t>Převody do OON</t>
  </si>
  <si>
    <t xml:space="preserve">Dohody </t>
  </si>
  <si>
    <t>Odstupné</t>
  </si>
  <si>
    <t>Individ. úpravy</t>
  </si>
  <si>
    <t>PLATY_UPR</t>
  </si>
  <si>
    <t>OON_UPR</t>
  </si>
  <si>
    <t>ODST_UPR</t>
  </si>
  <si>
    <t>MP_UPR</t>
  </si>
  <si>
    <t>ODV_UPR</t>
  </si>
  <si>
    <t>FKSP_UPR</t>
  </si>
  <si>
    <t>ONIV_UPR</t>
  </si>
  <si>
    <t>ONIVPO_UPR</t>
  </si>
  <si>
    <t>celkem</t>
  </si>
  <si>
    <t>PED_UPR</t>
  </si>
  <si>
    <t>NEPED_UPR</t>
  </si>
  <si>
    <t>ZAM_UPR</t>
  </si>
  <si>
    <t>Úprava NIV celkem</t>
  </si>
  <si>
    <t>NIV_UPR</t>
  </si>
  <si>
    <t>MŠ</t>
  </si>
  <si>
    <t>PO</t>
  </si>
  <si>
    <t>AP spec.tř.</t>
  </si>
  <si>
    <t>ZŠ</t>
  </si>
  <si>
    <t>ŠJ</t>
  </si>
  <si>
    <t>ZUŠ</t>
  </si>
  <si>
    <t>ŠK</t>
  </si>
  <si>
    <t>SVČ</t>
  </si>
  <si>
    <t xml:space="preserve">PO </t>
  </si>
  <si>
    <t>SŠ</t>
  </si>
  <si>
    <t>AP SŠ</t>
  </si>
  <si>
    <t>DDM Nový Bor, Smetanova 387</t>
  </si>
  <si>
    <t>DDM Nový Bor, Smetanova 387 Celkem</t>
  </si>
  <si>
    <t>MŠ Nový Bor, Svojsíkova 754</t>
  </si>
  <si>
    <t xml:space="preserve">MŠ </t>
  </si>
  <si>
    <t>MŠ Nový Bor, Svojsíkova 754 Celkem</t>
  </si>
  <si>
    <t>600074943</t>
  </si>
  <si>
    <t>ZŠ Nový Bor, B. Němcové 539</t>
  </si>
  <si>
    <t xml:space="preserve">ZŠ 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</si>
  <si>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</si>
  <si>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</si>
  <si>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</si>
  <si>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</si>
  <si>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</si>
  <si>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</si>
  <si>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</si>
  <si>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</si>
  <si>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</si>
  <si>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</si>
  <si>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</si>
  <si>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</si>
  <si>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</si>
  <si>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</si>
  <si>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 Cvikov, Sad 5. května 130/I</t>
  </si>
  <si>
    <t xml:space="preserve">ZŠ  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</si>
  <si>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</si>
  <si>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</si>
  <si>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</si>
  <si>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</si>
  <si>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</si>
  <si>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</si>
  <si>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</si>
  <si>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 xml:space="preserve">MŠ  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</si>
  <si>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</si>
  <si>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</si>
  <si>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</si>
  <si>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</si>
  <si>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</si>
  <si>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</si>
  <si>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</si>
  <si>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</si>
  <si>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</si>
  <si>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</si>
  <si>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</si>
  <si>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</si>
  <si>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</si>
  <si>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</si>
  <si>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</si>
  <si>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</si>
  <si>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</si>
  <si>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MŠ Semily, Na Olešce 433</t>
  </si>
  <si>
    <t>MŠ Semily, Na Olešce 433 Celkem</t>
  </si>
  <si>
    <t>MŠ Semily, Pekárenská 468</t>
  </si>
  <si>
    <t>MŠ Semily, Pekárenská 468 Celkem</t>
  </si>
  <si>
    <t>MŠ Semily, Pod Vartou 609 Celkem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</si>
  <si>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</si>
  <si>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</si>
  <si>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</si>
  <si>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</si>
  <si>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</si>
  <si>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</si>
  <si>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</si>
  <si>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</si>
  <si>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</si>
  <si>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</si>
  <si>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</si>
  <si>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</si>
  <si>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</si>
  <si>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</si>
  <si>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</si>
  <si>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</si>
  <si>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</si>
  <si>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</si>
  <si>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</si>
  <si>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</si>
  <si>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</si>
  <si>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</si>
  <si>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</si>
  <si>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</si>
  <si>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</si>
  <si>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</si>
  <si>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</si>
  <si>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</si>
  <si>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</si>
  <si>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</si>
  <si>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 Lomnice n. P., Komenského 1037</t>
  </si>
  <si>
    <t xml:space="preserve">SVČ </t>
  </si>
  <si>
    <t>SVČ  Lomnice n. P., Komenského 1037 Celkem</t>
  </si>
  <si>
    <t>MŠ Lomnice n. P., Bezručova 1534</t>
  </si>
  <si>
    <t>MŠ Lomnice n. P., Bezručova 1534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</si>
  <si>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</si>
  <si>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</si>
  <si>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</si>
  <si>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</si>
  <si>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</si>
  <si>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</si>
  <si>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</si>
  <si>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 xml:space="preserve">ZUŠ 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</si>
  <si>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</si>
  <si>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</si>
  <si>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</si>
  <si>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</si>
  <si>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</si>
  <si>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</si>
  <si>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</si>
  <si>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</si>
  <si>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</si>
  <si>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</si>
  <si>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</si>
  <si>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</si>
  <si>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</si>
  <si>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ZŠ Jilemnice, Jana Harracha 97</t>
  </si>
  <si>
    <t>ZŠ Jilemnice, Jana Harracha 97 Celkem</t>
  </si>
  <si>
    <t>ZŠ Jilemnice, Komenského 288</t>
  </si>
  <si>
    <t xml:space="preserve">ŠK 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</si>
  <si>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</si>
  <si>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</si>
  <si>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</si>
  <si>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</si>
  <si>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</si>
  <si>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</si>
  <si>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</si>
  <si>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</si>
  <si>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</si>
  <si>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</si>
  <si>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</si>
  <si>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</si>
  <si>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</si>
  <si>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</si>
  <si>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</si>
  <si>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</si>
  <si>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</si>
  <si>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</si>
  <si>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</si>
  <si>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</si>
  <si>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</si>
  <si>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</si>
  <si>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</si>
  <si>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</si>
  <si>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</si>
  <si>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</si>
  <si>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</si>
  <si>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</si>
  <si>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</si>
  <si>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</si>
  <si>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</si>
  <si>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</si>
  <si>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</si>
  <si>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</si>
  <si>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</si>
  <si>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</si>
  <si>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</si>
  <si>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</si>
  <si>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 xml:space="preserve"> ŠK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</si>
  <si>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</si>
  <si>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</si>
  <si>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</si>
  <si>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</si>
  <si>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</si>
  <si>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</si>
  <si>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</si>
  <si>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</si>
  <si>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</si>
  <si>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</si>
  <si>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</si>
  <si>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</si>
  <si>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</si>
  <si>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</si>
  <si>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</si>
  <si>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</si>
  <si>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</si>
  <si>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</si>
  <si>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</si>
  <si>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</si>
  <si>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</si>
  <si>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</si>
  <si>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</si>
  <si>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</si>
  <si>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</si>
  <si>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</si>
  <si>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</si>
  <si>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</si>
  <si>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</si>
  <si>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</si>
  <si>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</si>
  <si>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</si>
  <si>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</si>
  <si>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</si>
  <si>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</si>
  <si>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</si>
  <si>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</si>
  <si>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</si>
  <si>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</si>
  <si>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</si>
  <si>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</si>
  <si>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</si>
  <si>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</si>
  <si>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32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</si>
  <si>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</si>
  <si>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</si>
  <si>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</si>
  <si>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</si>
  <si>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</si>
  <si>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</si>
  <si>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</si>
  <si>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</si>
  <si>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</si>
  <si>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</si>
  <si>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</si>
  <si>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</si>
  <si>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</si>
  <si>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</si>
  <si>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</si>
  <si>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</si>
  <si>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</si>
  <si>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</si>
  <si>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</si>
  <si>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</si>
  <si>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</si>
  <si>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</si>
  <si>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</si>
  <si>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</si>
  <si>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</si>
  <si>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</si>
  <si>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</si>
  <si>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</si>
  <si>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</si>
  <si>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</si>
  <si>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</si>
  <si>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</si>
  <si>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</si>
  <si>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</si>
  <si>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</si>
  <si>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</si>
  <si>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</si>
  <si>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</si>
  <si>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</si>
  <si>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ZŠ spec.</t>
  </si>
  <si>
    <t>č. KÚ</t>
  </si>
  <si>
    <t>RED IZO</t>
  </si>
  <si>
    <t>por</t>
  </si>
  <si>
    <t>c_KU</t>
  </si>
  <si>
    <t>Zkr_nazev</t>
  </si>
  <si>
    <t>druh_cinnosti</t>
  </si>
  <si>
    <t>ZAM_PED</t>
  </si>
  <si>
    <t>ZAM_NEPED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</si>
  <si>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</si>
  <si>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</si>
  <si>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</si>
  <si>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</si>
  <si>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</si>
  <si>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</si>
  <si>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</si>
  <si>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</si>
  <si>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</si>
  <si>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</si>
  <si>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</si>
  <si>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</si>
  <si>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</si>
  <si>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</si>
  <si>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</si>
  <si>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</si>
  <si>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</si>
  <si>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</si>
  <si>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</si>
  <si>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</si>
  <si>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</si>
  <si>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</si>
  <si>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</si>
  <si>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</si>
  <si>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</si>
  <si>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</si>
  <si>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</si>
  <si>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</si>
  <si>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</si>
  <si>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</si>
  <si>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</si>
  <si>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</si>
  <si>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</si>
  <si>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</si>
  <si>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</si>
  <si>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</si>
  <si>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</si>
  <si>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</si>
  <si>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</si>
  <si>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</si>
  <si>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</si>
  <si>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</si>
  <si>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</si>
  <si>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</si>
  <si>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</si>
  <si>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</si>
  <si>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</si>
  <si>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</si>
  <si>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</si>
  <si>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</si>
  <si>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</si>
  <si>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</si>
  <si>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</si>
  <si>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</si>
  <si>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</si>
  <si>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</si>
  <si>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</si>
  <si>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</si>
  <si>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</si>
  <si>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</si>
  <si>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</si>
  <si>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ŠD ped.</t>
  </si>
  <si>
    <t>ŠD neped.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</si>
  <si>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</si>
  <si>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</si>
  <si>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</si>
  <si>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</si>
  <si>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</si>
  <si>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</si>
  <si>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</si>
  <si>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</si>
  <si>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</si>
  <si>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</si>
  <si>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</si>
  <si>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</si>
  <si>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</si>
  <si>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</si>
  <si>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</si>
  <si>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</si>
  <si>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</si>
  <si>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</si>
  <si>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</si>
  <si>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</si>
  <si>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</si>
  <si>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</si>
  <si>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</si>
  <si>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</si>
  <si>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</si>
  <si>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</si>
  <si>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</si>
  <si>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</si>
  <si>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</si>
  <si>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</si>
  <si>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</si>
  <si>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</si>
  <si>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</si>
  <si>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</si>
  <si>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</si>
  <si>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</si>
  <si>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</si>
  <si>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</si>
  <si>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</si>
  <si>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</si>
  <si>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</si>
  <si>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</si>
  <si>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</si>
  <si>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</si>
  <si>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</si>
  <si>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</si>
  <si>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</si>
  <si>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</si>
  <si>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</si>
  <si>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</si>
  <si>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</si>
  <si>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</si>
  <si>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</si>
  <si>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</si>
  <si>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</si>
  <si>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</si>
  <si>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</si>
  <si>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</si>
  <si>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</si>
  <si>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</si>
  <si>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</si>
  <si>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</si>
  <si>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</si>
  <si>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</si>
  <si>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</si>
  <si>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</si>
  <si>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</si>
  <si>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</si>
  <si>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</si>
  <si>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</si>
  <si>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</si>
  <si>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</si>
  <si>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</si>
  <si>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</si>
  <si>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</si>
  <si>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</si>
  <si>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</si>
  <si>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</si>
  <si>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</si>
  <si>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</si>
  <si>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</si>
  <si>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</si>
  <si>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</si>
  <si>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</si>
  <si>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</si>
  <si>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</si>
  <si>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</si>
  <si>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</si>
  <si>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</si>
  <si>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</si>
  <si>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</si>
  <si>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</si>
  <si>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</si>
  <si>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</si>
  <si>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</si>
  <si>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</si>
  <si>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</si>
  <si>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</si>
  <si>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</si>
  <si>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</si>
  <si>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</si>
  <si>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</si>
  <si>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</si>
  <si>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</si>
  <si>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</si>
  <si>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</si>
  <si>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</si>
  <si>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</si>
  <si>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</si>
  <si>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</si>
  <si>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</si>
  <si>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</si>
  <si>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Celkem za PO III Liberec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</si>
  <si>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</si>
  <si>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</si>
  <si>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</si>
  <si>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</si>
  <si>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</si>
  <si>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</si>
  <si>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</si>
  <si>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</si>
  <si>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</si>
  <si>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</si>
  <si>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</si>
  <si>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</si>
  <si>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</si>
  <si>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</si>
  <si>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</si>
  <si>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</si>
  <si>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</si>
  <si>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</si>
  <si>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</si>
  <si>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</si>
  <si>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</si>
  <si>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</si>
  <si>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</si>
  <si>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</si>
  <si>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</si>
  <si>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</si>
  <si>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</si>
  <si>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</si>
  <si>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</si>
  <si>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</si>
  <si>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</si>
  <si>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</si>
  <si>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</si>
  <si>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</si>
  <si>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</si>
  <si>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</si>
  <si>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</si>
  <si>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</si>
  <si>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</si>
  <si>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</si>
  <si>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Celkem za PO III Frýdlant</t>
  </si>
  <si>
    <t>Platy úprava celkem</t>
  </si>
  <si>
    <t>OON úprava celkem</t>
  </si>
  <si>
    <t>ONIV úprava celkem</t>
  </si>
  <si>
    <t>SUMÁŘ - PO III LIBEREC</t>
  </si>
  <si>
    <t>SUMÁŘ - PO III FRÝDLANT</t>
  </si>
  <si>
    <t>od</t>
  </si>
  <si>
    <t>Celkem za PO III Jablonec nad Nisou</t>
  </si>
  <si>
    <t>Celkem za PO III Tanvald</t>
  </si>
  <si>
    <t>Celkem za PO III Železný Brod</t>
  </si>
  <si>
    <t>poř.</t>
  </si>
  <si>
    <t>Celkem za PO III Česká Lípa</t>
  </si>
  <si>
    <t>škola - škol. zařízení (zkráceně)</t>
  </si>
  <si>
    <t>Celkem za PO III Nový Bor</t>
  </si>
  <si>
    <t>Celkem za PO III Semily</t>
  </si>
  <si>
    <t>Celkem za PO III Jilemnice</t>
  </si>
  <si>
    <t>Celkem za PO III Turnov</t>
  </si>
  <si>
    <t>ZŠ Jablonné v Podj., Komenského 453</t>
  </si>
  <si>
    <t>09360379</t>
  </si>
  <si>
    <t>ZŠ a ZUŠ Hrádek n. N., Komenského 478</t>
  </si>
  <si>
    <r>
      <t xml:space="preserve">ZŠ a ZUŠ Hrádek n. N., Komenského 478 - </t>
    </r>
    <r>
      <rPr>
        <b/>
        <sz val="8"/>
        <color rgb="FFFF0000"/>
        <rFont val="Arial CE"/>
        <charset val="238"/>
      </rPr>
      <t>nově od 1. 9. 2020</t>
    </r>
  </si>
  <si>
    <t>ZŠ a ZUŠ Hrádek n. N., Komenského 478 Celkem</t>
  </si>
  <si>
    <t>Masarykova ZŠ Tanvald, Školní 416</t>
  </si>
  <si>
    <t xml:space="preserve">AP ŠD </t>
  </si>
  <si>
    <t>MŠ Jilemnice, Roztocká 994</t>
  </si>
  <si>
    <t>MŠ Všelibice 100</t>
  </si>
  <si>
    <t>MŠ Všelibice 100 Celkem</t>
  </si>
  <si>
    <t>PO III JABLONEC NAD NISOU</t>
  </si>
  <si>
    <t>PO III TANVALD</t>
  </si>
  <si>
    <t>PO III ŽELEZNÝ BROD</t>
  </si>
  <si>
    <t>PO III ČESKÁ LÍPA</t>
  </si>
  <si>
    <t>PO III NOVÝ BOR</t>
  </si>
  <si>
    <t>PO III SEMILY</t>
  </si>
  <si>
    <t>PO III JILEMNICE</t>
  </si>
  <si>
    <t>PO III TURNOV</t>
  </si>
  <si>
    <t>OON do Phmax</t>
  </si>
  <si>
    <t>z toho v Kč:</t>
  </si>
  <si>
    <t>z toho:</t>
  </si>
  <si>
    <t xml:space="preserve">z toho:           </t>
  </si>
  <si>
    <t xml:space="preserve">MŠ Šimonovice 482 </t>
  </si>
  <si>
    <t>MŠ Šimonovice 482 Celkem</t>
  </si>
  <si>
    <t>ZŠ Jablonné v Podj., Komenského 453 Celkem</t>
  </si>
  <si>
    <t>Vážená paní ředitelko, vážený pane řediteli,</t>
  </si>
  <si>
    <t>1)</t>
  </si>
  <si>
    <t>2)</t>
  </si>
  <si>
    <t>Zpracoval: OŠMTS KÚ LK, oddělení financování přímých nákladů</t>
  </si>
  <si>
    <t>ZŠ a MŠ Stružnice 69</t>
  </si>
  <si>
    <t>ZŠ a MŠ Stružnice 69 Celkem</t>
  </si>
  <si>
    <t>MŠ Treperka a waldorfská Semily, Pod Vartou 858</t>
  </si>
  <si>
    <t>3)</t>
  </si>
  <si>
    <t xml:space="preserve">ZŠ a MŠ Stružnice 69 </t>
  </si>
  <si>
    <t>Dohodovací řízení</t>
  </si>
  <si>
    <t>Rozpis rozpočtu přímých NIV k 10.3. 2023</t>
  </si>
  <si>
    <t>Úprava</t>
  </si>
  <si>
    <t>Úprava rozpisu rozpočtu přímých NIV k 20. 4. 2023</t>
  </si>
  <si>
    <t>Závazné ukazatele pro rok 2023 - přímé náklady k 20. 4. 2023</t>
  </si>
  <si>
    <t>Komentář k úpravě rozpisu rozpočtu přímých NIV k 20. 4. 2023  (obecní školství)</t>
  </si>
  <si>
    <t>předkládáme Vám úpravu rozpočtu přímých NIV, která obsahuje:</t>
  </si>
  <si>
    <t>úpravu rozpočtu v souvislosti s projednáním rozpisu rozpočtu ("dohodovací řízení");</t>
  </si>
  <si>
    <t>individuální úpravy (důvod změny uveden v komentáři v příslušné buňce).</t>
  </si>
  <si>
    <t>a to po schválení změny závazných ukazatelů ze strany MŠMT.</t>
  </si>
  <si>
    <t>V Liberci dne 20. 4. 2023</t>
  </si>
  <si>
    <t>Žádosti od škol na převod do OON (vč. dodatečných žádostí) stále vedeme v evidenci. Doplatek na stoprocentní výši bude realizován v některých z dalších úprav,</t>
  </si>
  <si>
    <t>k vyjednávání o rozpočtu RgŠ ÚSC s ministerstvem financí pro následující kalendářní rok.</t>
  </si>
  <si>
    <t xml:space="preserve">Přestože údaje nijak neovlivní výši přidělených finančních prostředků na tento rok, tak v případě žádosti školy o úpravu (navýšení) rozpočtu přímých NIV v souvislosti </t>
  </si>
  <si>
    <r>
      <t xml:space="preserve">úprava o prostředky na podpůrná opatření, a to na základě údajů vykázaných ve výkaze č. R 44–99 za sběr měsíce </t>
    </r>
    <r>
      <rPr>
        <b/>
        <sz val="10"/>
        <rFont val="Arial"/>
        <family val="2"/>
        <charset val="238"/>
      </rPr>
      <t>březen 2023</t>
    </r>
    <r>
      <rPr>
        <sz val="10"/>
        <rFont val="Arial"/>
        <family val="2"/>
        <charset val="238"/>
      </rPr>
      <t>, případně korekce vykázaných PO;</t>
    </r>
  </si>
  <si>
    <r>
      <t xml:space="preserve">Dále bychom chtěli upozornit, že dnem 31. 5. 2023 se otevírá ve Vašem výkaznictví </t>
    </r>
    <r>
      <rPr>
        <b/>
        <i/>
        <sz val="10"/>
        <rFont val="Arial"/>
        <family val="2"/>
        <charset val="238"/>
      </rPr>
      <t>sběr dat výkazu P1d-01</t>
    </r>
    <r>
      <rPr>
        <i/>
        <sz val="10"/>
        <rFont val="Arial"/>
        <family val="2"/>
        <charset val="238"/>
      </rPr>
      <t>. Uvedené údaje jsou nezbytných podkladem MŠMT</t>
    </r>
  </si>
  <si>
    <t>s novým školním rokem, bude OŠMTS při vyřízení žádosti přihlížet k tomu, zda zvýšené hodiny PPČ budou ve výkaze uvedeny.</t>
  </si>
  <si>
    <t>Pokud zvýšené hodiny v tomto výkaze uvedeny nebudou, ministerstvo nenavýší kraji rezervu, a OŠMTS tak nebude moci žádostem vyhovět nebo vyhoví pouze částečně.</t>
  </si>
  <si>
    <t xml:space="preserve">4) </t>
  </si>
  <si>
    <t xml:space="preserve">navýšení normativních ONIV u SVČ (DDM)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</si>
</sst>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</font>
    <font>
      <b/>
      <sz val="8"/>
      <name val="Arial CE"/>
    </font>
    <font>
      <sz val="8"/>
      <color indexed="8"/>
      <name val="Arial CE"/>
    </font>
    <font>
      <b/>
      <sz val="8"/>
      <color indexed="8"/>
      <name val="Arial CE"/>
    </font>
    <font>
      <sz val="8"/>
      <color indexed="8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11"/>
      <name val="Calibri"/>
      <family val="2"/>
      <charset val="238"/>
    </font>
    <font>
      <b/>
      <sz val="8"/>
      <color indexed="8"/>
      <name val="Arial CE"/>
      <charset val="238"/>
    </font>
    <font>
      <b/>
      <sz val="8"/>
      <color rgb="FFFF0000"/>
      <name val="Arial CE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1"/>
      <name val="Tahoma"/>
      <charset val="1"/>
    </font>
    <font>
      <sz val="11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4" fillId="0" borderId="0" applyFont="0" applyFill="0" applyBorder="0" applyAlignment="0" applyProtection="0"/>
    <xf numFmtId="0" fontId="14" fillId="0" borderId="0"/>
    <xf numFmtId="0" fontId="4" fillId="0" borderId="0"/>
    <xf numFmtId="0" fontId="9" fillId="0" borderId="0"/>
    <xf numFmtId="0" fontId="3" fillId="0" borderId="0"/>
    <xf numFmtId="0" fontId="36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3">
    <xf numFmtId="0" fontId="0" fillId="0" borderId="0" xfId="0"/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5" fillId="0" borderId="0" xfId="0" applyFont="1"/>
    <xf numFmtId="3" fontId="7" fillId="0" borderId="8" xfId="0" applyNumberFormat="1" applyFont="1" applyBorder="1" applyAlignment="1">
      <alignment horizontal="right"/>
    </xf>
    <xf numFmtId="4" fontId="6" fillId="0" borderId="0" xfId="0" applyNumberFormat="1" applyFont="1"/>
    <xf numFmtId="0" fontId="6" fillId="0" borderId="0" xfId="0" applyFont="1"/>
    <xf numFmtId="0" fontId="8" fillId="0" borderId="0" xfId="0" applyFont="1"/>
    <xf numFmtId="4" fontId="0" fillId="0" borderId="0" xfId="0" applyNumberFormat="1"/>
    <xf numFmtId="3" fontId="0" fillId="0" borderId="0" xfId="0" applyNumberFormat="1"/>
    <xf numFmtId="0" fontId="6" fillId="0" borderId="0" xfId="0" applyFont="1" applyAlignment="1">
      <alignment horizontal="center"/>
    </xf>
    <xf numFmtId="0" fontId="17" fillId="0" borderId="0" xfId="0" applyFont="1"/>
    <xf numFmtId="4" fontId="7" fillId="0" borderId="0" xfId="0" applyNumberFormat="1" applyFont="1"/>
    <xf numFmtId="0" fontId="18" fillId="0" borderId="0" xfId="0" applyFont="1"/>
    <xf numFmtId="4" fontId="6" fillId="0" borderId="1" xfId="0" applyNumberFormat="1" applyFont="1" applyBorder="1"/>
    <xf numFmtId="0" fontId="10" fillId="3" borderId="1" xfId="2" applyFont="1" applyFill="1" applyBorder="1" applyAlignment="1">
      <alignment horizontal="center"/>
    </xf>
    <xf numFmtId="3" fontId="6" fillId="0" borderId="0" xfId="0" applyNumberFormat="1" applyFont="1"/>
    <xf numFmtId="3" fontId="6" fillId="0" borderId="1" xfId="0" applyNumberFormat="1" applyFont="1" applyBorder="1"/>
    <xf numFmtId="4" fontId="6" fillId="0" borderId="10" xfId="0" applyNumberFormat="1" applyFont="1" applyBorder="1"/>
    <xf numFmtId="3" fontId="5" fillId="0" borderId="1" xfId="0" applyNumberFormat="1" applyFont="1" applyBorder="1"/>
    <xf numFmtId="0" fontId="11" fillId="3" borderId="1" xfId="0" applyFont="1" applyFill="1" applyBorder="1" applyAlignment="1">
      <alignment horizontal="center"/>
    </xf>
    <xf numFmtId="0" fontId="12" fillId="0" borderId="15" xfId="0" applyFont="1" applyBorder="1" applyAlignment="1">
      <alignment horizontal="left"/>
    </xf>
    <xf numFmtId="4" fontId="5" fillId="0" borderId="9" xfId="0" applyNumberFormat="1" applyFont="1" applyBorder="1"/>
    <xf numFmtId="3" fontId="5" fillId="0" borderId="8" xfId="0" applyNumberFormat="1" applyFont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4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3" fontId="19" fillId="0" borderId="8" xfId="0" applyNumberFormat="1" applyFont="1" applyBorder="1"/>
    <xf numFmtId="3" fontId="19" fillId="0" borderId="1" xfId="0" applyNumberFormat="1" applyFont="1" applyBorder="1"/>
    <xf numFmtId="4" fontId="19" fillId="0" borderId="1" xfId="0" applyNumberFormat="1" applyFont="1" applyBorder="1"/>
    <xf numFmtId="3" fontId="19" fillId="0" borderId="11" xfId="0" applyNumberFormat="1" applyFont="1" applyBorder="1"/>
    <xf numFmtId="3" fontId="19" fillId="0" borderId="12" xfId="0" applyNumberFormat="1" applyFont="1" applyBorder="1"/>
    <xf numFmtId="0" fontId="11" fillId="4" borderId="18" xfId="0" applyFont="1" applyFill="1" applyBorder="1" applyAlignment="1">
      <alignment horizontal="center"/>
    </xf>
    <xf numFmtId="3" fontId="19" fillId="0" borderId="4" xfId="0" applyNumberFormat="1" applyFont="1" applyBorder="1"/>
    <xf numFmtId="3" fontId="19" fillId="0" borderId="37" xfId="0" applyNumberFormat="1" applyFont="1" applyBorder="1"/>
    <xf numFmtId="0" fontId="11" fillId="3" borderId="21" xfId="0" applyFont="1" applyFill="1" applyBorder="1" applyAlignment="1">
      <alignment horizontal="center"/>
    </xf>
    <xf numFmtId="3" fontId="13" fillId="4" borderId="18" xfId="0" applyNumberFormat="1" applyFont="1" applyFill="1" applyBorder="1"/>
    <xf numFmtId="4" fontId="13" fillId="4" borderId="18" xfId="0" applyNumberFormat="1" applyFont="1" applyFill="1" applyBorder="1"/>
    <xf numFmtId="4" fontId="13" fillId="4" borderId="19" xfId="0" applyNumberFormat="1" applyFont="1" applyFill="1" applyBorder="1"/>
    <xf numFmtId="0" fontId="10" fillId="2" borderId="20" xfId="2" applyFont="1" applyFill="1" applyBorder="1" applyAlignment="1">
      <alignment horizontal="center" vertical="center" wrapText="1"/>
    </xf>
    <xf numFmtId="3" fontId="11" fillId="5" borderId="12" xfId="2" applyNumberFormat="1" applyFont="1" applyFill="1" applyBorder="1" applyAlignment="1">
      <alignment horizontal="center" vertical="center" wrapText="1"/>
    </xf>
    <xf numFmtId="3" fontId="19" fillId="0" borderId="28" xfId="0" applyNumberFormat="1" applyFont="1" applyBorder="1"/>
    <xf numFmtId="4" fontId="11" fillId="3" borderId="10" xfId="0" applyNumberFormat="1" applyFont="1" applyFill="1" applyBorder="1"/>
    <xf numFmtId="4" fontId="11" fillId="3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applyFont="1"/>
    <xf numFmtId="0" fontId="30" fillId="3" borderId="1" xfId="4" applyFont="1" applyFill="1" applyBorder="1" applyAlignment="1">
      <alignment horizontal="center"/>
    </xf>
    <xf numFmtId="0" fontId="11" fillId="3" borderId="1" xfId="4" applyFont="1" applyFill="1" applyBorder="1" applyAlignment="1">
      <alignment horizontal="center"/>
    </xf>
    <xf numFmtId="0" fontId="32" fillId="3" borderId="1" xfId="4" applyFont="1" applyFill="1" applyBorder="1" applyAlignment="1">
      <alignment horizontal="center"/>
    </xf>
    <xf numFmtId="0" fontId="29" fillId="3" borderId="1" xfId="4" applyFont="1" applyFill="1" applyBorder="1" applyAlignment="1">
      <alignment horizontal="center"/>
    </xf>
    <xf numFmtId="0" fontId="30" fillId="3" borderId="21" xfId="4" applyFont="1" applyFill="1" applyBorder="1" applyAlignment="1">
      <alignment horizontal="center"/>
    </xf>
    <xf numFmtId="0" fontId="17" fillId="0" borderId="0" xfId="3" applyFont="1" applyAlignment="1">
      <alignment horizontal="left"/>
    </xf>
    <xf numFmtId="0" fontId="16" fillId="0" borderId="0" xfId="0" applyFont="1" applyAlignment="1">
      <alignment horizontal="left"/>
    </xf>
    <xf numFmtId="0" fontId="34" fillId="0" borderId="0" xfId="5" applyFont="1" applyAlignment="1">
      <alignment horizontal="right"/>
    </xf>
    <xf numFmtId="0" fontId="34" fillId="0" borderId="0" xfId="5" applyFont="1" applyAlignment="1">
      <alignment horizontal="center"/>
    </xf>
    <xf numFmtId="3" fontId="34" fillId="0" borderId="0" xfId="5" applyNumberFormat="1" applyFont="1"/>
    <xf numFmtId="3" fontId="3" fillId="0" borderId="0" xfId="5" applyNumberFormat="1"/>
    <xf numFmtId="4" fontId="3" fillId="0" borderId="0" xfId="5" applyNumberFormat="1"/>
    <xf numFmtId="0" fontId="34" fillId="0" borderId="0" xfId="5" applyFont="1"/>
    <xf numFmtId="0" fontId="35" fillId="0" borderId="0" xfId="5" applyFont="1" applyAlignment="1">
      <alignment horizontal="right"/>
    </xf>
    <xf numFmtId="0" fontId="35" fillId="0" borderId="0" xfId="5" applyFont="1"/>
    <xf numFmtId="0" fontId="34" fillId="0" borderId="0" xfId="5" applyFont="1" applyAlignment="1">
      <alignment horizontal="center" vertical="center"/>
    </xf>
    <xf numFmtId="0" fontId="35" fillId="0" borderId="0" xfId="5" applyFont="1" applyAlignment="1">
      <alignment vertical="center"/>
    </xf>
    <xf numFmtId="0" fontId="35" fillId="0" borderId="17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5" fillId="0" borderId="1" xfId="5" applyFont="1" applyBorder="1" applyAlignment="1">
      <alignment horizontal="right"/>
    </xf>
    <xf numFmtId="0" fontId="5" fillId="0" borderId="1" xfId="5" applyFont="1" applyBorder="1" applyAlignment="1" applyProtection="1">
      <alignment horizontal="right"/>
      <protection locked="0"/>
    </xf>
    <xf numFmtId="0" fontId="5" fillId="0" borderId="1" xfId="5" applyFont="1" applyBorder="1"/>
    <xf numFmtId="0" fontId="5" fillId="0" borderId="1" xfId="5" applyFont="1" applyBorder="1" applyAlignment="1">
      <alignment horizontal="center"/>
    </xf>
    <xf numFmtId="0" fontId="5" fillId="0" borderId="9" xfId="5" applyFont="1" applyBorder="1"/>
    <xf numFmtId="3" fontId="5" fillId="0" borderId="1" xfId="5" applyNumberFormat="1" applyFont="1" applyBorder="1"/>
    <xf numFmtId="0" fontId="11" fillId="3" borderId="1" xfId="5" applyFont="1" applyFill="1" applyBorder="1" applyAlignment="1">
      <alignment horizontal="right"/>
    </xf>
    <xf numFmtId="0" fontId="11" fillId="3" borderId="1" xfId="5" applyFont="1" applyFill="1" applyBorder="1" applyAlignment="1" applyProtection="1">
      <alignment horizontal="right"/>
      <protection locked="0"/>
    </xf>
    <xf numFmtId="0" fontId="11" fillId="3" borderId="1" xfId="5" applyFont="1" applyFill="1" applyBorder="1"/>
    <xf numFmtId="0" fontId="11" fillId="3" borderId="1" xfId="5" applyFont="1" applyFill="1" applyBorder="1" applyAlignment="1">
      <alignment horizontal="center"/>
    </xf>
    <xf numFmtId="0" fontId="11" fillId="3" borderId="9" xfId="5" applyFont="1" applyFill="1" applyBorder="1"/>
    <xf numFmtId="3" fontId="11" fillId="3" borderId="8" xfId="5" applyNumberFormat="1" applyFont="1" applyFill="1" applyBorder="1"/>
    <xf numFmtId="3" fontId="11" fillId="3" borderId="1" xfId="5" applyNumberFormat="1" applyFont="1" applyFill="1" applyBorder="1"/>
    <xf numFmtId="4" fontId="11" fillId="3" borderId="1" xfId="5" applyNumberFormat="1" applyFont="1" applyFill="1" applyBorder="1"/>
    <xf numFmtId="4" fontId="11" fillId="3" borderId="10" xfId="5" applyNumberFormat="1" applyFont="1" applyFill="1" applyBorder="1"/>
    <xf numFmtId="0" fontId="6" fillId="0" borderId="1" xfId="5" applyFont="1" applyBorder="1"/>
    <xf numFmtId="3" fontId="11" fillId="3" borderId="8" xfId="5" applyNumberFormat="1" applyFont="1" applyFill="1" applyBorder="1" applyAlignment="1">
      <alignment horizontal="right"/>
    </xf>
    <xf numFmtId="3" fontId="11" fillId="3" borderId="1" xfId="5" applyNumberFormat="1" applyFont="1" applyFill="1" applyBorder="1" applyAlignment="1">
      <alignment horizontal="right"/>
    </xf>
    <xf numFmtId="4" fontId="11" fillId="3" borderId="1" xfId="5" applyNumberFormat="1" applyFont="1" applyFill="1" applyBorder="1" applyAlignment="1">
      <alignment horizontal="right"/>
    </xf>
    <xf numFmtId="4" fontId="11" fillId="3" borderId="10" xfId="5" applyNumberFormat="1" applyFont="1" applyFill="1" applyBorder="1" applyAlignment="1">
      <alignment horizontal="right"/>
    </xf>
    <xf numFmtId="0" fontId="5" fillId="0" borderId="1" xfId="5" applyFont="1" applyBorder="1" applyAlignment="1">
      <alignment wrapText="1"/>
    </xf>
    <xf numFmtId="3" fontId="35" fillId="3" borderId="8" xfId="5" applyNumberFormat="1" applyFont="1" applyFill="1" applyBorder="1"/>
    <xf numFmtId="3" fontId="35" fillId="3" borderId="1" xfId="5" applyNumberFormat="1" applyFont="1" applyFill="1" applyBorder="1"/>
    <xf numFmtId="4" fontId="35" fillId="3" borderId="1" xfId="5" applyNumberFormat="1" applyFont="1" applyFill="1" applyBorder="1"/>
    <xf numFmtId="4" fontId="35" fillId="3" borderId="10" xfId="5" applyNumberFormat="1" applyFont="1" applyFill="1" applyBorder="1"/>
    <xf numFmtId="3" fontId="11" fillId="7" borderId="18" xfId="5" applyNumberFormat="1" applyFont="1" applyFill="1" applyBorder="1"/>
    <xf numFmtId="3" fontId="35" fillId="0" borderId="0" xfId="5" applyNumberFormat="1" applyFont="1" applyAlignment="1">
      <alignment horizontal="right"/>
    </xf>
    <xf numFmtId="4" fontId="35" fillId="0" borderId="0" xfId="5" applyNumberFormat="1" applyFont="1" applyAlignment="1">
      <alignment horizontal="right"/>
    </xf>
    <xf numFmtId="4" fontId="34" fillId="0" borderId="0" xfId="5" applyNumberFormat="1" applyFont="1"/>
    <xf numFmtId="0" fontId="34" fillId="0" borderId="0" xfId="5" applyFont="1" applyAlignment="1">
      <alignment horizontal="left"/>
    </xf>
    <xf numFmtId="0" fontId="3" fillId="0" borderId="0" xfId="5"/>
    <xf numFmtId="0" fontId="3" fillId="0" borderId="0" xfId="5" applyAlignment="1">
      <alignment horizontal="center"/>
    </xf>
    <xf numFmtId="0" fontId="23" fillId="0" borderId="0" xfId="5" applyFont="1"/>
    <xf numFmtId="0" fontId="23" fillId="0" borderId="0" xfId="5" applyFont="1" applyAlignment="1">
      <alignment horizontal="center" vertical="center" wrapText="1"/>
    </xf>
    <xf numFmtId="0" fontId="6" fillId="0" borderId="1" xfId="5" applyFont="1" applyBorder="1" applyProtection="1">
      <protection locked="0"/>
    </xf>
    <xf numFmtId="0" fontId="6" fillId="0" borderId="1" xfId="5" applyFont="1" applyBorder="1" applyAlignment="1">
      <alignment horizontal="center"/>
    </xf>
    <xf numFmtId="0" fontId="6" fillId="0" borderId="9" xfId="5" applyFont="1" applyBorder="1"/>
    <xf numFmtId="0" fontId="25" fillId="0" borderId="0" xfId="5" applyFont="1"/>
    <xf numFmtId="0" fontId="12" fillId="3" borderId="1" xfId="5" applyFont="1" applyFill="1" applyBorder="1"/>
    <xf numFmtId="0" fontId="12" fillId="3" borderId="1" xfId="5" applyFont="1" applyFill="1" applyBorder="1" applyProtection="1">
      <protection locked="0"/>
    </xf>
    <xf numFmtId="0" fontId="12" fillId="3" borderId="1" xfId="5" applyFont="1" applyFill="1" applyBorder="1" applyAlignment="1">
      <alignment horizontal="center"/>
    </xf>
    <xf numFmtId="0" fontId="6" fillId="3" borderId="1" xfId="5" applyFont="1" applyFill="1" applyBorder="1"/>
    <xf numFmtId="0" fontId="6" fillId="3" borderId="9" xfId="5" applyFont="1" applyFill="1" applyBorder="1"/>
    <xf numFmtId="0" fontId="6" fillId="2" borderId="1" xfId="5" applyFont="1" applyFill="1" applyBorder="1"/>
    <xf numFmtId="4" fontId="12" fillId="3" borderId="10" xfId="5" applyNumberFormat="1" applyFont="1" applyFill="1" applyBorder="1"/>
    <xf numFmtId="0" fontId="6" fillId="0" borderId="1" xfId="5" applyFont="1" applyBorder="1" applyAlignment="1">
      <alignment wrapText="1"/>
    </xf>
    <xf numFmtId="0" fontId="6" fillId="0" borderId="1" xfId="5" applyFont="1" applyBorder="1" applyAlignment="1">
      <alignment horizontal="center" wrapText="1"/>
    </xf>
    <xf numFmtId="0" fontId="12" fillId="3" borderId="1" xfId="5" applyFont="1" applyFill="1" applyBorder="1" applyAlignment="1">
      <alignment horizontal="center" wrapText="1"/>
    </xf>
    <xf numFmtId="4" fontId="12" fillId="3" borderId="10" xfId="5" applyNumberFormat="1" applyFont="1" applyFill="1" applyBorder="1" applyAlignment="1">
      <alignment horizontal="right"/>
    </xf>
    <xf numFmtId="0" fontId="12" fillId="3" borderId="21" xfId="5" applyFont="1" applyFill="1" applyBorder="1"/>
    <xf numFmtId="0" fontId="12" fillId="3" borderId="21" xfId="5" applyFont="1" applyFill="1" applyBorder="1" applyProtection="1">
      <protection locked="0"/>
    </xf>
    <xf numFmtId="0" fontId="12" fillId="3" borderId="21" xfId="5" applyFont="1" applyFill="1" applyBorder="1" applyAlignment="1">
      <alignment horizontal="center" wrapText="1"/>
    </xf>
    <xf numFmtId="0" fontId="6" fillId="3" borderId="21" xfId="5" applyFont="1" applyFill="1" applyBorder="1"/>
    <xf numFmtId="0" fontId="6" fillId="3" borderId="30" xfId="5" applyFont="1" applyFill="1" applyBorder="1"/>
    <xf numFmtId="0" fontId="25" fillId="0" borderId="0" xfId="5" applyFont="1" applyAlignment="1">
      <alignment horizontal="center"/>
    </xf>
    <xf numFmtId="3" fontId="12" fillId="0" borderId="0" xfId="5" applyNumberFormat="1" applyFont="1" applyAlignment="1">
      <alignment horizontal="center"/>
    </xf>
    <xf numFmtId="3" fontId="21" fillId="0" borderId="0" xfId="5" applyNumberFormat="1" applyFont="1" applyAlignment="1">
      <alignment horizontal="center" vertical="center"/>
    </xf>
    <xf numFmtId="0" fontId="35" fillId="0" borderId="0" xfId="5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5" applyFont="1" applyAlignment="1">
      <alignment horizontal="center"/>
    </xf>
    <xf numFmtId="3" fontId="6" fillId="0" borderId="8" xfId="5" applyNumberFormat="1" applyFont="1" applyBorder="1" applyAlignment="1">
      <alignment horizontal="center"/>
    </xf>
    <xf numFmtId="3" fontId="12" fillId="3" borderId="8" xfId="5" applyNumberFormat="1" applyFont="1" applyFill="1" applyBorder="1" applyAlignment="1">
      <alignment horizontal="center"/>
    </xf>
    <xf numFmtId="3" fontId="12" fillId="3" borderId="26" xfId="5" applyNumberFormat="1" applyFont="1" applyFill="1" applyBorder="1" applyAlignment="1">
      <alignment horizontal="center"/>
    </xf>
    <xf numFmtId="0" fontId="35" fillId="0" borderId="18" xfId="5" applyFont="1" applyBorder="1" applyAlignment="1">
      <alignment horizontal="center" vertical="center" wrapText="1"/>
    </xf>
    <xf numFmtId="0" fontId="20" fillId="0" borderId="0" xfId="5" applyFont="1"/>
    <xf numFmtId="0" fontId="5" fillId="0" borderId="5" xfId="5" applyFont="1" applyBorder="1" applyAlignment="1">
      <alignment horizontal="center"/>
    </xf>
    <xf numFmtId="0" fontId="5" fillId="0" borderId="5" xfId="5" applyFont="1" applyBorder="1" applyAlignment="1">
      <alignment horizontal="right"/>
    </xf>
    <xf numFmtId="0" fontId="5" fillId="0" borderId="5" xfId="5" applyFont="1" applyBorder="1" applyAlignment="1" applyProtection="1">
      <alignment horizontal="right"/>
      <protection locked="0"/>
    </xf>
    <xf numFmtId="0" fontId="5" fillId="0" borderId="5" xfId="5" applyFont="1" applyBorder="1"/>
    <xf numFmtId="0" fontId="5" fillId="0" borderId="6" xfId="5" applyFont="1" applyBorder="1"/>
    <xf numFmtId="3" fontId="6" fillId="0" borderId="4" xfId="5" applyNumberFormat="1" applyFont="1" applyBorder="1" applyAlignment="1">
      <alignment horizontal="center"/>
    </xf>
    <xf numFmtId="0" fontId="6" fillId="0" borderId="5" xfId="5" applyFont="1" applyBorder="1"/>
    <xf numFmtId="0" fontId="6" fillId="0" borderId="5" xfId="5" applyFont="1" applyBorder="1" applyProtection="1">
      <protection locked="0"/>
    </xf>
    <xf numFmtId="0" fontId="6" fillId="0" borderId="5" xfId="5" applyFont="1" applyBorder="1" applyAlignment="1">
      <alignment horizontal="center"/>
    </xf>
    <xf numFmtId="0" fontId="6" fillId="0" borderId="6" xfId="5" applyFont="1" applyBorder="1"/>
    <xf numFmtId="0" fontId="20" fillId="8" borderId="17" xfId="5" applyFont="1" applyFill="1" applyBorder="1" applyAlignment="1">
      <alignment horizontal="center"/>
    </xf>
    <xf numFmtId="0" fontId="20" fillId="8" borderId="18" xfId="5" applyFont="1" applyFill="1" applyBorder="1" applyAlignment="1">
      <alignment horizontal="center"/>
    </xf>
    <xf numFmtId="0" fontId="20" fillId="8" borderId="20" xfId="5" applyFont="1" applyFill="1" applyBorder="1" applyAlignment="1">
      <alignment horizontal="center"/>
    </xf>
    <xf numFmtId="3" fontId="20" fillId="8" borderId="17" xfId="5" applyNumberFormat="1" applyFont="1" applyFill="1" applyBorder="1" applyAlignment="1">
      <alignment horizontal="center"/>
    </xf>
    <xf numFmtId="3" fontId="20" fillId="8" borderId="18" xfId="5" applyNumberFormat="1" applyFont="1" applyFill="1" applyBorder="1" applyAlignment="1">
      <alignment horizontal="center"/>
    </xf>
    <xf numFmtId="0" fontId="12" fillId="0" borderId="43" xfId="0" applyFont="1" applyBorder="1" applyAlignment="1">
      <alignment horizontal="left"/>
    </xf>
    <xf numFmtId="3" fontId="13" fillId="4" borderId="17" xfId="0" applyNumberFormat="1" applyFont="1" applyFill="1" applyBorder="1"/>
    <xf numFmtId="3" fontId="20" fillId="8" borderId="33" xfId="5" applyNumberFormat="1" applyFont="1" applyFill="1" applyBorder="1" applyAlignment="1">
      <alignment horizontal="center"/>
    </xf>
    <xf numFmtId="3" fontId="20" fillId="8" borderId="34" xfId="5" applyNumberFormat="1" applyFont="1" applyFill="1" applyBorder="1" applyAlignment="1">
      <alignment horizontal="center"/>
    </xf>
    <xf numFmtId="4" fontId="20" fillId="8" borderId="34" xfId="5" applyNumberFormat="1" applyFont="1" applyFill="1" applyBorder="1" applyAlignment="1">
      <alignment horizontal="center"/>
    </xf>
    <xf numFmtId="4" fontId="20" fillId="8" borderId="36" xfId="5" applyNumberFormat="1" applyFont="1" applyFill="1" applyBorder="1" applyAlignment="1">
      <alignment horizontal="center"/>
    </xf>
    <xf numFmtId="3" fontId="5" fillId="0" borderId="24" xfId="5" applyNumberFormat="1" applyFont="1" applyBorder="1"/>
    <xf numFmtId="4" fontId="19" fillId="0" borderId="12" xfId="0" applyNumberFormat="1" applyFont="1" applyBorder="1"/>
    <xf numFmtId="3" fontId="19" fillId="0" borderId="5" xfId="0" applyNumberFormat="1" applyFont="1" applyBorder="1"/>
    <xf numFmtId="4" fontId="19" fillId="0" borderId="5" xfId="0" applyNumberFormat="1" applyFont="1" applyBorder="1"/>
    <xf numFmtId="4" fontId="13" fillId="4" borderId="20" xfId="0" applyNumberFormat="1" applyFont="1" applyFill="1" applyBorder="1"/>
    <xf numFmtId="3" fontId="13" fillId="4" borderId="22" xfId="0" applyNumberFormat="1" applyFont="1" applyFill="1" applyBorder="1"/>
    <xf numFmtId="3" fontId="19" fillId="0" borderId="41" xfId="0" applyNumberFormat="1" applyFont="1" applyBorder="1"/>
    <xf numFmtId="0" fontId="12" fillId="0" borderId="16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0" fontId="10" fillId="3" borderId="8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10" fillId="3" borderId="26" xfId="2" applyFont="1" applyFill="1" applyBorder="1" applyAlignment="1">
      <alignment horizontal="center"/>
    </xf>
    <xf numFmtId="0" fontId="10" fillId="3" borderId="21" xfId="2" applyFont="1" applyFill="1" applyBorder="1" applyAlignment="1">
      <alignment horizontal="center"/>
    </xf>
    <xf numFmtId="0" fontId="11" fillId="3" borderId="21" xfId="2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left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left"/>
    </xf>
    <xf numFmtId="0" fontId="10" fillId="2" borderId="34" xfId="2" applyFont="1" applyFill="1" applyBorder="1" applyAlignment="1">
      <alignment horizontal="center" vertical="center"/>
    </xf>
    <xf numFmtId="0" fontId="11" fillId="3" borderId="1" xfId="0" applyFont="1" applyFill="1" applyBorder="1"/>
    <xf numFmtId="0" fontId="7" fillId="0" borderId="1" xfId="0" applyFont="1" applyBorder="1" applyAlignment="1">
      <alignment horizontal="left"/>
    </xf>
    <xf numFmtId="0" fontId="11" fillId="3" borderId="21" xfId="4" applyFont="1" applyFill="1" applyBorder="1" applyAlignment="1">
      <alignment horizontal="center"/>
    </xf>
    <xf numFmtId="3" fontId="6" fillId="0" borderId="8" xfId="0" applyNumberFormat="1" applyFont="1" applyBorder="1"/>
    <xf numFmtId="3" fontId="6" fillId="0" borderId="28" xfId="0" applyNumberFormat="1" applyFont="1" applyBorder="1"/>
    <xf numFmtId="4" fontId="6" fillId="0" borderId="9" xfId="0" applyNumberFormat="1" applyFont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4" fontId="6" fillId="0" borderId="12" xfId="0" applyNumberFormat="1" applyFont="1" applyBorder="1"/>
    <xf numFmtId="4" fontId="6" fillId="0" borderId="14" xfId="0" applyNumberFormat="1" applyFont="1" applyBorder="1"/>
    <xf numFmtId="3" fontId="6" fillId="0" borderId="41" xfId="0" applyNumberFormat="1" applyFont="1" applyBorder="1"/>
    <xf numFmtId="4" fontId="6" fillId="0" borderId="13" xfId="0" applyNumberFormat="1" applyFont="1" applyBorder="1"/>
    <xf numFmtId="4" fontId="34" fillId="0" borderId="0" xfId="5" applyNumberFormat="1" applyFont="1" applyAlignment="1">
      <alignment horizontal="right"/>
    </xf>
    <xf numFmtId="0" fontId="13" fillId="0" borderId="62" xfId="0" applyFont="1" applyBorder="1"/>
    <xf numFmtId="0" fontId="13" fillId="0" borderId="3" xfId="0" applyFont="1" applyBorder="1"/>
    <xf numFmtId="0" fontId="13" fillId="0" borderId="40" xfId="0" applyFont="1" applyBorder="1"/>
    <xf numFmtId="4" fontId="20" fillId="8" borderId="35" xfId="5" applyNumberFormat="1" applyFont="1" applyFill="1" applyBorder="1" applyAlignment="1">
      <alignment horizontal="center"/>
    </xf>
    <xf numFmtId="4" fontId="34" fillId="0" borderId="0" xfId="5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30" fillId="3" borderId="9" xfId="4" applyFont="1" applyFill="1" applyBorder="1" applyAlignment="1">
      <alignment horizontal="left"/>
    </xf>
    <xf numFmtId="0" fontId="11" fillId="3" borderId="9" xfId="4" applyFont="1" applyFill="1" applyBorder="1" applyAlignment="1">
      <alignment horizontal="left"/>
    </xf>
    <xf numFmtId="0" fontId="32" fillId="3" borderId="9" xfId="4" applyFont="1" applyFill="1" applyBorder="1" applyAlignment="1">
      <alignment horizontal="left"/>
    </xf>
    <xf numFmtId="0" fontId="29" fillId="3" borderId="9" xfId="4" applyFont="1" applyFill="1" applyBorder="1" applyAlignment="1">
      <alignment horizontal="left"/>
    </xf>
    <xf numFmtId="0" fontId="30" fillId="3" borderId="30" xfId="4" applyFont="1" applyFill="1" applyBorder="1" applyAlignment="1">
      <alignment horizontal="left"/>
    </xf>
    <xf numFmtId="0" fontId="11" fillId="3" borderId="9" xfId="0" applyFont="1" applyFill="1" applyBorder="1"/>
    <xf numFmtId="0" fontId="11" fillId="4" borderId="20" xfId="0" applyFont="1" applyFill="1" applyBorder="1"/>
    <xf numFmtId="4" fontId="20" fillId="8" borderId="18" xfId="5" applyNumberFormat="1" applyFont="1" applyFill="1" applyBorder="1" applyAlignment="1">
      <alignment horizontal="center"/>
    </xf>
    <xf numFmtId="4" fontId="20" fillId="8" borderId="19" xfId="5" applyNumberFormat="1" applyFont="1" applyFill="1" applyBorder="1" applyAlignment="1">
      <alignment horizontal="center"/>
    </xf>
    <xf numFmtId="0" fontId="5" fillId="0" borderId="1" xfId="5" applyFont="1" applyBorder="1" applyAlignment="1">
      <alignment horizontal="left"/>
    </xf>
    <xf numFmtId="0" fontId="11" fillId="3" borderId="12" xfId="5" applyFont="1" applyFill="1" applyBorder="1" applyAlignment="1">
      <alignment horizontal="left"/>
    </xf>
    <xf numFmtId="1" fontId="5" fillId="0" borderId="1" xfId="5" applyNumberFormat="1" applyFont="1" applyBorder="1" applyAlignment="1">
      <alignment horizontal="right"/>
    </xf>
    <xf numFmtId="49" fontId="5" fillId="0" borderId="1" xfId="5" applyNumberFormat="1" applyFont="1" applyBorder="1" applyAlignment="1">
      <alignment horizontal="right"/>
    </xf>
    <xf numFmtId="0" fontId="5" fillId="0" borderId="50" xfId="5" applyFont="1" applyBorder="1" applyAlignment="1">
      <alignment horizontal="center"/>
    </xf>
    <xf numFmtId="1" fontId="5" fillId="0" borderId="53" xfId="5" applyNumberFormat="1" applyFont="1" applyBorder="1" applyAlignment="1">
      <alignment horizontal="right"/>
    </xf>
    <xf numFmtId="0" fontId="5" fillId="0" borderId="28" xfId="5" applyFont="1" applyBorder="1" applyAlignment="1" applyProtection="1">
      <alignment horizontal="center"/>
      <protection locked="0"/>
    </xf>
    <xf numFmtId="0" fontId="5" fillId="0" borderId="9" xfId="5" applyFont="1" applyBorder="1" applyProtection="1">
      <protection locked="0"/>
    </xf>
    <xf numFmtId="0" fontId="11" fillId="3" borderId="8" xfId="5" applyFont="1" applyFill="1" applyBorder="1" applyAlignment="1">
      <alignment horizontal="center"/>
    </xf>
    <xf numFmtId="1" fontId="11" fillId="3" borderId="1" xfId="5" applyNumberFormat="1" applyFont="1" applyFill="1" applyBorder="1" applyAlignment="1">
      <alignment horizontal="right"/>
    </xf>
    <xf numFmtId="49" fontId="11" fillId="3" borderId="1" xfId="5" applyNumberFormat="1" applyFont="1" applyFill="1" applyBorder="1" applyAlignment="1">
      <alignment horizontal="right"/>
    </xf>
    <xf numFmtId="0" fontId="11" fillId="3" borderId="41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Protection="1">
      <protection locked="0"/>
    </xf>
    <xf numFmtId="0" fontId="5" fillId="3" borderId="1" xfId="5" applyFont="1" applyFill="1" applyBorder="1" applyAlignment="1">
      <alignment horizontal="center"/>
    </xf>
    <xf numFmtId="0" fontId="5" fillId="0" borderId="1" xfId="5" applyFont="1" applyBorder="1" applyAlignment="1" applyProtection="1">
      <alignment horizontal="center"/>
      <protection locked="0"/>
    </xf>
    <xf numFmtId="0" fontId="5" fillId="0" borderId="1" xfId="5" applyFont="1" applyBorder="1" applyProtection="1">
      <protection locked="0"/>
    </xf>
    <xf numFmtId="0" fontId="5" fillId="0" borderId="1" xfId="0" applyFont="1" applyBorder="1"/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9" xfId="0" applyFont="1" applyBorder="1"/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/>
    <xf numFmtId="0" fontId="5" fillId="0" borderId="1" xfId="4" applyFont="1" applyBorder="1"/>
    <xf numFmtId="0" fontId="29" fillId="0" borderId="1" xfId="4" applyFont="1" applyBorder="1" applyAlignment="1">
      <alignment horizontal="center"/>
    </xf>
    <xf numFmtId="0" fontId="12" fillId="3" borderId="8" xfId="4" applyFont="1" applyFill="1" applyBorder="1" applyAlignment="1">
      <alignment horizontal="center"/>
    </xf>
    <xf numFmtId="0" fontId="6" fillId="3" borderId="8" xfId="4" applyFont="1" applyFill="1" applyBorder="1" applyAlignment="1">
      <alignment horizontal="center"/>
    </xf>
    <xf numFmtId="0" fontId="6" fillId="3" borderId="26" xfId="4" applyFont="1" applyFill="1" applyBorder="1" applyAlignment="1">
      <alignment horizontal="center"/>
    </xf>
    <xf numFmtId="0" fontId="35" fillId="0" borderId="18" xfId="5" applyFont="1" applyBorder="1" applyAlignment="1">
      <alignment vertical="center" wrapText="1"/>
    </xf>
    <xf numFmtId="0" fontId="20" fillId="8" borderId="18" xfId="5" applyFont="1" applyFill="1" applyBorder="1"/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5" xfId="2" applyFont="1" applyBorder="1"/>
    <xf numFmtId="0" fontId="9" fillId="0" borderId="0" xfId="0" applyFont="1"/>
    <xf numFmtId="0" fontId="10" fillId="3" borderId="1" xfId="2" applyFont="1" applyFill="1" applyBorder="1"/>
    <xf numFmtId="0" fontId="7" fillId="0" borderId="8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0" fontId="7" fillId="0" borderId="9" xfId="2" applyFont="1" applyBorder="1"/>
    <xf numFmtId="0" fontId="10" fillId="3" borderId="21" xfId="2" applyFont="1" applyFill="1" applyBorder="1"/>
    <xf numFmtId="0" fontId="10" fillId="4" borderId="17" xfId="2" applyFont="1" applyFill="1" applyBorder="1"/>
    <xf numFmtId="0" fontId="10" fillId="4" borderId="18" xfId="2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11" fillId="3" borderId="21" xfId="0" applyFont="1" applyFill="1" applyBorder="1"/>
    <xf numFmtId="0" fontId="11" fillId="3" borderId="30" xfId="0" applyFont="1" applyFill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/>
    <xf numFmtId="3" fontId="12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3" fontId="25" fillId="0" borderId="0" xfId="5" applyNumberFormat="1" applyFont="1"/>
    <xf numFmtId="4" fontId="25" fillId="0" borderId="0" xfId="5" applyNumberFormat="1" applyFont="1"/>
    <xf numFmtId="4" fontId="19" fillId="0" borderId="7" xfId="0" applyNumberFormat="1" applyFont="1" applyBorder="1"/>
    <xf numFmtId="4" fontId="19" fillId="0" borderId="10" xfId="0" applyNumberFormat="1" applyFont="1" applyBorder="1"/>
    <xf numFmtId="4" fontId="19" fillId="0" borderId="14" xfId="0" applyNumberFormat="1" applyFont="1" applyBorder="1"/>
    <xf numFmtId="4" fontId="5" fillId="0" borderId="1" xfId="0" applyNumberFormat="1" applyFont="1" applyBorder="1"/>
    <xf numFmtId="3" fontId="11" fillId="3" borderId="21" xfId="5" applyNumberFormat="1" applyFont="1" applyFill="1" applyBorder="1"/>
    <xf numFmtId="4" fontId="11" fillId="3" borderId="21" xfId="5" applyNumberFormat="1" applyFont="1" applyFill="1" applyBorder="1"/>
    <xf numFmtId="3" fontId="37" fillId="4" borderId="40" xfId="5" applyNumberFormat="1" applyFont="1" applyFill="1" applyBorder="1" applyAlignment="1">
      <alignment horizontal="center"/>
    </xf>
    <xf numFmtId="3" fontId="37" fillId="4" borderId="20" xfId="5" applyNumberFormat="1" applyFont="1" applyFill="1" applyBorder="1"/>
    <xf numFmtId="3" fontId="11" fillId="4" borderId="18" xfId="5" applyNumberFormat="1" applyFont="1" applyFill="1" applyBorder="1"/>
    <xf numFmtId="3" fontId="12" fillId="4" borderId="17" xfId="5" applyNumberFormat="1" applyFont="1" applyFill="1" applyBorder="1" applyAlignment="1">
      <alignment horizontal="center"/>
    </xf>
    <xf numFmtId="3" fontId="12" fillId="4" borderId="18" xfId="5" applyNumberFormat="1" applyFont="1" applyFill="1" applyBorder="1"/>
    <xf numFmtId="3" fontId="12" fillId="4" borderId="20" xfId="5" applyNumberFormat="1" applyFont="1" applyFill="1" applyBorder="1"/>
    <xf numFmtId="0" fontId="20" fillId="8" borderId="19" xfId="5" applyFont="1" applyFill="1" applyBorder="1" applyAlignment="1">
      <alignment horizontal="center"/>
    </xf>
    <xf numFmtId="0" fontId="7" fillId="0" borderId="7" xfId="2" applyFont="1" applyBorder="1"/>
    <xf numFmtId="0" fontId="10" fillId="3" borderId="10" xfId="2" applyFont="1" applyFill="1" applyBorder="1"/>
    <xf numFmtId="0" fontId="7" fillId="0" borderId="10" xfId="2" applyFont="1" applyBorder="1"/>
    <xf numFmtId="0" fontId="10" fillId="3" borderId="27" xfId="2" applyFont="1" applyFill="1" applyBorder="1"/>
    <xf numFmtId="0" fontId="10" fillId="4" borderId="19" xfId="2" applyFont="1" applyFill="1" applyBorder="1"/>
    <xf numFmtId="0" fontId="3" fillId="0" borderId="0" xfId="5" applyAlignment="1">
      <alignment horizontal="left"/>
    </xf>
    <xf numFmtId="0" fontId="2" fillId="0" borderId="0" xfId="8" applyAlignment="1">
      <alignment horizontal="center"/>
    </xf>
    <xf numFmtId="0" fontId="2" fillId="0" borderId="0" xfId="9"/>
    <xf numFmtId="0" fontId="2" fillId="0" borderId="0" xfId="8"/>
    <xf numFmtId="0" fontId="34" fillId="0" borderId="0" xfId="8" applyFont="1" applyAlignment="1">
      <alignment horizontal="center"/>
    </xf>
    <xf numFmtId="0" fontId="8" fillId="0" borderId="0" xfId="5" applyFont="1"/>
    <xf numFmtId="0" fontId="17" fillId="0" borderId="0" xfId="5" applyFont="1"/>
    <xf numFmtId="0" fontId="23" fillId="0" borderId="0" xfId="8" applyFont="1" applyAlignment="1">
      <alignment horizontal="center"/>
    </xf>
    <xf numFmtId="0" fontId="23" fillId="0" borderId="0" xfId="8" applyFont="1"/>
    <xf numFmtId="0" fontId="18" fillId="0" borderId="0" xfId="5" applyFont="1" applyAlignment="1">
      <alignment horizontal="left"/>
    </xf>
    <xf numFmtId="0" fontId="18" fillId="0" borderId="0" xfId="5" applyFont="1"/>
    <xf numFmtId="0" fontId="34" fillId="0" borderId="0" xfId="8" applyFont="1" applyAlignment="1">
      <alignment horizontal="center" vertical="center"/>
    </xf>
    <xf numFmtId="0" fontId="35" fillId="0" borderId="0" xfId="8" applyFont="1" applyAlignment="1">
      <alignment vertical="center"/>
    </xf>
    <xf numFmtId="0" fontId="35" fillId="0" borderId="17" xfId="8" applyFont="1" applyBorder="1" applyAlignment="1">
      <alignment horizontal="center" vertical="center"/>
    </xf>
    <xf numFmtId="0" fontId="35" fillId="0" borderId="18" xfId="8" applyFont="1" applyBorder="1" applyAlignment="1">
      <alignment horizontal="center" vertical="center"/>
    </xf>
    <xf numFmtId="0" fontId="35" fillId="0" borderId="18" xfId="8" applyFont="1" applyBorder="1" applyAlignment="1">
      <alignment horizontal="center" vertical="center" wrapText="1"/>
    </xf>
    <xf numFmtId="0" fontId="20" fillId="8" borderId="17" xfId="8" applyFont="1" applyFill="1" applyBorder="1" applyAlignment="1">
      <alignment horizontal="center"/>
    </xf>
    <xf numFmtId="0" fontId="20" fillId="8" borderId="18" xfId="8" applyFont="1" applyFill="1" applyBorder="1" applyAlignment="1">
      <alignment horizontal="center"/>
    </xf>
    <xf numFmtId="0" fontId="20" fillId="8" borderId="20" xfId="8" applyFont="1" applyFill="1" applyBorder="1" applyAlignment="1">
      <alignment horizontal="center"/>
    </xf>
    <xf numFmtId="0" fontId="20" fillId="0" borderId="0" xfId="8" applyFont="1"/>
    <xf numFmtId="0" fontId="25" fillId="0" borderId="4" xfId="9" applyFont="1" applyBorder="1" applyAlignment="1">
      <alignment horizontal="center"/>
    </xf>
    <xf numFmtId="0" fontId="7" fillId="0" borderId="5" xfId="9" applyFont="1" applyBorder="1" applyAlignment="1">
      <alignment horizontal="center"/>
    </xf>
    <xf numFmtId="0" fontId="25" fillId="0" borderId="5" xfId="9" applyFont="1" applyBorder="1" applyAlignment="1">
      <alignment horizontal="center"/>
    </xf>
    <xf numFmtId="0" fontId="5" fillId="0" borderId="37" xfId="9" applyFont="1" applyBorder="1"/>
    <xf numFmtId="0" fontId="7" fillId="0" borderId="6" xfId="9" applyFont="1" applyBorder="1"/>
    <xf numFmtId="0" fontId="22" fillId="3" borderId="8" xfId="9" applyFont="1" applyFill="1" applyBorder="1" applyAlignment="1">
      <alignment horizontal="center"/>
    </xf>
    <xf numFmtId="0" fontId="10" fillId="3" borderId="1" xfId="9" applyFont="1" applyFill="1" applyBorder="1" applyAlignment="1">
      <alignment horizontal="center"/>
    </xf>
    <xf numFmtId="0" fontId="22" fillId="3" borderId="1" xfId="9" applyFont="1" applyFill="1" applyBorder="1" applyAlignment="1">
      <alignment horizontal="center"/>
    </xf>
    <xf numFmtId="0" fontId="10" fillId="3" borderId="28" xfId="9" applyFont="1" applyFill="1" applyBorder="1"/>
    <xf numFmtId="0" fontId="7" fillId="3" borderId="1" xfId="9" applyFont="1" applyFill="1" applyBorder="1" applyAlignment="1">
      <alignment horizontal="center"/>
    </xf>
    <xf numFmtId="0" fontId="7" fillId="3" borderId="9" xfId="9" applyFont="1" applyFill="1" applyBorder="1"/>
    <xf numFmtId="4" fontId="11" fillId="3" borderId="10" xfId="9" applyNumberFormat="1" applyFont="1" applyFill="1" applyBorder="1"/>
    <xf numFmtId="0" fontId="25" fillId="0" borderId="8" xfId="9" applyFont="1" applyBorder="1" applyAlignment="1">
      <alignment horizontal="center"/>
    </xf>
    <xf numFmtId="0" fontId="25" fillId="0" borderId="1" xfId="9" applyFont="1" applyBorder="1" applyAlignment="1">
      <alignment horizontal="center"/>
    </xf>
    <xf numFmtId="0" fontId="24" fillId="0" borderId="59" xfId="9" applyFont="1" applyBorder="1" applyAlignment="1">
      <alignment horizontal="center"/>
    </xf>
    <xf numFmtId="0" fontId="25" fillId="0" borderId="28" xfId="9" applyFont="1" applyBorder="1"/>
    <xf numFmtId="0" fontId="25" fillId="0" borderId="9" xfId="9" applyFont="1" applyBorder="1"/>
    <xf numFmtId="0" fontId="25" fillId="0" borderId="9" xfId="9" applyFont="1" applyBorder="1" applyAlignment="1">
      <alignment horizontal="left"/>
    </xf>
    <xf numFmtId="0" fontId="7" fillId="0" borderId="9" xfId="5" applyFont="1" applyBorder="1" applyAlignment="1">
      <alignment horizontal="left"/>
    </xf>
    <xf numFmtId="0" fontId="26" fillId="3" borderId="59" xfId="9" applyFont="1" applyFill="1" applyBorder="1" applyAlignment="1">
      <alignment horizontal="center"/>
    </xf>
    <xf numFmtId="0" fontId="22" fillId="3" borderId="28" xfId="9" applyFont="1" applyFill="1" applyBorder="1"/>
    <xf numFmtId="0" fontId="22" fillId="3" borderId="9" xfId="9" applyFont="1" applyFill="1" applyBorder="1"/>
    <xf numFmtId="4" fontId="22" fillId="3" borderId="10" xfId="9" applyNumberFormat="1" applyFont="1" applyFill="1" applyBorder="1"/>
    <xf numFmtId="0" fontId="25" fillId="3" borderId="1" xfId="9" applyFont="1" applyFill="1" applyBorder="1" applyAlignment="1">
      <alignment horizontal="center"/>
    </xf>
    <xf numFmtId="0" fontId="25" fillId="3" borderId="9" xfId="9" applyFont="1" applyFill="1" applyBorder="1"/>
    <xf numFmtId="0" fontId="7" fillId="0" borderId="9" xfId="9" applyFont="1" applyBorder="1"/>
    <xf numFmtId="0" fontId="22" fillId="3" borderId="29" xfId="9" applyFont="1" applyFill="1" applyBorder="1"/>
    <xf numFmtId="0" fontId="25" fillId="3" borderId="21" xfId="9" applyFont="1" applyFill="1" applyBorder="1" applyAlignment="1">
      <alignment horizontal="center"/>
    </xf>
    <xf numFmtId="0" fontId="25" fillId="3" borderId="30" xfId="9" applyFont="1" applyFill="1" applyBorder="1"/>
    <xf numFmtId="0" fontId="25" fillId="0" borderId="29" xfId="9" applyFont="1" applyBorder="1"/>
    <xf numFmtId="0" fontId="25" fillId="0" borderId="21" xfId="9" applyFont="1" applyBorder="1" applyAlignment="1">
      <alignment horizontal="center"/>
    </xf>
    <xf numFmtId="0" fontId="25" fillId="0" borderId="30" xfId="9" applyFont="1" applyBorder="1"/>
    <xf numFmtId="0" fontId="22" fillId="3" borderId="26" xfId="9" applyFont="1" applyFill="1" applyBorder="1" applyAlignment="1">
      <alignment horizontal="center"/>
    </xf>
    <xf numFmtId="0" fontId="22" fillId="3" borderId="21" xfId="9" applyFont="1" applyFill="1" applyBorder="1" applyAlignment="1">
      <alignment horizontal="center"/>
    </xf>
    <xf numFmtId="0" fontId="27" fillId="5" borderId="17" xfId="9" applyFont="1" applyFill="1" applyBorder="1" applyAlignment="1">
      <alignment horizontal="center"/>
    </xf>
    <xf numFmtId="0" fontId="2" fillId="5" borderId="18" xfId="9" applyFill="1" applyBorder="1"/>
    <xf numFmtId="0" fontId="2" fillId="5" borderId="18" xfId="9" applyFill="1" applyBorder="1" applyAlignment="1">
      <alignment horizontal="center"/>
    </xf>
    <xf numFmtId="3" fontId="11" fillId="7" borderId="18" xfId="8" applyNumberFormat="1" applyFont="1" applyFill="1" applyBorder="1"/>
    <xf numFmtId="0" fontId="2" fillId="5" borderId="20" xfId="9" applyFill="1" applyBorder="1"/>
    <xf numFmtId="0" fontId="2" fillId="5" borderId="42" xfId="9" applyFill="1" applyBorder="1"/>
    <xf numFmtId="0" fontId="24" fillId="0" borderId="0" xfId="9" applyFont="1" applyAlignment="1">
      <alignment horizontal="center"/>
    </xf>
    <xf numFmtId="0" fontId="2" fillId="0" borderId="0" xfId="9" applyAlignment="1">
      <alignment horizontal="center"/>
    </xf>
    <xf numFmtId="0" fontId="12" fillId="0" borderId="0" xfId="9" applyFont="1"/>
    <xf numFmtId="0" fontId="6" fillId="0" borderId="0" xfId="5" applyFont="1" applyAlignment="1">
      <alignment horizontal="center"/>
    </xf>
    <xf numFmtId="0" fontId="6" fillId="0" borderId="0" xfId="5" applyFont="1"/>
    <xf numFmtId="0" fontId="6" fillId="0" borderId="0" xfId="5" applyFont="1" applyAlignment="1">
      <alignment horizontal="left"/>
    </xf>
    <xf numFmtId="3" fontId="2" fillId="0" borderId="0" xfId="9" applyNumberFormat="1"/>
    <xf numFmtId="4" fontId="2" fillId="0" borderId="0" xfId="9" applyNumberFormat="1"/>
    <xf numFmtId="0" fontId="23" fillId="0" borderId="0" xfId="9" applyFont="1"/>
    <xf numFmtId="0" fontId="6" fillId="0" borderId="5" xfId="9" applyFont="1" applyBorder="1" applyAlignment="1">
      <alignment horizontal="center"/>
    </xf>
    <xf numFmtId="1" fontId="6" fillId="0" borderId="5" xfId="9" applyNumberFormat="1" applyFont="1" applyBorder="1" applyAlignment="1">
      <alignment horizontal="center"/>
    </xf>
    <xf numFmtId="0" fontId="25" fillId="0" borderId="5" xfId="9" applyFont="1" applyBorder="1"/>
    <xf numFmtId="0" fontId="25" fillId="0" borderId="6" xfId="9" applyFont="1" applyBorder="1"/>
    <xf numFmtId="0" fontId="6" fillId="0" borderId="1" xfId="9" applyFont="1" applyBorder="1" applyAlignment="1">
      <alignment horizontal="center"/>
    </xf>
    <xf numFmtId="1" fontId="6" fillId="0" borderId="1" xfId="9" applyNumberFormat="1" applyFont="1" applyBorder="1" applyAlignment="1">
      <alignment horizontal="center"/>
    </xf>
    <xf numFmtId="0" fontId="25" fillId="0" borderId="1" xfId="9" applyFont="1" applyBorder="1"/>
    <xf numFmtId="0" fontId="12" fillId="3" borderId="8" xfId="9" applyFont="1" applyFill="1" applyBorder="1" applyAlignment="1">
      <alignment horizontal="center"/>
    </xf>
    <xf numFmtId="0" fontId="12" fillId="3" borderId="1" xfId="9" applyFont="1" applyFill="1" applyBorder="1" applyAlignment="1">
      <alignment horizontal="center"/>
    </xf>
    <xf numFmtId="1" fontId="12" fillId="3" borderId="1" xfId="9" applyNumberFormat="1" applyFont="1" applyFill="1" applyBorder="1" applyAlignment="1">
      <alignment horizontal="center"/>
    </xf>
    <xf numFmtId="0" fontId="22" fillId="3" borderId="1" xfId="9" applyFont="1" applyFill="1" applyBorder="1"/>
    <xf numFmtId="4" fontId="12" fillId="3" borderId="10" xfId="9" applyNumberFormat="1" applyFont="1" applyFill="1" applyBorder="1"/>
    <xf numFmtId="0" fontId="25" fillId="3" borderId="1" xfId="9" applyFont="1" applyFill="1" applyBorder="1"/>
    <xf numFmtId="1" fontId="25" fillId="0" borderId="1" xfId="9" applyNumberFormat="1" applyFont="1" applyBorder="1" applyAlignment="1">
      <alignment horizontal="center"/>
    </xf>
    <xf numFmtId="0" fontId="7" fillId="0" borderId="1" xfId="5" applyFont="1" applyBorder="1" applyAlignment="1">
      <alignment horizontal="left"/>
    </xf>
    <xf numFmtId="1" fontId="6" fillId="3" borderId="1" xfId="9" applyNumberFormat="1" applyFont="1" applyFill="1" applyBorder="1" applyAlignment="1">
      <alignment horizontal="center"/>
    </xf>
    <xf numFmtId="4" fontId="12" fillId="3" borderId="10" xfId="9" applyNumberFormat="1" applyFont="1" applyFill="1" applyBorder="1" applyAlignment="1">
      <alignment horizontal="right"/>
    </xf>
    <xf numFmtId="1" fontId="24" fillId="0" borderId="1" xfId="9" applyNumberFormat="1" applyFont="1" applyBorder="1" applyAlignment="1">
      <alignment horizontal="center"/>
    </xf>
    <xf numFmtId="0" fontId="12" fillId="3" borderId="26" xfId="9" applyFont="1" applyFill="1" applyBorder="1" applyAlignment="1">
      <alignment horizontal="center"/>
    </xf>
    <xf numFmtId="0" fontId="12" fillId="3" borderId="21" xfId="9" applyFont="1" applyFill="1" applyBorder="1" applyAlignment="1">
      <alignment horizontal="center"/>
    </xf>
    <xf numFmtId="1" fontId="12" fillId="3" borderId="21" xfId="9" applyNumberFormat="1" applyFont="1" applyFill="1" applyBorder="1" applyAlignment="1">
      <alignment horizontal="center"/>
    </xf>
    <xf numFmtId="0" fontId="22" fillId="3" borderId="21" xfId="9" applyFont="1" applyFill="1" applyBorder="1"/>
    <xf numFmtId="0" fontId="25" fillId="3" borderId="21" xfId="9" applyFont="1" applyFill="1" applyBorder="1"/>
    <xf numFmtId="0" fontId="24" fillId="5" borderId="17" xfId="9" applyFont="1" applyFill="1" applyBorder="1" applyAlignment="1">
      <alignment horizontal="center"/>
    </xf>
    <xf numFmtId="1" fontId="2" fillId="5" borderId="18" xfId="9" applyNumberFormat="1" applyFill="1" applyBorder="1" applyAlignment="1">
      <alignment horizontal="center"/>
    </xf>
    <xf numFmtId="1" fontId="2" fillId="0" borderId="0" xfId="9" applyNumberFormat="1" applyAlignment="1">
      <alignment horizontal="center"/>
    </xf>
    <xf numFmtId="0" fontId="6" fillId="0" borderId="37" xfId="9" applyFont="1" applyBorder="1"/>
    <xf numFmtId="0" fontId="6" fillId="0" borderId="6" xfId="9" applyFont="1" applyBorder="1"/>
    <xf numFmtId="0" fontId="6" fillId="0" borderId="9" xfId="9" applyFont="1" applyBorder="1"/>
    <xf numFmtId="1" fontId="22" fillId="3" borderId="1" xfId="9" applyNumberFormat="1" applyFont="1" applyFill="1" applyBorder="1" applyAlignment="1">
      <alignment horizontal="center"/>
    </xf>
    <xf numFmtId="0" fontId="12" fillId="3" borderId="9" xfId="9" applyFont="1" applyFill="1" applyBorder="1" applyAlignment="1">
      <alignment horizontal="left"/>
    </xf>
    <xf numFmtId="0" fontId="12" fillId="3" borderId="48" xfId="9" applyFont="1" applyFill="1" applyBorder="1" applyAlignment="1">
      <alignment horizontal="left"/>
    </xf>
    <xf numFmtId="0" fontId="6" fillId="0" borderId="28" xfId="9" applyFont="1" applyBorder="1"/>
    <xf numFmtId="0" fontId="12" fillId="3" borderId="28" xfId="9" applyFont="1" applyFill="1" applyBorder="1"/>
    <xf numFmtId="0" fontId="12" fillId="3" borderId="9" xfId="9" applyFont="1" applyFill="1" applyBorder="1"/>
    <xf numFmtId="0" fontId="12" fillId="3" borderId="48" xfId="9" applyFont="1" applyFill="1" applyBorder="1"/>
    <xf numFmtId="4" fontId="11" fillId="3" borderId="10" xfId="9" applyNumberFormat="1" applyFont="1" applyFill="1" applyBorder="1" applyAlignment="1">
      <alignment horizontal="right"/>
    </xf>
    <xf numFmtId="0" fontId="6" fillId="3" borderId="1" xfId="9" applyFont="1" applyFill="1" applyBorder="1" applyAlignment="1">
      <alignment horizontal="center"/>
    </xf>
    <xf numFmtId="0" fontId="6" fillId="3" borderId="9" xfId="9" applyFont="1" applyFill="1" applyBorder="1"/>
    <xf numFmtId="0" fontId="6" fillId="3" borderId="48" xfId="9" applyFont="1" applyFill="1" applyBorder="1"/>
    <xf numFmtId="0" fontId="6" fillId="0" borderId="29" xfId="9" applyFont="1" applyBorder="1"/>
    <xf numFmtId="0" fontId="6" fillId="0" borderId="21" xfId="9" applyFont="1" applyBorder="1" applyAlignment="1">
      <alignment horizontal="center"/>
    </xf>
    <xf numFmtId="0" fontId="12" fillId="3" borderId="29" xfId="9" applyFont="1" applyFill="1" applyBorder="1"/>
    <xf numFmtId="0" fontId="12" fillId="3" borderId="30" xfId="9" applyFont="1" applyFill="1" applyBorder="1"/>
    <xf numFmtId="0" fontId="12" fillId="3" borderId="49" xfId="9" applyFont="1" applyFill="1" applyBorder="1"/>
    <xf numFmtId="0" fontId="28" fillId="7" borderId="17" xfId="9" applyFont="1" applyFill="1" applyBorder="1" applyAlignment="1">
      <alignment horizontal="center"/>
    </xf>
    <xf numFmtId="0" fontId="11" fillId="7" borderId="18" xfId="9" applyFont="1" applyFill="1" applyBorder="1" applyAlignment="1">
      <alignment horizontal="center"/>
    </xf>
    <xf numFmtId="1" fontId="11" fillId="7" borderId="18" xfId="9" applyNumberFormat="1" applyFont="1" applyFill="1" applyBorder="1" applyAlignment="1">
      <alignment horizontal="center"/>
    </xf>
    <xf numFmtId="0" fontId="11" fillId="7" borderId="20" xfId="9" applyFont="1" applyFill="1" applyBorder="1"/>
    <xf numFmtId="1" fontId="20" fillId="0" borderId="0" xfId="9" applyNumberFormat="1" applyFont="1" applyAlignment="1">
      <alignment horizontal="center"/>
    </xf>
    <xf numFmtId="1" fontId="20" fillId="0" borderId="0" xfId="9" applyNumberFormat="1" applyFont="1"/>
    <xf numFmtId="0" fontId="12" fillId="0" borderId="0" xfId="5" applyFont="1" applyAlignment="1">
      <alignment horizontal="center"/>
    </xf>
    <xf numFmtId="0" fontId="25" fillId="0" borderId="0" xfId="8" applyFont="1" applyAlignment="1">
      <alignment horizontal="center"/>
    </xf>
    <xf numFmtId="0" fontId="22" fillId="0" borderId="0" xfId="8" applyFont="1" applyAlignment="1">
      <alignment horizontal="center"/>
    </xf>
    <xf numFmtId="0" fontId="22" fillId="0" borderId="17" xfId="8" applyFont="1" applyBorder="1" applyAlignment="1">
      <alignment horizontal="center" vertical="center"/>
    </xf>
    <xf numFmtId="0" fontId="25" fillId="8" borderId="17" xfId="8" applyFont="1" applyFill="1" applyBorder="1" applyAlignment="1">
      <alignment horizontal="center"/>
    </xf>
    <xf numFmtId="0" fontId="5" fillId="0" borderId="5" xfId="9" applyFont="1" applyBorder="1"/>
    <xf numFmtId="0" fontId="7" fillId="0" borderId="5" xfId="9" applyFont="1" applyBorder="1"/>
    <xf numFmtId="0" fontId="25" fillId="0" borderId="6" xfId="9" applyFont="1" applyBorder="1" applyAlignment="1">
      <alignment horizontal="left"/>
    </xf>
    <xf numFmtId="0" fontId="7" fillId="0" borderId="1" xfId="9" applyFont="1" applyBorder="1" applyAlignment="1">
      <alignment horizontal="center"/>
    </xf>
    <xf numFmtId="0" fontId="5" fillId="0" borderId="1" xfId="9" applyFont="1" applyBorder="1"/>
    <xf numFmtId="0" fontId="29" fillId="0" borderId="1" xfId="4" applyFont="1" applyBorder="1"/>
    <xf numFmtId="0" fontId="7" fillId="0" borderId="1" xfId="9" applyFont="1" applyBorder="1"/>
    <xf numFmtId="0" fontId="30" fillId="3" borderId="1" xfId="4" applyFont="1" applyFill="1" applyBorder="1"/>
    <xf numFmtId="4" fontId="10" fillId="3" borderId="10" xfId="9" applyNumberFormat="1" applyFont="1" applyFill="1" applyBorder="1" applyAlignment="1">
      <alignment horizontal="right"/>
    </xf>
    <xf numFmtId="0" fontId="5" fillId="0" borderId="1" xfId="4" applyFont="1" applyBorder="1" applyAlignment="1">
      <alignment horizontal="center"/>
    </xf>
    <xf numFmtId="0" fontId="5" fillId="0" borderId="9" xfId="4" applyFont="1" applyBorder="1" applyAlignment="1">
      <alignment horizontal="left"/>
    </xf>
    <xf numFmtId="0" fontId="11" fillId="3" borderId="1" xfId="4" applyFont="1" applyFill="1" applyBorder="1"/>
    <xf numFmtId="4" fontId="10" fillId="3" borderId="10" xfId="9" applyNumberFormat="1" applyFont="1" applyFill="1" applyBorder="1"/>
    <xf numFmtId="0" fontId="31" fillId="0" borderId="1" xfId="4" applyFont="1" applyBorder="1"/>
    <xf numFmtId="0" fontId="31" fillId="0" borderId="1" xfId="4" applyFont="1" applyBorder="1" applyAlignment="1">
      <alignment horizontal="center"/>
    </xf>
    <xf numFmtId="0" fontId="5" fillId="0" borderId="1" xfId="9" applyFont="1" applyBorder="1" applyAlignment="1">
      <alignment horizontal="center"/>
    </xf>
    <xf numFmtId="0" fontId="11" fillId="3" borderId="1" xfId="9" applyFont="1" applyFill="1" applyBorder="1"/>
    <xf numFmtId="0" fontId="11" fillId="3" borderId="1" xfId="9" applyFont="1" applyFill="1" applyBorder="1" applyAlignment="1">
      <alignment horizontal="center"/>
    </xf>
    <xf numFmtId="0" fontId="11" fillId="3" borderId="9" xfId="9" applyFont="1" applyFill="1" applyBorder="1" applyAlignment="1">
      <alignment horizontal="left"/>
    </xf>
    <xf numFmtId="0" fontId="32" fillId="3" borderId="1" xfId="4" applyFont="1" applyFill="1" applyBorder="1"/>
    <xf numFmtId="0" fontId="29" fillId="3" borderId="1" xfId="4" applyFont="1" applyFill="1" applyBorder="1"/>
    <xf numFmtId="0" fontId="5" fillId="3" borderId="1" xfId="9" applyFont="1" applyFill="1" applyBorder="1" applyAlignment="1">
      <alignment horizontal="center"/>
    </xf>
    <xf numFmtId="0" fontId="33" fillId="0" borderId="1" xfId="4" applyFont="1" applyBorder="1"/>
    <xf numFmtId="0" fontId="30" fillId="3" borderId="21" xfId="4" applyFont="1" applyFill="1" applyBorder="1"/>
    <xf numFmtId="0" fontId="6" fillId="7" borderId="17" xfId="9" applyFont="1" applyFill="1" applyBorder="1" applyAlignment="1">
      <alignment horizontal="center"/>
    </xf>
    <xf numFmtId="0" fontId="5" fillId="7" borderId="18" xfId="9" applyFont="1" applyFill="1" applyBorder="1" applyAlignment="1">
      <alignment horizontal="center"/>
    </xf>
    <xf numFmtId="0" fontId="5" fillId="7" borderId="18" xfId="9" applyFont="1" applyFill="1" applyBorder="1"/>
    <xf numFmtId="0" fontId="5" fillId="7" borderId="20" xfId="9" applyFont="1" applyFill="1" applyBorder="1" applyAlignment="1">
      <alignment horizontal="left"/>
    </xf>
    <xf numFmtId="0" fontId="25" fillId="0" borderId="0" xfId="9" applyFont="1" applyAlignment="1">
      <alignment horizontal="center"/>
    </xf>
    <xf numFmtId="0" fontId="2" fillId="0" borderId="0" xfId="9" applyAlignment="1">
      <alignment horizontal="left"/>
    </xf>
    <xf numFmtId="0" fontId="12" fillId="0" borderId="0" xfId="5" applyFont="1" applyAlignment="1">
      <alignment horizontal="left"/>
    </xf>
    <xf numFmtId="4" fontId="10" fillId="4" borderId="61" xfId="2" applyNumberFormat="1" applyFont="1" applyFill="1" applyBorder="1"/>
    <xf numFmtId="3" fontId="11" fillId="3" borderId="28" xfId="5" applyNumberFormat="1" applyFont="1" applyFill="1" applyBorder="1"/>
    <xf numFmtId="3" fontId="11" fillId="3" borderId="28" xfId="5" applyNumberFormat="1" applyFont="1" applyFill="1" applyBorder="1" applyAlignment="1">
      <alignment horizontal="right"/>
    </xf>
    <xf numFmtId="3" fontId="35" fillId="3" borderId="28" xfId="5" applyNumberFormat="1" applyFont="1" applyFill="1" applyBorder="1"/>
    <xf numFmtId="0" fontId="16" fillId="0" borderId="0" xfId="5" applyFont="1" applyAlignment="1">
      <alignment horizontal="left"/>
    </xf>
    <xf numFmtId="3" fontId="34" fillId="0" borderId="0" xfId="5" applyNumberFormat="1" applyFont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13" fillId="0" borderId="66" xfId="0" applyFont="1" applyBorder="1"/>
    <xf numFmtId="3" fontId="7" fillId="0" borderId="28" xfId="0" applyNumberFormat="1" applyFont="1" applyBorder="1" applyAlignment="1">
      <alignment horizontal="right"/>
    </xf>
    <xf numFmtId="3" fontId="5" fillId="0" borderId="28" xfId="0" applyNumberFormat="1" applyFont="1" applyBorder="1"/>
    <xf numFmtId="4" fontId="7" fillId="0" borderId="1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7" fillId="0" borderId="9" xfId="0" applyNumberFormat="1" applyFont="1" applyBorder="1" applyAlignment="1">
      <alignment horizontal="right"/>
    </xf>
    <xf numFmtId="3" fontId="37" fillId="7" borderId="18" xfId="5" applyNumberFormat="1" applyFont="1" applyFill="1" applyBorder="1"/>
    <xf numFmtId="4" fontId="37" fillId="7" borderId="18" xfId="5" applyNumberFormat="1" applyFont="1" applyFill="1" applyBorder="1"/>
    <xf numFmtId="4" fontId="11" fillId="3" borderId="9" xfId="5" applyNumberFormat="1" applyFont="1" applyFill="1" applyBorder="1"/>
    <xf numFmtId="4" fontId="11" fillId="3" borderId="9" xfId="5" applyNumberFormat="1" applyFont="1" applyFill="1" applyBorder="1" applyAlignment="1">
      <alignment horizontal="right"/>
    </xf>
    <xf numFmtId="4" fontId="35" fillId="3" borderId="9" xfId="5" applyNumberFormat="1" applyFont="1" applyFill="1" applyBorder="1"/>
    <xf numFmtId="4" fontId="7" fillId="0" borderId="10" xfId="0" applyNumberFormat="1" applyFont="1" applyBorder="1" applyAlignment="1">
      <alignment horizontal="right"/>
    </xf>
    <xf numFmtId="4" fontId="10" fillId="3" borderId="9" xfId="2" applyNumberFormat="1" applyFont="1" applyFill="1" applyBorder="1"/>
    <xf numFmtId="4" fontId="10" fillId="3" borderId="13" xfId="2" applyNumberFormat="1" applyFont="1" applyFill="1" applyBorder="1"/>
    <xf numFmtId="4" fontId="20" fillId="8" borderId="56" xfId="5" applyNumberFormat="1" applyFont="1" applyFill="1" applyBorder="1" applyAlignment="1">
      <alignment horizontal="center"/>
    </xf>
    <xf numFmtId="0" fontId="6" fillId="3" borderId="37" xfId="9" applyFont="1" applyFill="1" applyBorder="1"/>
    <xf numFmtId="3" fontId="10" fillId="4" borderId="12" xfId="2" applyNumberFormat="1" applyFont="1" applyFill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4" fontId="22" fillId="0" borderId="21" xfId="0" applyNumberFormat="1" applyFont="1" applyBorder="1" applyAlignment="1">
      <alignment horizontal="center" vertical="center" wrapText="1"/>
    </xf>
    <xf numFmtId="4" fontId="22" fillId="0" borderId="30" xfId="0" applyNumberFormat="1" applyFont="1" applyBorder="1" applyAlignment="1">
      <alignment horizontal="center" vertical="center" wrapText="1"/>
    </xf>
    <xf numFmtId="4" fontId="22" fillId="0" borderId="27" xfId="0" applyNumberFormat="1" applyFont="1" applyBorder="1" applyAlignment="1">
      <alignment horizontal="center" vertical="center" wrapText="1"/>
    </xf>
    <xf numFmtId="3" fontId="11" fillId="4" borderId="12" xfId="2" applyNumberFormat="1" applyFont="1" applyFill="1" applyBorder="1" applyAlignment="1">
      <alignment horizontal="center" vertical="center" wrapText="1"/>
    </xf>
    <xf numFmtId="3" fontId="34" fillId="0" borderId="23" xfId="5" applyNumberFormat="1" applyFont="1" applyBorder="1"/>
    <xf numFmtId="3" fontId="34" fillId="0" borderId="24" xfId="5" applyNumberFormat="1" applyFont="1" applyBorder="1"/>
    <xf numFmtId="4" fontId="34" fillId="0" borderId="24" xfId="5" applyNumberFormat="1" applyFont="1" applyBorder="1"/>
    <xf numFmtId="4" fontId="25" fillId="0" borderId="24" xfId="5" applyNumberFormat="1" applyFont="1" applyBorder="1"/>
    <xf numFmtId="3" fontId="6" fillId="0" borderId="46" xfId="5" applyNumberFormat="1" applyFont="1" applyBorder="1"/>
    <xf numFmtId="3" fontId="6" fillId="0" borderId="24" xfId="5" applyNumberFormat="1" applyFont="1" applyBorder="1"/>
    <xf numFmtId="4" fontId="6" fillId="0" borderId="24" xfId="5" applyNumberFormat="1" applyFont="1" applyBorder="1"/>
    <xf numFmtId="3" fontId="6" fillId="0" borderId="23" xfId="5" applyNumberFormat="1" applyFont="1" applyBorder="1"/>
    <xf numFmtId="4" fontId="6" fillId="0" borderId="25" xfId="5" applyNumberFormat="1" applyFont="1" applyBorder="1"/>
    <xf numFmtId="0" fontId="10" fillId="0" borderId="58" xfId="0" applyFont="1" applyBorder="1" applyAlignment="1">
      <alignment vertical="center" wrapText="1"/>
    </xf>
    <xf numFmtId="3" fontId="34" fillId="0" borderId="33" xfId="5" applyNumberFormat="1" applyFont="1" applyBorder="1"/>
    <xf numFmtId="3" fontId="34" fillId="0" borderId="34" xfId="5" applyNumberFormat="1" applyFont="1" applyBorder="1"/>
    <xf numFmtId="4" fontId="34" fillId="0" borderId="34" xfId="5" applyNumberFormat="1" applyFont="1" applyBorder="1"/>
    <xf numFmtId="4" fontId="25" fillId="0" borderId="34" xfId="5" applyNumberFormat="1" applyFont="1" applyBorder="1"/>
    <xf numFmtId="3" fontId="6" fillId="0" borderId="34" xfId="5" applyNumberFormat="1" applyFont="1" applyBorder="1"/>
    <xf numFmtId="3" fontId="5" fillId="0" borderId="34" xfId="5" applyNumberFormat="1" applyFont="1" applyBorder="1"/>
    <xf numFmtId="4" fontId="6" fillId="0" borderId="34" xfId="5" applyNumberFormat="1" applyFont="1" applyBorder="1"/>
    <xf numFmtId="3" fontId="6" fillId="0" borderId="33" xfId="5" applyNumberFormat="1" applyFont="1" applyBorder="1"/>
    <xf numFmtId="4" fontId="6" fillId="0" borderId="35" xfId="5" applyNumberFormat="1" applyFont="1" applyBorder="1"/>
    <xf numFmtId="3" fontId="34" fillId="0" borderId="1" xfId="5" applyNumberFormat="1" applyFont="1" applyBorder="1"/>
    <xf numFmtId="4" fontId="34" fillId="0" borderId="1" xfId="5" applyNumberFormat="1" applyFont="1" applyBorder="1"/>
    <xf numFmtId="4" fontId="25" fillId="0" borderId="1" xfId="5" applyNumberFormat="1" applyFont="1" applyBorder="1"/>
    <xf numFmtId="3" fontId="6" fillId="0" borderId="1" xfId="5" applyNumberFormat="1" applyFont="1" applyBorder="1"/>
    <xf numFmtId="4" fontId="6" fillId="0" borderId="1" xfId="5" applyNumberFormat="1" applyFont="1" applyBorder="1"/>
    <xf numFmtId="3" fontId="34" fillId="0" borderId="8" xfId="5" applyNumberFormat="1" applyFont="1" applyBorder="1"/>
    <xf numFmtId="4" fontId="6" fillId="0" borderId="10" xfId="5" applyNumberFormat="1" applyFont="1" applyBorder="1"/>
    <xf numFmtId="3" fontId="10" fillId="3" borderId="9" xfId="2" applyNumberFormat="1" applyFont="1" applyFill="1" applyBorder="1"/>
    <xf numFmtId="3" fontId="10" fillId="3" borderId="13" xfId="2" applyNumberFormat="1" applyFont="1" applyFill="1" applyBorder="1"/>
    <xf numFmtId="3" fontId="10" fillId="4" borderId="61" xfId="2" applyNumberFormat="1" applyFont="1" applyFill="1" applyBorder="1"/>
    <xf numFmtId="4" fontId="34" fillId="0" borderId="32" xfId="5" applyNumberFormat="1" applyFont="1" applyBorder="1"/>
    <xf numFmtId="4" fontId="34" fillId="0" borderId="9" xfId="5" applyNumberFormat="1" applyFont="1" applyBorder="1"/>
    <xf numFmtId="3" fontId="6" fillId="0" borderId="28" xfId="5" applyNumberFormat="1" applyFont="1" applyBorder="1"/>
    <xf numFmtId="3" fontId="6" fillId="0" borderId="8" xfId="5" applyNumberFormat="1" applyFont="1" applyBorder="1"/>
    <xf numFmtId="3" fontId="11" fillId="3" borderId="29" xfId="5" applyNumberFormat="1" applyFont="1" applyFill="1" applyBorder="1"/>
    <xf numFmtId="4" fontId="19" fillId="0" borderId="6" xfId="0" applyNumberFormat="1" applyFont="1" applyBorder="1"/>
    <xf numFmtId="4" fontId="19" fillId="0" borderId="9" xfId="0" applyNumberFormat="1" applyFont="1" applyBorder="1"/>
    <xf numFmtId="4" fontId="19" fillId="0" borderId="13" xfId="0" applyNumberFormat="1" applyFont="1" applyBorder="1"/>
    <xf numFmtId="3" fontId="35" fillId="0" borderId="0" xfId="5" applyNumberFormat="1" applyFont="1"/>
    <xf numFmtId="4" fontId="35" fillId="0" borderId="0" xfId="5" applyNumberFormat="1" applyFont="1"/>
    <xf numFmtId="4" fontId="35" fillId="0" borderId="55" xfId="5" applyNumberFormat="1" applyFont="1" applyBorder="1"/>
    <xf numFmtId="3" fontId="12" fillId="0" borderId="55" xfId="5" applyNumberFormat="1" applyFont="1" applyBorder="1"/>
    <xf numFmtId="3" fontId="6" fillId="0" borderId="55" xfId="5" applyNumberFormat="1" applyFont="1" applyBorder="1"/>
    <xf numFmtId="3" fontId="5" fillId="0" borderId="55" xfId="5" applyNumberFormat="1" applyFont="1" applyBorder="1"/>
    <xf numFmtId="4" fontId="6" fillId="0" borderId="55" xfId="5" applyNumberFormat="1" applyFont="1" applyBorder="1"/>
    <xf numFmtId="4" fontId="12" fillId="0" borderId="55" xfId="5" applyNumberFormat="1" applyFont="1" applyBorder="1"/>
    <xf numFmtId="3" fontId="34" fillId="0" borderId="0" xfId="5" applyNumberFormat="1" applyFont="1" applyAlignment="1">
      <alignment horizontal="right"/>
    </xf>
    <xf numFmtId="3" fontId="12" fillId="0" borderId="0" xfId="5" applyNumberFormat="1" applyFont="1"/>
    <xf numFmtId="3" fontId="6" fillId="0" borderId="0" xfId="5" applyNumberFormat="1" applyFont="1"/>
    <xf numFmtId="3" fontId="5" fillId="0" borderId="0" xfId="5" applyNumberFormat="1" applyFont="1"/>
    <xf numFmtId="4" fontId="6" fillId="0" borderId="0" xfId="5" applyNumberFormat="1" applyFont="1"/>
    <xf numFmtId="4" fontId="12" fillId="0" borderId="0" xfId="5" applyNumberFormat="1" applyFont="1"/>
    <xf numFmtId="3" fontId="12" fillId="3" borderId="1" xfId="5" applyNumberFormat="1" applyFont="1" applyFill="1" applyBorder="1"/>
    <xf numFmtId="4" fontId="12" fillId="3" borderId="1" xfId="5" applyNumberFormat="1" applyFont="1" applyFill="1" applyBorder="1"/>
    <xf numFmtId="3" fontId="12" fillId="3" borderId="1" xfId="5" applyNumberFormat="1" applyFont="1" applyFill="1" applyBorder="1" applyAlignment="1">
      <alignment horizontal="right"/>
    </xf>
    <xf numFmtId="4" fontId="12" fillId="3" borderId="1" xfId="5" applyNumberFormat="1" applyFont="1" applyFill="1" applyBorder="1" applyAlignment="1">
      <alignment horizontal="right"/>
    </xf>
    <xf numFmtId="3" fontId="12" fillId="3" borderId="8" xfId="5" applyNumberFormat="1" applyFont="1" applyFill="1" applyBorder="1"/>
    <xf numFmtId="3" fontId="12" fillId="3" borderId="8" xfId="5" applyNumberFormat="1" applyFont="1" applyFill="1" applyBorder="1" applyAlignment="1">
      <alignment horizontal="right"/>
    </xf>
    <xf numFmtId="4" fontId="12" fillId="3" borderId="9" xfId="5" applyNumberFormat="1" applyFont="1" applyFill="1" applyBorder="1"/>
    <xf numFmtId="4" fontId="12" fillId="3" borderId="9" xfId="5" applyNumberFormat="1" applyFont="1" applyFill="1" applyBorder="1" applyAlignment="1">
      <alignment horizontal="right"/>
    </xf>
    <xf numFmtId="3" fontId="12" fillId="3" borderId="28" xfId="5" applyNumberFormat="1" applyFont="1" applyFill="1" applyBorder="1"/>
    <xf numFmtId="3" fontId="12" fillId="3" borderId="28" xfId="5" applyNumberFormat="1" applyFont="1" applyFill="1" applyBorder="1" applyAlignment="1">
      <alignment horizontal="right"/>
    </xf>
    <xf numFmtId="3" fontId="12" fillId="3" borderId="21" xfId="5" applyNumberFormat="1" applyFont="1" applyFill="1" applyBorder="1"/>
    <xf numFmtId="4" fontId="12" fillId="3" borderId="21" xfId="5" applyNumberFormat="1" applyFont="1" applyFill="1" applyBorder="1"/>
    <xf numFmtId="4" fontId="12" fillId="3" borderId="30" xfId="5" applyNumberFormat="1" applyFont="1" applyFill="1" applyBorder="1"/>
    <xf numFmtId="3" fontId="12" fillId="3" borderId="29" xfId="5" applyNumberFormat="1" applyFont="1" applyFill="1" applyBorder="1"/>
    <xf numFmtId="3" fontId="12" fillId="6" borderId="17" xfId="5" applyNumberFormat="1" applyFont="1" applyFill="1" applyBorder="1"/>
    <xf numFmtId="3" fontId="12" fillId="6" borderId="18" xfId="5" applyNumberFormat="1" applyFont="1" applyFill="1" applyBorder="1"/>
    <xf numFmtId="4" fontId="12" fillId="6" borderId="18" xfId="5" applyNumberFormat="1" applyFont="1" applyFill="1" applyBorder="1"/>
    <xf numFmtId="4" fontId="12" fillId="6" borderId="19" xfId="5" applyNumberFormat="1" applyFont="1" applyFill="1" applyBorder="1"/>
    <xf numFmtId="0" fontId="12" fillId="0" borderId="58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4" fontId="34" fillId="0" borderId="36" xfId="5" applyNumberFormat="1" applyFont="1" applyBorder="1"/>
    <xf numFmtId="3" fontId="10" fillId="3" borderId="3" xfId="2" applyNumberFormat="1" applyFont="1" applyFill="1" applyBorder="1"/>
    <xf numFmtId="4" fontId="10" fillId="3" borderId="10" xfId="2" applyNumberFormat="1" applyFont="1" applyFill="1" applyBorder="1"/>
    <xf numFmtId="3" fontId="10" fillId="3" borderId="16" xfId="2" applyNumberFormat="1" applyFont="1" applyFill="1" applyBorder="1"/>
    <xf numFmtId="4" fontId="10" fillId="3" borderId="14" xfId="2" applyNumberFormat="1" applyFont="1" applyFill="1" applyBorder="1"/>
    <xf numFmtId="3" fontId="10" fillId="4" borderId="60" xfId="2" applyNumberFormat="1" applyFont="1" applyFill="1" applyBorder="1"/>
    <xf numFmtId="4" fontId="10" fillId="4" borderId="63" xfId="2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/>
    <xf numFmtId="4" fontId="11" fillId="3" borderId="1" xfId="0" applyNumberFormat="1" applyFont="1" applyFill="1" applyBorder="1"/>
    <xf numFmtId="3" fontId="11" fillId="3" borderId="8" xfId="0" applyNumberFormat="1" applyFont="1" applyFill="1" applyBorder="1" applyAlignment="1">
      <alignment horizontal="right"/>
    </xf>
    <xf numFmtId="3" fontId="11" fillId="3" borderId="8" xfId="0" applyNumberFormat="1" applyFont="1" applyFill="1" applyBorder="1"/>
    <xf numFmtId="4" fontId="11" fillId="3" borderId="9" xfId="0" applyNumberFormat="1" applyFont="1" applyFill="1" applyBorder="1" applyAlignment="1">
      <alignment horizontal="right"/>
    </xf>
    <xf numFmtId="4" fontId="11" fillId="3" borderId="9" xfId="0" applyNumberFormat="1" applyFont="1" applyFill="1" applyBorder="1"/>
    <xf numFmtId="3" fontId="11" fillId="3" borderId="28" xfId="0" applyNumberFormat="1" applyFont="1" applyFill="1" applyBorder="1" applyAlignment="1">
      <alignment horizontal="right"/>
    </xf>
    <xf numFmtId="3" fontId="11" fillId="3" borderId="28" xfId="0" applyNumberFormat="1" applyFont="1" applyFill="1" applyBorder="1"/>
    <xf numFmtId="3" fontId="11" fillId="3" borderId="26" xfId="0" applyNumberFormat="1" applyFont="1" applyFill="1" applyBorder="1" applyAlignment="1">
      <alignment horizontal="right"/>
    </xf>
    <xf numFmtId="3" fontId="11" fillId="3" borderId="21" xfId="0" applyNumberFormat="1" applyFont="1" applyFill="1" applyBorder="1" applyAlignment="1">
      <alignment horizontal="right"/>
    </xf>
    <xf numFmtId="4" fontId="11" fillId="3" borderId="21" xfId="0" applyNumberFormat="1" applyFont="1" applyFill="1" applyBorder="1" applyAlignment="1">
      <alignment horizontal="right"/>
    </xf>
    <xf numFmtId="4" fontId="11" fillId="3" borderId="30" xfId="0" applyNumberFormat="1" applyFont="1" applyFill="1" applyBorder="1" applyAlignment="1">
      <alignment horizontal="right"/>
    </xf>
    <xf numFmtId="4" fontId="11" fillId="3" borderId="27" xfId="0" applyNumberFormat="1" applyFont="1" applyFill="1" applyBorder="1" applyAlignment="1">
      <alignment horizontal="right"/>
    </xf>
    <xf numFmtId="3" fontId="11" fillId="3" borderId="29" xfId="0" applyNumberFormat="1" applyFont="1" applyFill="1" applyBorder="1" applyAlignment="1">
      <alignment horizontal="right"/>
    </xf>
    <xf numFmtId="3" fontId="11" fillId="4" borderId="17" xfId="0" applyNumberFormat="1" applyFont="1" applyFill="1" applyBorder="1" applyAlignment="1">
      <alignment horizontal="right"/>
    </xf>
    <xf numFmtId="3" fontId="11" fillId="4" borderId="18" xfId="0" applyNumberFormat="1" applyFont="1" applyFill="1" applyBorder="1" applyAlignment="1">
      <alignment horizontal="right"/>
    </xf>
    <xf numFmtId="4" fontId="11" fillId="4" borderId="18" xfId="0" applyNumberFormat="1" applyFont="1" applyFill="1" applyBorder="1" applyAlignment="1">
      <alignment horizontal="right"/>
    </xf>
    <xf numFmtId="4" fontId="11" fillId="4" borderId="20" xfId="0" applyNumberFormat="1" applyFont="1" applyFill="1" applyBorder="1" applyAlignment="1">
      <alignment horizontal="right"/>
    </xf>
    <xf numFmtId="4" fontId="11" fillId="4" borderId="19" xfId="0" applyNumberFormat="1" applyFont="1" applyFill="1" applyBorder="1" applyAlignment="1">
      <alignment horizontal="right"/>
    </xf>
    <xf numFmtId="3" fontId="11" fillId="4" borderId="22" xfId="0" applyNumberFormat="1" applyFont="1" applyFill="1" applyBorder="1" applyAlignment="1">
      <alignment horizontal="right"/>
    </xf>
    <xf numFmtId="3" fontId="11" fillId="3" borderId="26" xfId="0" applyNumberFormat="1" applyFont="1" applyFill="1" applyBorder="1"/>
    <xf numFmtId="3" fontId="11" fillId="3" borderId="21" xfId="0" applyNumberFormat="1" applyFont="1" applyFill="1" applyBorder="1"/>
    <xf numFmtId="4" fontId="11" fillId="3" borderId="21" xfId="0" applyNumberFormat="1" applyFont="1" applyFill="1" applyBorder="1"/>
    <xf numFmtId="4" fontId="11" fillId="3" borderId="30" xfId="0" applyNumberFormat="1" applyFont="1" applyFill="1" applyBorder="1"/>
    <xf numFmtId="4" fontId="11" fillId="3" borderId="27" xfId="0" applyNumberFormat="1" applyFont="1" applyFill="1" applyBorder="1"/>
    <xf numFmtId="3" fontId="11" fillId="3" borderId="29" xfId="0" applyNumberFormat="1" applyFont="1" applyFill="1" applyBorder="1"/>
    <xf numFmtId="3" fontId="11" fillId="4" borderId="17" xfId="0" applyNumberFormat="1" applyFont="1" applyFill="1" applyBorder="1"/>
    <xf numFmtId="3" fontId="11" fillId="4" borderId="18" xfId="0" applyNumberFormat="1" applyFont="1" applyFill="1" applyBorder="1"/>
    <xf numFmtId="4" fontId="11" fillId="4" borderId="18" xfId="0" applyNumberFormat="1" applyFont="1" applyFill="1" applyBorder="1"/>
    <xf numFmtId="3" fontId="11" fillId="4" borderId="22" xfId="0" applyNumberFormat="1" applyFont="1" applyFill="1" applyBorder="1"/>
    <xf numFmtId="3" fontId="11" fillId="3" borderId="1" xfId="9" applyNumberFormat="1" applyFont="1" applyFill="1" applyBorder="1"/>
    <xf numFmtId="4" fontId="11" fillId="3" borderId="1" xfId="9" applyNumberFormat="1" applyFont="1" applyFill="1" applyBorder="1"/>
    <xf numFmtId="3" fontId="22" fillId="3" borderId="1" xfId="9" applyNumberFormat="1" applyFont="1" applyFill="1" applyBorder="1"/>
    <xf numFmtId="4" fontId="22" fillId="3" borderId="1" xfId="9" applyNumberFormat="1" applyFont="1" applyFill="1" applyBorder="1"/>
    <xf numFmtId="3" fontId="11" fillId="3" borderId="8" xfId="9" applyNumberFormat="1" applyFont="1" applyFill="1" applyBorder="1"/>
    <xf numFmtId="3" fontId="22" fillId="3" borderId="8" xfId="9" applyNumberFormat="1" applyFont="1" applyFill="1" applyBorder="1"/>
    <xf numFmtId="4" fontId="11" fillId="3" borderId="9" xfId="9" applyNumberFormat="1" applyFont="1" applyFill="1" applyBorder="1"/>
    <xf numFmtId="4" fontId="22" fillId="3" borderId="9" xfId="9" applyNumberFormat="1" applyFont="1" applyFill="1" applyBorder="1"/>
    <xf numFmtId="3" fontId="11" fillId="3" borderId="28" xfId="9" applyNumberFormat="1" applyFont="1" applyFill="1" applyBorder="1"/>
    <xf numFmtId="3" fontId="22" fillId="3" borderId="28" xfId="9" applyNumberFormat="1" applyFont="1" applyFill="1" applyBorder="1"/>
    <xf numFmtId="3" fontId="22" fillId="3" borderId="26" xfId="9" applyNumberFormat="1" applyFont="1" applyFill="1" applyBorder="1"/>
    <xf numFmtId="3" fontId="22" fillId="3" borderId="21" xfId="9" applyNumberFormat="1" applyFont="1" applyFill="1" applyBorder="1"/>
    <xf numFmtId="4" fontId="22" fillId="3" borderId="21" xfId="9" applyNumberFormat="1" applyFont="1" applyFill="1" applyBorder="1"/>
    <xf numFmtId="4" fontId="22" fillId="3" borderId="30" xfId="9" applyNumberFormat="1" applyFont="1" applyFill="1" applyBorder="1"/>
    <xf numFmtId="4" fontId="22" fillId="3" borderId="27" xfId="9" applyNumberFormat="1" applyFont="1" applyFill="1" applyBorder="1"/>
    <xf numFmtId="3" fontId="22" fillId="3" borderId="29" xfId="9" applyNumberFormat="1" applyFont="1" applyFill="1" applyBorder="1"/>
    <xf numFmtId="3" fontId="22" fillId="5" borderId="17" xfId="9" applyNumberFormat="1" applyFont="1" applyFill="1" applyBorder="1"/>
    <xf numFmtId="3" fontId="22" fillId="5" borderId="18" xfId="9" applyNumberFormat="1" applyFont="1" applyFill="1" applyBorder="1"/>
    <xf numFmtId="4" fontId="22" fillId="5" borderId="18" xfId="9" applyNumberFormat="1" applyFont="1" applyFill="1" applyBorder="1"/>
    <xf numFmtId="4" fontId="22" fillId="5" borderId="20" xfId="9" applyNumberFormat="1" applyFont="1" applyFill="1" applyBorder="1"/>
    <xf numFmtId="4" fontId="22" fillId="5" borderId="19" xfId="9" applyNumberFormat="1" applyFont="1" applyFill="1" applyBorder="1"/>
    <xf numFmtId="3" fontId="22" fillId="5" borderId="22" xfId="9" applyNumberFormat="1" applyFont="1" applyFill="1" applyBorder="1"/>
    <xf numFmtId="3" fontId="12" fillId="3" borderId="1" xfId="9" applyNumberFormat="1" applyFont="1" applyFill="1" applyBorder="1"/>
    <xf numFmtId="4" fontId="12" fillId="3" borderId="1" xfId="9" applyNumberFormat="1" applyFont="1" applyFill="1" applyBorder="1"/>
    <xf numFmtId="3" fontId="12" fillId="3" borderId="1" xfId="9" applyNumberFormat="1" applyFont="1" applyFill="1" applyBorder="1" applyAlignment="1">
      <alignment horizontal="right"/>
    </xf>
    <xf numFmtId="4" fontId="12" fillId="3" borderId="1" xfId="9" applyNumberFormat="1" applyFont="1" applyFill="1" applyBorder="1" applyAlignment="1">
      <alignment horizontal="right"/>
    </xf>
    <xf numFmtId="3" fontId="12" fillId="3" borderId="8" xfId="9" applyNumberFormat="1" applyFont="1" applyFill="1" applyBorder="1"/>
    <xf numFmtId="3" fontId="12" fillId="3" borderId="8" xfId="9" applyNumberFormat="1" applyFont="1" applyFill="1" applyBorder="1" applyAlignment="1">
      <alignment horizontal="right"/>
    </xf>
    <xf numFmtId="4" fontId="12" fillId="3" borderId="9" xfId="9" applyNumberFormat="1" applyFont="1" applyFill="1" applyBorder="1"/>
    <xf numFmtId="4" fontId="12" fillId="3" borderId="9" xfId="9" applyNumberFormat="1" applyFont="1" applyFill="1" applyBorder="1" applyAlignment="1">
      <alignment horizontal="right"/>
    </xf>
    <xf numFmtId="3" fontId="12" fillId="3" borderId="28" xfId="9" applyNumberFormat="1" applyFont="1" applyFill="1" applyBorder="1"/>
    <xf numFmtId="3" fontId="12" fillId="3" borderId="28" xfId="9" applyNumberFormat="1" applyFont="1" applyFill="1" applyBorder="1" applyAlignment="1">
      <alignment horizontal="right"/>
    </xf>
    <xf numFmtId="0" fontId="12" fillId="0" borderId="70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3" fontId="11" fillId="3" borderId="1" xfId="9" applyNumberFormat="1" applyFont="1" applyFill="1" applyBorder="1" applyAlignment="1">
      <alignment horizontal="right"/>
    </xf>
    <xf numFmtId="4" fontId="11" fillId="3" borderId="1" xfId="9" applyNumberFormat="1" applyFont="1" applyFill="1" applyBorder="1" applyAlignment="1">
      <alignment horizontal="right"/>
    </xf>
    <xf numFmtId="3" fontId="11" fillId="3" borderId="8" xfId="9" applyNumberFormat="1" applyFont="1" applyFill="1" applyBorder="1" applyAlignment="1">
      <alignment horizontal="right"/>
    </xf>
    <xf numFmtId="4" fontId="11" fillId="3" borderId="9" xfId="9" applyNumberFormat="1" applyFont="1" applyFill="1" applyBorder="1" applyAlignment="1">
      <alignment horizontal="right"/>
    </xf>
    <xf numFmtId="3" fontId="11" fillId="3" borderId="28" xfId="9" applyNumberFormat="1" applyFont="1" applyFill="1" applyBorder="1" applyAlignment="1">
      <alignment horizontal="right"/>
    </xf>
    <xf numFmtId="3" fontId="11" fillId="3" borderId="26" xfId="9" applyNumberFormat="1" applyFont="1" applyFill="1" applyBorder="1"/>
    <xf numFmtId="3" fontId="11" fillId="3" borderId="21" xfId="9" applyNumberFormat="1" applyFont="1" applyFill="1" applyBorder="1"/>
    <xf numFmtId="4" fontId="11" fillId="3" borderId="21" xfId="9" applyNumberFormat="1" applyFont="1" applyFill="1" applyBorder="1"/>
    <xf numFmtId="4" fontId="11" fillId="3" borderId="30" xfId="9" applyNumberFormat="1" applyFont="1" applyFill="1" applyBorder="1"/>
    <xf numFmtId="4" fontId="11" fillId="3" borderId="27" xfId="9" applyNumberFormat="1" applyFont="1" applyFill="1" applyBorder="1"/>
    <xf numFmtId="3" fontId="11" fillId="3" borderId="29" xfId="9" applyNumberFormat="1" applyFont="1" applyFill="1" applyBorder="1"/>
    <xf numFmtId="3" fontId="11" fillId="7" borderId="17" xfId="9" applyNumberFormat="1" applyFont="1" applyFill="1" applyBorder="1"/>
    <xf numFmtId="3" fontId="11" fillId="7" borderId="18" xfId="9" applyNumberFormat="1" applyFont="1" applyFill="1" applyBorder="1"/>
    <xf numFmtId="4" fontId="11" fillId="7" borderId="18" xfId="9" applyNumberFormat="1" applyFont="1" applyFill="1" applyBorder="1"/>
    <xf numFmtId="4" fontId="11" fillId="7" borderId="20" xfId="9" applyNumberFormat="1" applyFont="1" applyFill="1" applyBorder="1"/>
    <xf numFmtId="4" fontId="11" fillId="7" borderId="19" xfId="9" applyNumberFormat="1" applyFont="1" applyFill="1" applyBorder="1"/>
    <xf numFmtId="3" fontId="11" fillId="7" borderId="22" xfId="9" applyNumberFormat="1" applyFont="1" applyFill="1" applyBorder="1"/>
    <xf numFmtId="3" fontId="10" fillId="3" borderId="1" xfId="9" applyNumberFormat="1" applyFont="1" applyFill="1" applyBorder="1" applyAlignment="1">
      <alignment horizontal="right"/>
    </xf>
    <xf numFmtId="4" fontId="10" fillId="3" borderId="1" xfId="9" applyNumberFormat="1" applyFont="1" applyFill="1" applyBorder="1" applyAlignment="1">
      <alignment horizontal="right"/>
    </xf>
    <xf numFmtId="3" fontId="10" fillId="3" borderId="1" xfId="9" applyNumberFormat="1" applyFont="1" applyFill="1" applyBorder="1"/>
    <xf numFmtId="4" fontId="10" fillId="3" borderId="1" xfId="9" applyNumberFormat="1" applyFont="1" applyFill="1" applyBorder="1"/>
    <xf numFmtId="3" fontId="10" fillId="3" borderId="8" xfId="9" applyNumberFormat="1" applyFont="1" applyFill="1" applyBorder="1" applyAlignment="1">
      <alignment horizontal="right"/>
    </xf>
    <xf numFmtId="3" fontId="10" fillId="3" borderId="8" xfId="9" applyNumberFormat="1" applyFont="1" applyFill="1" applyBorder="1"/>
    <xf numFmtId="4" fontId="10" fillId="3" borderId="9" xfId="9" applyNumberFormat="1" applyFont="1" applyFill="1" applyBorder="1" applyAlignment="1">
      <alignment horizontal="right"/>
    </xf>
    <xf numFmtId="4" fontId="10" fillId="3" borderId="9" xfId="9" applyNumberFormat="1" applyFont="1" applyFill="1" applyBorder="1"/>
    <xf numFmtId="3" fontId="10" fillId="3" borderId="28" xfId="9" applyNumberFormat="1" applyFont="1" applyFill="1" applyBorder="1" applyAlignment="1">
      <alignment horizontal="right"/>
    </xf>
    <xf numFmtId="3" fontId="10" fillId="3" borderId="28" xfId="9" applyNumberFormat="1" applyFont="1" applyFill="1" applyBorder="1"/>
    <xf numFmtId="3" fontId="34" fillId="0" borderId="46" xfId="5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37" xfId="0" applyNumberFormat="1" applyFont="1" applyBorder="1"/>
    <xf numFmtId="3" fontId="8" fillId="0" borderId="0" xfId="0" applyNumberFormat="1" applyFont="1"/>
    <xf numFmtId="4" fontId="34" fillId="0" borderId="0" xfId="8" applyNumberFormat="1" applyFont="1" applyAlignment="1">
      <alignment horizontal="center"/>
    </xf>
    <xf numFmtId="4" fontId="8" fillId="0" borderId="0" xfId="0" applyNumberFormat="1" applyFont="1"/>
    <xf numFmtId="4" fontId="6" fillId="0" borderId="5" xfId="0" applyNumberFormat="1" applyFont="1" applyBorder="1"/>
    <xf numFmtId="4" fontId="6" fillId="0" borderId="6" xfId="0" applyNumberFormat="1" applyFont="1" applyBorder="1"/>
    <xf numFmtId="4" fontId="34" fillId="0" borderId="25" xfId="5" applyNumberFormat="1" applyFont="1" applyBorder="1"/>
    <xf numFmtId="4" fontId="6" fillId="0" borderId="7" xfId="0" applyNumberFormat="1" applyFont="1" applyBorder="1"/>
    <xf numFmtId="0" fontId="3" fillId="0" borderId="0" xfId="5" applyAlignment="1">
      <alignment horizontal="right"/>
    </xf>
    <xf numFmtId="3" fontId="12" fillId="6" borderId="47" xfId="5" applyNumberFormat="1" applyFont="1" applyFill="1" applyBorder="1"/>
    <xf numFmtId="4" fontId="12" fillId="6" borderId="47" xfId="5" applyNumberFormat="1" applyFont="1" applyFill="1" applyBorder="1"/>
    <xf numFmtId="3" fontId="25" fillId="0" borderId="1" xfId="5" applyNumberFormat="1" applyFont="1" applyBorder="1"/>
    <xf numFmtId="3" fontId="6" fillId="0" borderId="1" xfId="0" applyNumberFormat="1" applyFont="1" applyBorder="1" applyAlignment="1">
      <alignment horizontal="right"/>
    </xf>
    <xf numFmtId="4" fontId="25" fillId="0" borderId="10" xfId="5" applyNumberFormat="1" applyFont="1" applyBorder="1"/>
    <xf numFmtId="4" fontId="34" fillId="0" borderId="10" xfId="5" applyNumberFormat="1" applyFont="1" applyBorder="1"/>
    <xf numFmtId="3" fontId="12" fillId="3" borderId="11" xfId="5" applyNumberFormat="1" applyFont="1" applyFill="1" applyBorder="1"/>
    <xf numFmtId="3" fontId="12" fillId="3" borderId="12" xfId="5" applyNumberFormat="1" applyFont="1" applyFill="1" applyBorder="1"/>
    <xf numFmtId="4" fontId="12" fillId="3" borderId="12" xfId="5" applyNumberFormat="1" applyFont="1" applyFill="1" applyBorder="1"/>
    <xf numFmtId="4" fontId="12" fillId="3" borderId="14" xfId="5" applyNumberFormat="1" applyFont="1" applyFill="1" applyBorder="1"/>
    <xf numFmtId="4" fontId="6" fillId="0" borderId="32" xfId="5" applyNumberFormat="1" applyFont="1" applyBorder="1"/>
    <xf numFmtId="4" fontId="6" fillId="0" borderId="9" xfId="5" applyNumberFormat="1" applyFont="1" applyBorder="1"/>
    <xf numFmtId="3" fontId="12" fillId="6" borderId="71" xfId="5" applyNumberFormat="1" applyFont="1" applyFill="1" applyBorder="1"/>
    <xf numFmtId="4" fontId="12" fillId="6" borderId="63" xfId="5" applyNumberFormat="1" applyFont="1" applyFill="1" applyBorder="1"/>
    <xf numFmtId="3" fontId="37" fillId="7" borderId="47" xfId="5" applyNumberFormat="1" applyFont="1" applyFill="1" applyBorder="1"/>
    <xf numFmtId="4" fontId="37" fillId="7" borderId="47" xfId="5" applyNumberFormat="1" applyFont="1" applyFill="1" applyBorder="1"/>
    <xf numFmtId="4" fontId="37" fillId="7" borderId="63" xfId="5" applyNumberFormat="1" applyFont="1" applyFill="1" applyBorder="1"/>
    <xf numFmtId="3" fontId="11" fillId="3" borderId="11" xfId="5" applyNumberFormat="1" applyFont="1" applyFill="1" applyBorder="1"/>
    <xf numFmtId="3" fontId="11" fillId="3" borderId="12" xfId="5" applyNumberFormat="1" applyFont="1" applyFill="1" applyBorder="1"/>
    <xf numFmtId="4" fontId="11" fillId="3" borderId="12" xfId="5" applyNumberFormat="1" applyFont="1" applyFill="1" applyBorder="1"/>
    <xf numFmtId="4" fontId="11" fillId="3" borderId="14" xfId="5" applyNumberFormat="1" applyFont="1" applyFill="1" applyBorder="1"/>
    <xf numFmtId="3" fontId="34" fillId="0" borderId="1" xfId="5" applyNumberFormat="1" applyFont="1" applyBorder="1" applyAlignment="1">
      <alignment horizontal="right"/>
    </xf>
    <xf numFmtId="3" fontId="41" fillId="0" borderId="0" xfId="0" applyNumberFormat="1" applyFont="1"/>
    <xf numFmtId="3" fontId="3" fillId="0" borderId="0" xfId="5" applyNumberFormat="1" applyAlignment="1">
      <alignment horizontal="right"/>
    </xf>
    <xf numFmtId="0" fontId="6" fillId="0" borderId="0" xfId="0" applyFont="1" applyAlignment="1">
      <alignment horizontal="right"/>
    </xf>
    <xf numFmtId="0" fontId="25" fillId="0" borderId="0" xfId="5" applyFont="1" applyAlignment="1">
      <alignment horizontal="right"/>
    </xf>
    <xf numFmtId="3" fontId="25" fillId="0" borderId="24" xfId="5" applyNumberFormat="1" applyFont="1" applyBorder="1"/>
    <xf numFmtId="4" fontId="25" fillId="0" borderId="25" xfId="5" applyNumberFormat="1" applyFont="1" applyBorder="1"/>
    <xf numFmtId="3" fontId="12" fillId="6" borderId="22" xfId="5" applyNumberFormat="1" applyFont="1" applyFill="1" applyBorder="1"/>
    <xf numFmtId="3" fontId="12" fillId="3" borderId="26" xfId="5" applyNumberFormat="1" applyFont="1" applyFill="1" applyBorder="1"/>
    <xf numFmtId="4" fontId="12" fillId="3" borderId="27" xfId="5" applyNumberFormat="1" applyFont="1" applyFill="1" applyBorder="1"/>
    <xf numFmtId="3" fontId="37" fillId="7" borderId="38" xfId="5" applyNumberFormat="1" applyFont="1" applyFill="1" applyBorder="1"/>
    <xf numFmtId="4" fontId="11" fillId="3" borderId="27" xfId="5" applyNumberFormat="1" applyFont="1" applyFill="1" applyBorder="1"/>
    <xf numFmtId="3" fontId="37" fillId="7" borderId="17" xfId="5" applyNumberFormat="1" applyFont="1" applyFill="1" applyBorder="1"/>
    <xf numFmtId="4" fontId="37" fillId="7" borderId="19" xfId="5" applyNumberFormat="1" applyFont="1" applyFill="1" applyBorder="1"/>
    <xf numFmtId="3" fontId="6" fillId="9" borderId="1" xfId="5" applyNumberFormat="1" applyFont="1" applyFill="1" applyBorder="1"/>
    <xf numFmtId="0" fontId="25" fillId="9" borderId="1" xfId="9" applyFont="1" applyFill="1" applyBorder="1"/>
    <xf numFmtId="3" fontId="22" fillId="5" borderId="38" xfId="9" applyNumberFormat="1" applyFont="1" applyFill="1" applyBorder="1"/>
    <xf numFmtId="3" fontId="22" fillId="5" borderId="47" xfId="9" applyNumberFormat="1" applyFont="1" applyFill="1" applyBorder="1"/>
    <xf numFmtId="4" fontId="22" fillId="5" borderId="47" xfId="9" applyNumberFormat="1" applyFont="1" applyFill="1" applyBorder="1"/>
    <xf numFmtId="4" fontId="22" fillId="5" borderId="61" xfId="9" applyNumberFormat="1" applyFont="1" applyFill="1" applyBorder="1"/>
    <xf numFmtId="3" fontId="22" fillId="3" borderId="11" xfId="9" applyNumberFormat="1" applyFont="1" applyFill="1" applyBorder="1"/>
    <xf numFmtId="3" fontId="22" fillId="3" borderId="12" xfId="9" applyNumberFormat="1" applyFont="1" applyFill="1" applyBorder="1"/>
    <xf numFmtId="4" fontId="22" fillId="3" borderId="12" xfId="9" applyNumberFormat="1" applyFont="1" applyFill="1" applyBorder="1"/>
    <xf numFmtId="4" fontId="22" fillId="3" borderId="14" xfId="9" applyNumberFormat="1" applyFont="1" applyFill="1" applyBorder="1"/>
    <xf numFmtId="3" fontId="13" fillId="4" borderId="33" xfId="0" applyNumberFormat="1" applyFont="1" applyFill="1" applyBorder="1"/>
    <xf numFmtId="3" fontId="13" fillId="4" borderId="34" xfId="0" applyNumberFormat="1" applyFont="1" applyFill="1" applyBorder="1"/>
    <xf numFmtId="4" fontId="13" fillId="4" borderId="34" xfId="0" applyNumberFormat="1" applyFont="1" applyFill="1" applyBorder="1"/>
    <xf numFmtId="4" fontId="13" fillId="4" borderId="36" xfId="0" applyNumberFormat="1" applyFont="1" applyFill="1" applyBorder="1"/>
    <xf numFmtId="4" fontId="13" fillId="4" borderId="35" xfId="0" applyNumberFormat="1" applyFont="1" applyFill="1" applyBorder="1"/>
    <xf numFmtId="3" fontId="13" fillId="4" borderId="56" xfId="0" applyNumberFormat="1" applyFont="1" applyFill="1" applyBorder="1"/>
    <xf numFmtId="3" fontId="6" fillId="0" borderId="23" xfId="0" applyNumberFormat="1" applyFont="1" applyBorder="1"/>
    <xf numFmtId="3" fontId="6" fillId="0" borderId="24" xfId="0" applyNumberFormat="1" applyFont="1" applyBorder="1"/>
    <xf numFmtId="4" fontId="6" fillId="0" borderId="24" xfId="0" applyNumberFormat="1" applyFont="1" applyBorder="1"/>
    <xf numFmtId="4" fontId="6" fillId="0" borderId="25" xfId="0" applyNumberFormat="1" applyFont="1" applyBorder="1"/>
    <xf numFmtId="3" fontId="6" fillId="0" borderId="46" xfId="0" applyNumberFormat="1" applyFont="1" applyBorder="1"/>
    <xf numFmtId="4" fontId="6" fillId="0" borderId="32" xfId="0" applyNumberFormat="1" applyFont="1" applyBorder="1"/>
    <xf numFmtId="4" fontId="25" fillId="9" borderId="1" xfId="5" applyNumberFormat="1" applyFont="1" applyFill="1" applyBorder="1"/>
    <xf numFmtId="4" fontId="11" fillId="3" borderId="13" xfId="5" applyNumberFormat="1" applyFont="1" applyFill="1" applyBorder="1"/>
    <xf numFmtId="4" fontId="37" fillId="7" borderId="61" xfId="5" applyNumberFormat="1" applyFont="1" applyFill="1" applyBorder="1"/>
    <xf numFmtId="3" fontId="6" fillId="0" borderId="1" xfId="3" applyNumberFormat="1" applyFont="1" applyBorder="1" applyAlignment="1">
      <alignment horizontal="right"/>
    </xf>
    <xf numFmtId="4" fontId="13" fillId="4" borderId="47" xfId="0" applyNumberFormat="1" applyFont="1" applyFill="1" applyBorder="1"/>
    <xf numFmtId="4" fontId="12" fillId="0" borderId="45" xfId="5" applyNumberFormat="1" applyFont="1" applyBorder="1"/>
    <xf numFmtId="4" fontId="22" fillId="5" borderId="17" xfId="9" applyNumberFormat="1" applyFont="1" applyFill="1" applyBorder="1"/>
    <xf numFmtId="4" fontId="22" fillId="5" borderId="72" xfId="9" applyNumberFormat="1" applyFont="1" applyFill="1" applyBorder="1"/>
    <xf numFmtId="3" fontId="1" fillId="0" borderId="0" xfId="9" applyNumberFormat="1" applyFont="1"/>
    <xf numFmtId="4" fontId="6" fillId="0" borderId="65" xfId="5" applyNumberFormat="1" applyFont="1" applyBorder="1"/>
    <xf numFmtId="4" fontId="6" fillId="0" borderId="67" xfId="5" applyNumberFormat="1" applyFont="1" applyBorder="1"/>
    <xf numFmtId="4" fontId="11" fillId="3" borderId="5" xfId="9" applyNumberFormat="1" applyFont="1" applyFill="1" applyBorder="1"/>
    <xf numFmtId="3" fontId="7" fillId="0" borderId="26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10" fillId="4" borderId="17" xfId="0" applyNumberFormat="1" applyFont="1" applyFill="1" applyBorder="1" applyAlignment="1">
      <alignment horizontal="right"/>
    </xf>
    <xf numFmtId="3" fontId="10" fillId="4" borderId="18" xfId="0" applyNumberFormat="1" applyFont="1" applyFill="1" applyBorder="1" applyAlignment="1">
      <alignment horizontal="right"/>
    </xf>
    <xf numFmtId="4" fontId="10" fillId="4" borderId="18" xfId="0" applyNumberFormat="1" applyFont="1" applyFill="1" applyBorder="1" applyAlignment="1">
      <alignment horizontal="right"/>
    </xf>
    <xf numFmtId="4" fontId="10" fillId="4" borderId="19" xfId="0" applyNumberFormat="1" applyFont="1" applyFill="1" applyBorder="1" applyAlignment="1">
      <alignment horizontal="right"/>
    </xf>
    <xf numFmtId="4" fontId="10" fillId="4" borderId="20" xfId="0" applyNumberFormat="1" applyFont="1" applyFill="1" applyBorder="1" applyAlignment="1">
      <alignment horizontal="right"/>
    </xf>
    <xf numFmtId="3" fontId="20" fillId="8" borderId="56" xfId="5" applyNumberFormat="1" applyFont="1" applyFill="1" applyBorder="1" applyAlignment="1">
      <alignment horizontal="center"/>
    </xf>
    <xf numFmtId="3" fontId="7" fillId="0" borderId="29" xfId="0" applyNumberFormat="1" applyFont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4" fontId="7" fillId="0" borderId="21" xfId="0" applyNumberFormat="1" applyFont="1" applyBorder="1" applyAlignment="1">
      <alignment horizontal="right"/>
    </xf>
    <xf numFmtId="4" fontId="7" fillId="0" borderId="30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right"/>
    </xf>
    <xf numFmtId="0" fontId="39" fillId="0" borderId="0" xfId="0" applyFont="1"/>
    <xf numFmtId="0" fontId="40" fillId="0" borderId="0" xfId="0" applyFont="1"/>
    <xf numFmtId="0" fontId="14" fillId="0" borderId="0" xfId="0" applyFont="1"/>
    <xf numFmtId="0" fontId="48" fillId="0" borderId="0" xfId="0" applyFont="1"/>
    <xf numFmtId="0" fontId="9" fillId="0" borderId="0" xfId="7"/>
    <xf numFmtId="3" fontId="12" fillId="5" borderId="21" xfId="0" applyNumberFormat="1" applyFont="1" applyFill="1" applyBorder="1" applyAlignment="1">
      <alignment horizontal="center" vertical="center" wrapText="1"/>
    </xf>
    <xf numFmtId="3" fontId="12" fillId="5" borderId="53" xfId="0" applyNumberFormat="1" applyFont="1" applyFill="1" applyBorder="1" applyAlignment="1">
      <alignment horizontal="center" vertical="center" wrapText="1"/>
    </xf>
    <xf numFmtId="3" fontId="12" fillId="5" borderId="47" xfId="0" applyNumberFormat="1" applyFont="1" applyFill="1" applyBorder="1" applyAlignment="1">
      <alignment horizontal="center" vertical="center" wrapText="1"/>
    </xf>
    <xf numFmtId="4" fontId="12" fillId="5" borderId="9" xfId="0" applyNumberFormat="1" applyFont="1" applyFill="1" applyBorder="1" applyAlignment="1">
      <alignment horizontal="center" vertical="center"/>
    </xf>
    <xf numFmtId="4" fontId="12" fillId="5" borderId="48" xfId="0" applyNumberFormat="1" applyFont="1" applyFill="1" applyBorder="1" applyAlignment="1">
      <alignment horizontal="center" vertical="center"/>
    </xf>
    <xf numFmtId="4" fontId="12" fillId="5" borderId="67" xfId="0" applyNumberFormat="1" applyFont="1" applyFill="1" applyBorder="1" applyAlignment="1">
      <alignment horizontal="center" vertical="center"/>
    </xf>
    <xf numFmtId="3" fontId="10" fillId="4" borderId="33" xfId="2" applyNumberFormat="1" applyFont="1" applyFill="1" applyBorder="1" applyAlignment="1">
      <alignment horizontal="center" vertical="center" wrapText="1"/>
    </xf>
    <xf numFmtId="3" fontId="10" fillId="4" borderId="50" xfId="2" applyNumberFormat="1" applyFont="1" applyFill="1" applyBorder="1" applyAlignment="1">
      <alignment horizontal="center" vertical="center" wrapText="1"/>
    </xf>
    <xf numFmtId="3" fontId="10" fillId="4" borderId="38" xfId="2" applyNumberFormat="1" applyFont="1" applyFill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left"/>
    </xf>
    <xf numFmtId="3" fontId="12" fillId="0" borderId="55" xfId="0" applyNumberFormat="1" applyFont="1" applyBorder="1" applyAlignment="1">
      <alignment horizontal="left"/>
    </xf>
    <xf numFmtId="3" fontId="12" fillId="0" borderId="56" xfId="0" applyNumberFormat="1" applyFont="1" applyBorder="1" applyAlignment="1">
      <alignment horizontal="left"/>
    </xf>
    <xf numFmtId="3" fontId="12" fillId="0" borderId="6" xfId="0" applyNumberFormat="1" applyFont="1" applyBorder="1" applyAlignment="1">
      <alignment horizontal="left"/>
    </xf>
    <xf numFmtId="3" fontId="12" fillId="0" borderId="39" xfId="0" applyNumberFormat="1" applyFont="1" applyBorder="1" applyAlignment="1">
      <alignment horizontal="left"/>
    </xf>
    <xf numFmtId="3" fontId="12" fillId="0" borderId="37" xfId="0" applyNumberFormat="1" applyFont="1" applyBorder="1" applyAlignment="1">
      <alignment horizontal="left"/>
    </xf>
    <xf numFmtId="4" fontId="12" fillId="4" borderId="34" xfId="0" applyNumberFormat="1" applyFont="1" applyFill="1" applyBorder="1" applyAlignment="1">
      <alignment horizontal="center" vertical="center" wrapText="1"/>
    </xf>
    <xf numFmtId="4" fontId="12" fillId="4" borderId="53" xfId="0" applyNumberFormat="1" applyFont="1" applyFill="1" applyBorder="1" applyAlignment="1">
      <alignment horizontal="center" vertical="center" wrapText="1"/>
    </xf>
    <xf numFmtId="4" fontId="12" fillId="4" borderId="47" xfId="0" applyNumberFormat="1" applyFont="1" applyFill="1" applyBorder="1" applyAlignment="1">
      <alignment horizontal="center" vertical="center" wrapText="1"/>
    </xf>
    <xf numFmtId="4" fontId="12" fillId="0" borderId="36" xfId="0" applyNumberFormat="1" applyFont="1" applyBorder="1" applyAlignment="1">
      <alignment horizontal="left"/>
    </xf>
    <xf numFmtId="4" fontId="12" fillId="0" borderId="57" xfId="0" applyNumberFormat="1" applyFont="1" applyBorder="1" applyAlignment="1">
      <alignment horizontal="left"/>
    </xf>
    <xf numFmtId="4" fontId="12" fillId="0" borderId="6" xfId="0" applyNumberFormat="1" applyFont="1" applyBorder="1" applyAlignment="1">
      <alignment horizontal="left"/>
    </xf>
    <xf numFmtId="4" fontId="12" fillId="0" borderId="31" xfId="0" applyNumberFormat="1" applyFont="1" applyBorder="1" applyAlignment="1">
      <alignment horizontal="left"/>
    </xf>
    <xf numFmtId="4" fontId="12" fillId="5" borderId="30" xfId="0" applyNumberFormat="1" applyFont="1" applyFill="1" applyBorder="1" applyAlignment="1">
      <alignment horizontal="center" vertical="center"/>
    </xf>
    <xf numFmtId="4" fontId="12" fillId="5" borderId="29" xfId="0" applyNumberFormat="1" applyFont="1" applyFill="1" applyBorder="1" applyAlignment="1">
      <alignment horizontal="center" vertical="center"/>
    </xf>
    <xf numFmtId="4" fontId="12" fillId="5" borderId="6" xfId="0" applyNumberFormat="1" applyFont="1" applyFill="1" applyBorder="1" applyAlignment="1">
      <alignment horizontal="center" vertical="center"/>
    </xf>
    <xf numFmtId="4" fontId="12" fillId="5" borderId="37" xfId="0" applyNumberFormat="1" applyFont="1" applyFill="1" applyBorder="1" applyAlignment="1">
      <alignment horizontal="center" vertical="center"/>
    </xf>
    <xf numFmtId="4" fontId="12" fillId="5" borderId="21" xfId="0" applyNumberFormat="1" applyFont="1" applyFill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4" fontId="12" fillId="5" borderId="30" xfId="0" applyNumberFormat="1" applyFont="1" applyFill="1" applyBorder="1" applyAlignment="1">
      <alignment horizontal="center" vertical="center" wrapText="1"/>
    </xf>
    <xf numFmtId="4" fontId="12" fillId="5" borderId="49" xfId="0" applyNumberFormat="1" applyFont="1" applyFill="1" applyBorder="1" applyAlignment="1">
      <alignment horizontal="center" vertical="center" wrapText="1"/>
    </xf>
    <xf numFmtId="4" fontId="12" fillId="5" borderId="54" xfId="0" applyNumberFormat="1" applyFont="1" applyFill="1" applyBorder="1" applyAlignment="1">
      <alignment horizontal="center" vertical="center" wrapText="1"/>
    </xf>
    <xf numFmtId="4" fontId="12" fillId="5" borderId="6" xfId="0" applyNumberFormat="1" applyFont="1" applyFill="1" applyBorder="1" applyAlignment="1">
      <alignment horizontal="center" vertical="center" wrapText="1"/>
    </xf>
    <xf numFmtId="4" fontId="12" fillId="5" borderId="39" xfId="0" applyNumberFormat="1" applyFont="1" applyFill="1" applyBorder="1" applyAlignment="1">
      <alignment horizontal="center" vertical="center" wrapText="1"/>
    </xf>
    <xf numFmtId="4" fontId="12" fillId="5" borderId="31" xfId="0" applyNumberFormat="1" applyFont="1" applyFill="1" applyBorder="1" applyAlignment="1">
      <alignment horizontal="center" vertical="center" wrapText="1"/>
    </xf>
    <xf numFmtId="3" fontId="15" fillId="4" borderId="58" xfId="0" applyNumberFormat="1" applyFont="1" applyFill="1" applyBorder="1" applyAlignment="1">
      <alignment horizontal="center"/>
    </xf>
    <xf numFmtId="3" fontId="15" fillId="4" borderId="55" xfId="0" applyNumberFormat="1" applyFont="1" applyFill="1" applyBorder="1" applyAlignment="1">
      <alignment horizontal="center"/>
    </xf>
    <xf numFmtId="3" fontId="15" fillId="4" borderId="57" xfId="0" applyNumberFormat="1" applyFont="1" applyFill="1" applyBorder="1" applyAlignment="1">
      <alignment horizontal="center"/>
    </xf>
    <xf numFmtId="3" fontId="15" fillId="4" borderId="60" xfId="0" applyNumberFormat="1" applyFont="1" applyFill="1" applyBorder="1" applyAlignment="1">
      <alignment horizontal="center"/>
    </xf>
    <xf numFmtId="3" fontId="15" fillId="4" borderId="45" xfId="0" applyNumberFormat="1" applyFont="1" applyFill="1" applyBorder="1" applyAlignment="1">
      <alignment horizontal="center"/>
    </xf>
    <xf numFmtId="3" fontId="15" fillId="4" borderId="44" xfId="0" applyNumberFormat="1" applyFont="1" applyFill="1" applyBorder="1" applyAlignment="1">
      <alignment horizontal="center"/>
    </xf>
    <xf numFmtId="3" fontId="21" fillId="5" borderId="62" xfId="0" applyNumberFormat="1" applyFont="1" applyFill="1" applyBorder="1" applyAlignment="1">
      <alignment horizontal="center" vertical="center"/>
    </xf>
    <xf numFmtId="3" fontId="21" fillId="5" borderId="64" xfId="0" applyNumberFormat="1" applyFont="1" applyFill="1" applyBorder="1" applyAlignment="1">
      <alignment horizontal="center" vertical="center"/>
    </xf>
    <xf numFmtId="3" fontId="21" fillId="5" borderId="65" xfId="0" applyNumberFormat="1" applyFont="1" applyFill="1" applyBorder="1" applyAlignment="1">
      <alignment horizontal="center" vertical="center"/>
    </xf>
    <xf numFmtId="3" fontId="21" fillId="5" borderId="58" xfId="0" applyNumberFormat="1" applyFont="1" applyFill="1" applyBorder="1" applyAlignment="1">
      <alignment horizontal="center" vertical="center"/>
    </xf>
    <xf numFmtId="3" fontId="21" fillId="5" borderId="55" xfId="0" applyNumberFormat="1" applyFont="1" applyFill="1" applyBorder="1" applyAlignment="1">
      <alignment horizontal="center" vertical="center"/>
    </xf>
    <xf numFmtId="3" fontId="21" fillId="5" borderId="57" xfId="0" applyNumberFormat="1" applyFont="1" applyFill="1" applyBorder="1" applyAlignment="1">
      <alignment horizontal="center" vertical="center"/>
    </xf>
    <xf numFmtId="3" fontId="21" fillId="5" borderId="60" xfId="0" applyNumberFormat="1" applyFont="1" applyFill="1" applyBorder="1" applyAlignment="1">
      <alignment horizontal="center" vertical="center"/>
    </xf>
    <xf numFmtId="3" fontId="21" fillId="5" borderId="45" xfId="0" applyNumberFormat="1" applyFont="1" applyFill="1" applyBorder="1" applyAlignment="1">
      <alignment horizontal="center" vertical="center"/>
    </xf>
    <xf numFmtId="3" fontId="21" fillId="5" borderId="44" xfId="0" applyNumberFormat="1" applyFont="1" applyFill="1" applyBorder="1" applyAlignment="1">
      <alignment horizontal="center" vertical="center"/>
    </xf>
    <xf numFmtId="3" fontId="22" fillId="5" borderId="66" xfId="0" applyNumberFormat="1" applyFont="1" applyFill="1" applyBorder="1" applyAlignment="1">
      <alignment horizontal="center" vertical="center" wrapText="1"/>
    </xf>
    <xf numFmtId="3" fontId="22" fillId="5" borderId="49" xfId="0" applyNumberFormat="1" applyFont="1" applyFill="1" applyBorder="1" applyAlignment="1">
      <alignment horizontal="center" vertical="center" wrapText="1"/>
    </xf>
    <xf numFmtId="3" fontId="22" fillId="5" borderId="29" xfId="0" applyNumberFormat="1" applyFont="1" applyFill="1" applyBorder="1" applyAlignment="1">
      <alignment horizontal="center" vertical="center" wrapText="1"/>
    </xf>
    <xf numFmtId="3" fontId="22" fillId="5" borderId="68" xfId="0" applyNumberFormat="1" applyFont="1" applyFill="1" applyBorder="1" applyAlignment="1">
      <alignment horizontal="center" vertical="center" wrapText="1"/>
    </xf>
    <xf numFmtId="3" fontId="22" fillId="5" borderId="0" xfId="0" applyNumberFormat="1" applyFont="1" applyFill="1" applyAlignment="1">
      <alignment horizontal="center" vertical="center" wrapText="1"/>
    </xf>
    <xf numFmtId="3" fontId="22" fillId="5" borderId="52" xfId="0" applyNumberFormat="1" applyFont="1" applyFill="1" applyBorder="1" applyAlignment="1">
      <alignment horizontal="center" vertical="center" wrapText="1"/>
    </xf>
    <xf numFmtId="3" fontId="22" fillId="5" borderId="2" xfId="0" applyNumberFormat="1" applyFont="1" applyFill="1" applyBorder="1" applyAlignment="1">
      <alignment horizontal="center" vertical="center" wrapText="1"/>
    </xf>
    <xf numFmtId="3" fontId="22" fillId="5" borderId="39" xfId="0" applyNumberFormat="1" applyFont="1" applyFill="1" applyBorder="1" applyAlignment="1">
      <alignment horizontal="center" vertical="center" wrapText="1"/>
    </xf>
    <xf numFmtId="3" fontId="22" fillId="5" borderId="37" xfId="0" applyNumberFormat="1" applyFont="1" applyFill="1" applyBorder="1" applyAlignment="1">
      <alignment horizontal="center" vertical="center" wrapText="1"/>
    </xf>
    <xf numFmtId="3" fontId="22" fillId="5" borderId="30" xfId="0" applyNumberFormat="1" applyFont="1" applyFill="1" applyBorder="1" applyAlignment="1">
      <alignment horizontal="center" vertical="center" wrapText="1"/>
    </xf>
    <xf numFmtId="3" fontId="22" fillId="5" borderId="51" xfId="0" applyNumberFormat="1" applyFont="1" applyFill="1" applyBorder="1" applyAlignment="1">
      <alignment horizontal="center" vertical="center" wrapText="1"/>
    </xf>
    <xf numFmtId="3" fontId="22" fillId="5" borderId="6" xfId="0" applyNumberFormat="1" applyFont="1" applyFill="1" applyBorder="1" applyAlignment="1">
      <alignment horizontal="center" vertical="center" wrapText="1"/>
    </xf>
    <xf numFmtId="3" fontId="12" fillId="5" borderId="30" xfId="0" applyNumberFormat="1" applyFont="1" applyFill="1" applyBorder="1" applyAlignment="1">
      <alignment horizontal="center" vertical="center"/>
    </xf>
    <xf numFmtId="3" fontId="12" fillId="5" borderId="49" xfId="0" applyNumberFormat="1" applyFont="1" applyFill="1" applyBorder="1" applyAlignment="1">
      <alignment horizontal="center" vertical="center"/>
    </xf>
    <xf numFmtId="3" fontId="12" fillId="5" borderId="29" xfId="0" applyNumberFormat="1" applyFont="1" applyFill="1" applyBorder="1" applyAlignment="1">
      <alignment horizontal="center" vertical="center"/>
    </xf>
    <xf numFmtId="3" fontId="12" fillId="5" borderId="51" xfId="0" applyNumberFormat="1" applyFont="1" applyFill="1" applyBorder="1" applyAlignment="1">
      <alignment horizontal="center" vertical="center"/>
    </xf>
    <xf numFmtId="3" fontId="12" fillId="5" borderId="0" xfId="0" applyNumberFormat="1" applyFont="1" applyFill="1" applyAlignment="1">
      <alignment horizontal="center" vertical="center"/>
    </xf>
    <xf numFmtId="3" fontId="12" fillId="5" borderId="52" xfId="0" applyNumberFormat="1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center" vertical="center"/>
    </xf>
    <xf numFmtId="3" fontId="12" fillId="5" borderId="39" xfId="0" applyNumberFormat="1" applyFont="1" applyFill="1" applyBorder="1" applyAlignment="1">
      <alignment horizontal="center" vertical="center"/>
    </xf>
    <xf numFmtId="3" fontId="12" fillId="5" borderId="37" xfId="0" applyNumberFormat="1" applyFont="1" applyFill="1" applyBorder="1" applyAlignment="1">
      <alignment horizontal="center" vertical="center"/>
    </xf>
    <xf numFmtId="0" fontId="16" fillId="0" borderId="0" xfId="5" applyFont="1" applyAlignment="1">
      <alignment horizontal="left"/>
    </xf>
    <xf numFmtId="4" fontId="16" fillId="0" borderId="0" xfId="0" applyNumberFormat="1" applyFont="1" applyAlignment="1">
      <alignment horizontal="left" wrapText="1"/>
    </xf>
  </cellXfs>
  <cellStyles count="14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6" xr:uid="{00000000-0005-0000-0000-000003000000}"/>
    <cellStyle name="Normální 2 3" xfId="7" xr:uid="{00000000-0005-0000-0000-000004000000}"/>
    <cellStyle name="Normální 3" xfId="3" xr:uid="{00000000-0005-0000-0000-000005000000}"/>
    <cellStyle name="Normální 3 2" xfId="9" xr:uid="{00000000-0005-0000-0000-000006000000}"/>
    <cellStyle name="Normální 3 2 2" xfId="13" xr:uid="{6066B6DD-C924-4CAE-BEC1-CF19621A073D}"/>
    <cellStyle name="Normální 3 3" xfId="10" xr:uid="{3DFF5D6A-4994-4D60-9119-BDEA64BE0DD2}"/>
    <cellStyle name="Normální 4" xfId="5" xr:uid="{00000000-0005-0000-0000-000007000000}"/>
    <cellStyle name="Normální 4 2" xfId="8" xr:uid="{00000000-0005-0000-0000-000008000000}"/>
    <cellStyle name="Normální 4 2 2" xfId="12" xr:uid="{9078EBA9-0647-4894-A55D-B16827985307}"/>
    <cellStyle name="Normální 4 3" xfId="11" xr:uid="{5B0BD19E-74AB-430D-9680-0699EF7CCD9F}"/>
    <cellStyle name="normální_OIII.TURN.e" xfId="4" xr:uid="{00000000-0005-0000-0000-000009000000}"/>
  </cellStyles>
  <dxfs count="0"/>
  <tableStyles count="0" defaultTableStyle="TableStyleMedium2" defaultPivotStyle="PivotStyleLight16"/>
  <colors>
    <mruColors>
      <color rgb="FFFF66FF"/>
      <color rgb="FF99CCFF"/>
      <color rgb="FF99FF99"/>
      <color rgb="FFCC3300"/>
      <color rgb="FFFABF8F"/>
      <color rgb="FFCC6600"/>
      <color rgb="FFA6A6A6"/>
      <color rgb="FFFF505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NULL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2" Type="http://schemas.openxmlformats.org/officeDocument/2006/relationships/image" Target="NULL"/><Relationship Id="rId1" Type="http://schemas.openxmlformats.org/officeDocument/2006/relationships/customXml" Target="../ink/ink1.xml"/><Relationship Id="rId6" Type="http://schemas.openxmlformats.org/officeDocument/2006/relationships/image" Target="NULL"/><Relationship Id="rId5" Type="http://schemas.openxmlformats.org/officeDocument/2006/relationships/customXml" Target="../ink/ink3.xml"/><Relationship Id="rId4" Type="http://schemas.openxmlformats.org/officeDocument/2006/relationships/image" Target="NUL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228270</xdr:colOff>
      <xdr:row>158</xdr:row>
      <xdr:rowOff>75735</xdr:rowOff>
    </xdr:from>
    <xdr:to>
      <xdr:col>52</xdr:col>
      <xdr:colOff>228630</xdr:colOff>
      <xdr:row>158</xdr:row>
      <xdr:rowOff>75735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00446ED4-63FA-49A9-869E-49BA7B163797}"/>
                </a:ext>
              </a:extLst>
            </xdr14:cNvPr>
            <xdr14:cNvContentPartPr/>
          </xdr14:nvContentPartPr>
          <xdr14:nvPr macro=""/>
          <xdr14:xfrm>
            <a:off x="9915195" y="26231385"/>
            <a:ext cx="360" cy="36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48E642E0-58FD-5D8A-21F1-B958CB3DFCE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906195" y="2622274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54</xdr:col>
      <xdr:colOff>447270</xdr:colOff>
      <xdr:row>162</xdr:row>
      <xdr:rowOff>2595</xdr:rowOff>
    </xdr:from>
    <xdr:to>
      <xdr:col>54</xdr:col>
      <xdr:colOff>457350</xdr:colOff>
      <xdr:row>162</xdr:row>
      <xdr:rowOff>28515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Rukopis 2">
              <a:extLst>
                <a:ext uri="{FF2B5EF4-FFF2-40B4-BE49-F238E27FC236}">
                  <a16:creationId xmlns:a16="http://schemas.microsoft.com/office/drawing/2014/main" id="{808371EE-7C9A-461F-96E8-2C878F9C9808}"/>
                </a:ext>
              </a:extLst>
            </xdr14:cNvPr>
            <xdr14:cNvContentPartPr/>
          </xdr14:nvContentPartPr>
          <xdr14:nvPr macro=""/>
          <xdr14:xfrm>
            <a:off x="11353395" y="26805945"/>
            <a:ext cx="10080" cy="25920"/>
          </xdr14:xfrm>
        </xdr:contentPart>
      </mc:Choice>
      <mc:Fallback xmlns="">
        <xdr:pic>
          <xdr:nvPicPr>
            <xdr:cNvPr id="3" name="Rukopis 2">
              <a:extLst>
                <a:ext uri="{FF2B5EF4-FFF2-40B4-BE49-F238E27FC236}">
                  <a16:creationId xmlns:a16="http://schemas.microsoft.com/office/drawing/2014/main" id="{8914654C-1BC1-FB13-59CC-1012FB8EBF8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1344755" y="26796945"/>
              <a:ext cx="27720" cy="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54</xdr:col>
      <xdr:colOff>228270</xdr:colOff>
      <xdr:row>158</xdr:row>
      <xdr:rowOff>75735</xdr:rowOff>
    </xdr:from>
    <xdr:to>
      <xdr:col>54</xdr:col>
      <xdr:colOff>228630</xdr:colOff>
      <xdr:row>158</xdr:row>
      <xdr:rowOff>75735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Rukopis 3">
              <a:extLst>
                <a:ext uri="{FF2B5EF4-FFF2-40B4-BE49-F238E27FC236}">
                  <a16:creationId xmlns:a16="http://schemas.microsoft.com/office/drawing/2014/main" id="{A867C1D1-43B3-475F-A4A1-CD6130C5DBD8}"/>
                </a:ext>
              </a:extLst>
            </xdr14:cNvPr>
            <xdr14:cNvContentPartPr/>
          </xdr14:nvContentPartPr>
          <xdr14:nvPr macro=""/>
          <xdr14:xfrm>
            <a:off x="9915195" y="26231385"/>
            <a:ext cx="360" cy="360"/>
          </xdr14:xfrm>
        </xdr:contentPart>
      </mc:Choice>
      <mc:Fallback xmlns=""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48E642E0-58FD-5D8A-21F1-B958CB3DFCE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906195" y="26222745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56</xdr:col>
      <xdr:colOff>447270</xdr:colOff>
      <xdr:row>162</xdr:row>
      <xdr:rowOff>2595</xdr:rowOff>
    </xdr:from>
    <xdr:to>
      <xdr:col>56</xdr:col>
      <xdr:colOff>457350</xdr:colOff>
      <xdr:row>162</xdr:row>
      <xdr:rowOff>28515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Rukopis 4">
              <a:extLst>
                <a:ext uri="{FF2B5EF4-FFF2-40B4-BE49-F238E27FC236}">
                  <a16:creationId xmlns:a16="http://schemas.microsoft.com/office/drawing/2014/main" id="{2192FE65-3B94-451A-AB37-6EB52FEBC12A}"/>
                </a:ext>
              </a:extLst>
            </xdr14:cNvPr>
            <xdr14:cNvContentPartPr/>
          </xdr14:nvContentPartPr>
          <xdr14:nvPr macro=""/>
          <xdr14:xfrm>
            <a:off x="11353395" y="26805945"/>
            <a:ext cx="10080" cy="25920"/>
          </xdr14:xfrm>
        </xdr:contentPart>
      </mc:Choice>
      <mc:Fallback xmlns="">
        <xdr:pic>
          <xdr:nvPicPr>
            <xdr:cNvPr id="3" name="Rukopis 2">
              <a:extLst>
                <a:ext uri="{FF2B5EF4-FFF2-40B4-BE49-F238E27FC236}">
                  <a16:creationId xmlns:a16="http://schemas.microsoft.com/office/drawing/2014/main" id="{8914654C-1BC1-FB13-59CC-1012FB8EBF83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344755" y="26796945"/>
              <a:ext cx="27720" cy="435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3-02T11:42:25.20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3-02T11:42:25.20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27 72 24575,'-4'0'0,"-2"-5"0,0-5 0,1-6 0,2-5 0,1 1-8191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4-19T11:31:02.82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0 1 24575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4-19T11:31:02.828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27 72 24575,'-4'0'0,"-2"-5"0,0-5 0,1-6 0,2-5 0,1 1-8191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3300"/>
  </sheetPr>
  <dimension ref="A1:O25"/>
  <sheetViews>
    <sheetView tabSelected="1" zoomScaleNormal="100" workbookViewId="0">
      <selection activeCell="Q13" sqref="Q13"/>
    </sheetView>
  </sheetViews>
  <sheetFormatPr defaultColWidth="9.140625" defaultRowHeight="15" customHeight="1" x14ac:dyDescent="0.2"/>
  <cols>
    <col min="1" max="1" width="3" style="238" customWidth="1"/>
    <col min="2" max="15" width="9.140625" style="238"/>
    <col min="16" max="16" width="10.85546875" style="238" customWidth="1"/>
    <col min="17" max="17" width="44.140625" style="238" customWidth="1"/>
    <col min="18" max="16384" width="9.140625" style="238"/>
  </cols>
  <sheetData>
    <row r="1" spans="1:2" ht="15" customHeight="1" x14ac:dyDescent="0.2">
      <c r="A1" s="735" t="s">
        <v>840</v>
      </c>
    </row>
    <row r="3" spans="1:2" ht="15" customHeight="1" x14ac:dyDescent="0.2">
      <c r="A3" s="238" t="s">
        <v>826</v>
      </c>
    </row>
    <row r="5" spans="1:2" ht="15" customHeight="1" x14ac:dyDescent="0.2">
      <c r="A5" s="739" t="s">
        <v>841</v>
      </c>
    </row>
    <row r="7" spans="1:2" ht="15" customHeight="1" x14ac:dyDescent="0.2">
      <c r="A7" s="238" t="s">
        <v>827</v>
      </c>
      <c r="B7" s="739" t="s">
        <v>849</v>
      </c>
    </row>
    <row r="8" spans="1:2" ht="15" customHeight="1" x14ac:dyDescent="0.2">
      <c r="B8" s="739"/>
    </row>
    <row r="9" spans="1:2" ht="15" customHeight="1" x14ac:dyDescent="0.2">
      <c r="A9" s="238" t="s">
        <v>828</v>
      </c>
      <c r="B9" s="739" t="s">
        <v>842</v>
      </c>
    </row>
    <row r="10" spans="1:2" ht="15" customHeight="1" x14ac:dyDescent="0.2">
      <c r="B10" s="739"/>
    </row>
    <row r="11" spans="1:2" ht="15" customHeight="1" x14ac:dyDescent="0.2">
      <c r="A11" s="238" t="s">
        <v>833</v>
      </c>
      <c r="B11" s="739" t="s">
        <v>843</v>
      </c>
    </row>
    <row r="13" spans="1:2" ht="15" customHeight="1" x14ac:dyDescent="0.2">
      <c r="A13" s="238" t="s">
        <v>853</v>
      </c>
      <c r="B13" s="238" t="s">
        <v>854</v>
      </c>
    </row>
    <row r="15" spans="1:2" s="736" customFormat="1" ht="15" customHeight="1" x14ac:dyDescent="0.2">
      <c r="A15" s="736" t="s">
        <v>846</v>
      </c>
    </row>
    <row r="16" spans="1:2" s="736" customFormat="1" ht="15" customHeight="1" x14ac:dyDescent="0.2">
      <c r="A16" s="736" t="s">
        <v>844</v>
      </c>
    </row>
    <row r="17" spans="1:15" s="738" customFormat="1" ht="15" customHeight="1" x14ac:dyDescent="0.2"/>
    <row r="18" spans="1:15" s="738" customFormat="1" ht="15" customHeight="1" x14ac:dyDescent="0.2">
      <c r="A18" s="738" t="s">
        <v>850</v>
      </c>
    </row>
    <row r="19" spans="1:15" s="738" customFormat="1" ht="15" customHeight="1" x14ac:dyDescent="0.2">
      <c r="A19" s="738" t="s">
        <v>847</v>
      </c>
      <c r="C19" s="736"/>
      <c r="D19" s="736"/>
      <c r="E19" s="736"/>
      <c r="F19" s="736"/>
      <c r="G19" s="736"/>
      <c r="H19" s="736"/>
      <c r="I19" s="736"/>
      <c r="J19" s="736"/>
      <c r="K19" s="736"/>
      <c r="L19" s="736"/>
      <c r="M19" s="736"/>
      <c r="N19" s="736"/>
      <c r="O19" s="736"/>
    </row>
    <row r="20" spans="1:15" s="738" customFormat="1" ht="15" customHeight="1" x14ac:dyDescent="0.2">
      <c r="A20" s="738" t="s">
        <v>848</v>
      </c>
      <c r="C20" s="736"/>
      <c r="D20" s="736"/>
      <c r="E20" s="736"/>
      <c r="F20" s="736"/>
      <c r="G20" s="736"/>
      <c r="H20" s="736"/>
      <c r="I20" s="736"/>
      <c r="J20" s="736"/>
      <c r="K20" s="736"/>
      <c r="L20" s="736"/>
      <c r="M20" s="736"/>
      <c r="N20" s="736"/>
      <c r="O20" s="736"/>
    </row>
    <row r="21" spans="1:15" s="738" customFormat="1" ht="15" customHeight="1" x14ac:dyDescent="0.2">
      <c r="A21" s="738" t="s">
        <v>851</v>
      </c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</row>
    <row r="22" spans="1:15" s="738" customFormat="1" ht="15" customHeight="1" x14ac:dyDescent="0.2">
      <c r="A22" s="738" t="s">
        <v>852</v>
      </c>
      <c r="C22" s="736"/>
      <c r="D22" s="736"/>
      <c r="E22" s="736"/>
      <c r="F22" s="736"/>
      <c r="G22" s="736"/>
      <c r="H22" s="736"/>
      <c r="I22" s="736"/>
      <c r="J22" s="736"/>
      <c r="K22" s="736"/>
      <c r="L22" s="736"/>
      <c r="M22" s="736"/>
      <c r="N22" s="736"/>
      <c r="O22" s="736"/>
    </row>
    <row r="23" spans="1:15" ht="15" customHeight="1" x14ac:dyDescent="0.2">
      <c r="C23" s="736"/>
      <c r="D23" s="736"/>
      <c r="E23" s="736"/>
      <c r="F23" s="736"/>
      <c r="G23" s="736"/>
      <c r="H23" s="736"/>
      <c r="I23" s="736"/>
      <c r="J23" s="736"/>
      <c r="K23" s="736"/>
      <c r="L23" s="736"/>
      <c r="M23" s="736"/>
      <c r="N23" s="736"/>
      <c r="O23" s="736"/>
    </row>
    <row r="24" spans="1:15" ht="15" customHeight="1" x14ac:dyDescent="0.2">
      <c r="A24" s="238" t="s">
        <v>845</v>
      </c>
    </row>
    <row r="25" spans="1:15" ht="15" customHeight="1" x14ac:dyDescent="0.2">
      <c r="A25" s="238" t="s">
        <v>829</v>
      </c>
      <c r="C25" s="737"/>
      <c r="D25" s="737"/>
      <c r="E25" s="737"/>
      <c r="F25" s="737"/>
      <c r="G25" s="737"/>
    </row>
  </sheetData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158"/>
  <sheetViews>
    <sheetView workbookViewId="0">
      <pane xSplit="8" ySplit="11" topLeftCell="I137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ColWidth="9.140625" defaultRowHeight="15" x14ac:dyDescent="0.25"/>
  <cols>
    <col min="1" max="1" width="5" style="341" customWidth="1"/>
    <col min="2" max="2" width="6.140625" style="283" bestFit="1" customWidth="1"/>
    <col min="3" max="3" width="8.7109375" style="400" bestFit="1" customWidth="1"/>
    <col min="4" max="4" width="7.85546875" style="283" bestFit="1" customWidth="1"/>
    <col min="5" max="5" width="27.85546875" style="283" customWidth="1"/>
    <col min="6" max="6" width="4.85546875" style="283" customWidth="1"/>
    <col min="7" max="7" width="10.28515625" style="283" bestFit="1" customWidth="1"/>
    <col min="8" max="8" width="8.7109375" style="283" customWidth="1"/>
    <col min="9" max="14" width="10.42578125" style="347" customWidth="1"/>
    <col min="15" max="15" width="11.42578125" style="348" customWidth="1"/>
    <col min="16" max="17" width="10.42578125" style="348" customWidth="1"/>
    <col min="18" max="19" width="9.140625" style="347" customWidth="1"/>
    <col min="20" max="20" width="10.28515625" style="347" customWidth="1"/>
    <col min="21" max="21" width="9.7109375" style="347" customWidth="1"/>
    <col min="22" max="22" width="9.140625" style="347" customWidth="1"/>
    <col min="23" max="23" width="9.140625" style="347"/>
    <col min="24" max="33" width="9.140625" style="347" customWidth="1"/>
    <col min="34" max="43" width="9.140625" style="348" customWidth="1"/>
    <col min="44" max="44" width="10.140625" style="347" customWidth="1"/>
    <col min="45" max="45" width="11.85546875" style="347" customWidth="1"/>
    <col min="46" max="49" width="9.140625" style="347" customWidth="1"/>
    <col min="50" max="50" width="11.42578125" style="348" customWidth="1"/>
    <col min="51" max="52" width="9.28515625" style="348" customWidth="1"/>
    <col min="53" max="16384" width="9.140625" style="283"/>
  </cols>
  <sheetData>
    <row r="1" spans="1:52" ht="12" customHeight="1" x14ac:dyDescent="0.25">
      <c r="A1" s="441" t="s">
        <v>2</v>
      </c>
      <c r="B1" s="441"/>
      <c r="C1" s="281"/>
      <c r="D1" s="441"/>
      <c r="E1" s="441"/>
      <c r="F1" s="282"/>
      <c r="G1" s="282"/>
      <c r="H1" s="282"/>
    </row>
    <row r="2" spans="1:52" ht="12" customHeight="1" x14ac:dyDescent="0.25">
      <c r="A2" s="441" t="s">
        <v>3</v>
      </c>
      <c r="B2" s="441"/>
      <c r="C2" s="281"/>
      <c r="D2" s="441"/>
      <c r="E2" s="441"/>
      <c r="F2" s="282"/>
      <c r="G2" s="282"/>
      <c r="H2" s="282"/>
    </row>
    <row r="3" spans="1:52" ht="12" customHeight="1" x14ac:dyDescent="0.25">
      <c r="A3" s="811" t="s">
        <v>4</v>
      </c>
      <c r="B3" s="811"/>
      <c r="C3" s="811"/>
      <c r="D3" s="811"/>
      <c r="E3" s="811"/>
      <c r="F3" s="282"/>
      <c r="G3" s="282"/>
      <c r="H3" s="282"/>
      <c r="I3" s="718"/>
    </row>
    <row r="4" spans="1:52" ht="12" customHeight="1" x14ac:dyDescent="0.25">
      <c r="A4" s="284"/>
      <c r="B4" s="441"/>
      <c r="C4" s="441"/>
      <c r="D4" s="441"/>
      <c r="E4" s="441"/>
      <c r="F4" s="282"/>
      <c r="G4" s="282"/>
      <c r="H4" s="282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285"/>
    </row>
    <row r="6" spans="1:52" x14ac:dyDescent="0.25">
      <c r="A6" s="282"/>
      <c r="B6" s="284"/>
      <c r="C6" s="284"/>
      <c r="D6" s="284"/>
      <c r="E6" s="282"/>
      <c r="F6" s="282"/>
      <c r="G6" s="282"/>
      <c r="H6" s="282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284"/>
      <c r="B7" s="286"/>
      <c r="C7" s="99"/>
      <c r="D7" s="287"/>
      <c r="E7" s="286"/>
      <c r="F7" s="282"/>
      <c r="G7" s="282"/>
      <c r="H7" s="282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288"/>
      <c r="B8" s="289"/>
      <c r="C8" s="289"/>
      <c r="D8" s="289"/>
      <c r="E8" s="289"/>
      <c r="F8" s="289"/>
      <c r="G8" s="289"/>
      <c r="H8" s="289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5.75" customHeight="1" thickBot="1" x14ac:dyDescent="0.3">
      <c r="A9" s="290" t="s">
        <v>817</v>
      </c>
      <c r="B9" s="99"/>
      <c r="C9" s="99"/>
      <c r="D9" s="291"/>
      <c r="E9" s="99"/>
      <c r="F9" s="292"/>
      <c r="G9" s="293"/>
      <c r="H9" s="293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3">
      <c r="A10" s="294" t="s">
        <v>794</v>
      </c>
      <c r="B10" s="295" t="s">
        <v>560</v>
      </c>
      <c r="C10" s="295" t="s">
        <v>561</v>
      </c>
      <c r="D10" s="295" t="s">
        <v>265</v>
      </c>
      <c r="E10" s="174" t="s">
        <v>796</v>
      </c>
      <c r="F10" s="295" t="s">
        <v>0</v>
      </c>
      <c r="G10" s="296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300" customFormat="1" ht="11.25" customHeight="1" thickBot="1" x14ac:dyDescent="0.25">
      <c r="A11" s="297" t="s">
        <v>562</v>
      </c>
      <c r="B11" s="298" t="s">
        <v>563</v>
      </c>
      <c r="C11" s="298" t="s">
        <v>267</v>
      </c>
      <c r="D11" s="298" t="s">
        <v>268</v>
      </c>
      <c r="E11" s="298" t="s">
        <v>564</v>
      </c>
      <c r="F11" s="298" t="s">
        <v>0</v>
      </c>
      <c r="G11" s="298" t="s">
        <v>565</v>
      </c>
      <c r="H11" s="299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5" customHeight="1" x14ac:dyDescent="0.25">
      <c r="A12" s="303">
        <v>1</v>
      </c>
      <c r="B12" s="350">
        <v>5415</v>
      </c>
      <c r="C12" s="351">
        <v>667000135</v>
      </c>
      <c r="D12" s="350">
        <v>71011170</v>
      </c>
      <c r="E12" s="376" t="s">
        <v>808</v>
      </c>
      <c r="F12" s="350">
        <v>3111</v>
      </c>
      <c r="G12" s="377" t="s">
        <v>326</v>
      </c>
      <c r="H12" s="353" t="s">
        <v>278</v>
      </c>
      <c r="I12" s="470">
        <v>18470033</v>
      </c>
      <c r="J12" s="471">
        <v>13472317</v>
      </c>
      <c r="K12" s="471">
        <v>52000</v>
      </c>
      <c r="L12" s="471">
        <v>4571219</v>
      </c>
      <c r="M12" s="471">
        <v>269447</v>
      </c>
      <c r="N12" s="471">
        <v>105050</v>
      </c>
      <c r="O12" s="472">
        <v>30.420300000000001</v>
      </c>
      <c r="P12" s="473">
        <v>22.45</v>
      </c>
      <c r="Q12" s="499">
        <v>7.9702999999999999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663">
        <v>0</v>
      </c>
      <c r="AO12" s="493">
        <f>AH12+AJ12+AK12+AM12</f>
        <v>0</v>
      </c>
      <c r="AP12" s="493">
        <f>AI12+AN12+AL12</f>
        <v>0</v>
      </c>
      <c r="AQ12" s="719">
        <f>SUM(AO12:AP12)</f>
        <v>0</v>
      </c>
      <c r="AR12" s="474">
        <f>I12+AG12</f>
        <v>18470033</v>
      </c>
      <c r="AS12" s="475">
        <f>J12+V12</f>
        <v>13472317</v>
      </c>
      <c r="AT12" s="475">
        <f>K12+Z12</f>
        <v>52000</v>
      </c>
      <c r="AU12" s="475">
        <f t="shared" ref="AU12:AV15" si="0">L12+AB12</f>
        <v>4571219</v>
      </c>
      <c r="AV12" s="475">
        <f t="shared" si="0"/>
        <v>269447</v>
      </c>
      <c r="AW12" s="475">
        <f>N12+AF12</f>
        <v>105050</v>
      </c>
      <c r="AX12" s="476">
        <f>O12+AQ12</f>
        <v>30.420300000000001</v>
      </c>
      <c r="AY12" s="476">
        <f t="shared" ref="AY12:AZ15" si="1">P12+AO12</f>
        <v>22.45</v>
      </c>
      <c r="AZ12" s="478">
        <f t="shared" si="1"/>
        <v>7.9702999999999999</v>
      </c>
    </row>
    <row r="13" spans="1:52" ht="13.5" customHeight="1" x14ac:dyDescent="0.25">
      <c r="A13" s="314">
        <v>1</v>
      </c>
      <c r="B13" s="354">
        <v>5415</v>
      </c>
      <c r="C13" s="355">
        <v>667000135</v>
      </c>
      <c r="D13" s="354">
        <v>71011170</v>
      </c>
      <c r="E13" s="376" t="s">
        <v>808</v>
      </c>
      <c r="F13" s="354">
        <v>3111</v>
      </c>
      <c r="G13" s="317" t="s">
        <v>313</v>
      </c>
      <c r="H13" s="317" t="s">
        <v>279</v>
      </c>
      <c r="I13" s="494">
        <v>823325</v>
      </c>
      <c r="J13" s="489">
        <v>606277</v>
      </c>
      <c r="K13" s="489">
        <v>0</v>
      </c>
      <c r="L13" s="489">
        <v>204922</v>
      </c>
      <c r="M13" s="489">
        <v>12126</v>
      </c>
      <c r="N13" s="489">
        <v>0</v>
      </c>
      <c r="O13" s="490">
        <v>1.75</v>
      </c>
      <c r="P13" s="491">
        <v>1.75</v>
      </c>
      <c r="Q13" s="500">
        <v>0</v>
      </c>
      <c r="R13" s="502">
        <f t="shared" ref="R13:R76" si="2">W13*-1</f>
        <v>0</v>
      </c>
      <c r="S13" s="492">
        <v>0</v>
      </c>
      <c r="T13" s="492">
        <v>0</v>
      </c>
      <c r="U13" s="492">
        <v>0</v>
      </c>
      <c r="V13" s="492">
        <f t="shared" ref="V13:V76" si="3">SUM(R13:U13)</f>
        <v>0</v>
      </c>
      <c r="W13" s="492">
        <v>0</v>
      </c>
      <c r="X13" s="492">
        <v>0</v>
      </c>
      <c r="Y13" s="492">
        <v>0</v>
      </c>
      <c r="Z13" s="492">
        <f>SUM(W13:Y13)</f>
        <v>0</v>
      </c>
      <c r="AA13" s="492">
        <f>V13+Z13</f>
        <v>0</v>
      </c>
      <c r="AB13" s="74">
        <f>ROUND((V13+W13+X13)*33.8%,0)</f>
        <v>0</v>
      </c>
      <c r="AC13" s="74">
        <f>ROUND(V13*2%,0)</f>
        <v>0</v>
      </c>
      <c r="AD13" s="492">
        <v>0</v>
      </c>
      <c r="AE13" s="492">
        <v>0</v>
      </c>
      <c r="AF13" s="492">
        <f t="shared" ref="AF13:AF76" si="4">SUM(AD13:AE13)</f>
        <v>0</v>
      </c>
      <c r="AG13" s="492">
        <f t="shared" ref="AG13:AG76" si="5">AA13+AB13+AC13+AF13</f>
        <v>0</v>
      </c>
      <c r="AH13" s="493">
        <v>0</v>
      </c>
      <c r="AI13" s="493">
        <v>0</v>
      </c>
      <c r="AJ13" s="493">
        <v>0</v>
      </c>
      <c r="AK13" s="493">
        <v>0</v>
      </c>
      <c r="AL13" s="493">
        <v>0</v>
      </c>
      <c r="AM13" s="493">
        <v>0</v>
      </c>
      <c r="AN13" s="664">
        <v>0</v>
      </c>
      <c r="AO13" s="493">
        <f t="shared" ref="AO13:AO15" si="6">AH13+AJ13+AK13+AM13</f>
        <v>0</v>
      </c>
      <c r="AP13" s="493">
        <f t="shared" ref="AP13:AP15" si="7">AI13+AN13+AL13</f>
        <v>0</v>
      </c>
      <c r="AQ13" s="720">
        <f t="shared" ref="AQ13:AQ76" si="8">SUM(AO13:AP13)</f>
        <v>0</v>
      </c>
      <c r="AR13" s="501">
        <f>I13+AG13</f>
        <v>823325</v>
      </c>
      <c r="AS13" s="492">
        <f>J13+V13</f>
        <v>606277</v>
      </c>
      <c r="AT13" s="492">
        <f>K13+Z13</f>
        <v>0</v>
      </c>
      <c r="AU13" s="492">
        <f t="shared" si="0"/>
        <v>204922</v>
      </c>
      <c r="AV13" s="492">
        <f t="shared" si="0"/>
        <v>12126</v>
      </c>
      <c r="AW13" s="492">
        <f>N13+AF13</f>
        <v>0</v>
      </c>
      <c r="AX13" s="493">
        <f>O13+AQ13</f>
        <v>1.75</v>
      </c>
      <c r="AY13" s="493">
        <f t="shared" si="1"/>
        <v>1.75</v>
      </c>
      <c r="AZ13" s="495">
        <f t="shared" si="1"/>
        <v>0</v>
      </c>
    </row>
    <row r="14" spans="1:52" ht="12.95" customHeight="1" x14ac:dyDescent="0.25">
      <c r="A14" s="314">
        <v>1</v>
      </c>
      <c r="B14" s="354">
        <v>5415</v>
      </c>
      <c r="C14" s="355">
        <v>667000135</v>
      </c>
      <c r="D14" s="354">
        <v>71011170</v>
      </c>
      <c r="E14" s="376" t="s">
        <v>808</v>
      </c>
      <c r="F14" s="354">
        <v>3111</v>
      </c>
      <c r="G14" s="319" t="s">
        <v>314</v>
      </c>
      <c r="H14" s="317" t="s">
        <v>278</v>
      </c>
      <c r="I14" s="494">
        <v>556736</v>
      </c>
      <c r="J14" s="489">
        <v>409968</v>
      </c>
      <c r="K14" s="489">
        <v>0</v>
      </c>
      <c r="L14" s="489">
        <v>138569</v>
      </c>
      <c r="M14" s="489">
        <v>8199</v>
      </c>
      <c r="N14" s="489">
        <v>0</v>
      </c>
      <c r="O14" s="490">
        <v>1</v>
      </c>
      <c r="P14" s="491">
        <v>1</v>
      </c>
      <c r="Q14" s="500">
        <v>0</v>
      </c>
      <c r="R14" s="502">
        <f t="shared" si="2"/>
        <v>0</v>
      </c>
      <c r="S14" s="492">
        <v>0</v>
      </c>
      <c r="T14" s="492">
        <v>0</v>
      </c>
      <c r="U14" s="492">
        <v>0</v>
      </c>
      <c r="V14" s="492">
        <f t="shared" si="3"/>
        <v>0</v>
      </c>
      <c r="W14" s="492">
        <v>0</v>
      </c>
      <c r="X14" s="492">
        <v>0</v>
      </c>
      <c r="Y14" s="492">
        <v>0</v>
      </c>
      <c r="Z14" s="492">
        <f>SUM(W14:Y14)</f>
        <v>0</v>
      </c>
      <c r="AA14" s="492">
        <f>V14+Z14</f>
        <v>0</v>
      </c>
      <c r="AB14" s="74">
        <f>ROUND((V14+W14+X14)*33.8%,0)</f>
        <v>0</v>
      </c>
      <c r="AC14" s="74">
        <f>ROUND(V14*2%,0)</f>
        <v>0</v>
      </c>
      <c r="AD14" s="492">
        <v>0</v>
      </c>
      <c r="AE14" s="492">
        <v>0</v>
      </c>
      <c r="AF14" s="492">
        <f t="shared" si="4"/>
        <v>0</v>
      </c>
      <c r="AG14" s="492">
        <f t="shared" si="5"/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664">
        <v>0</v>
      </c>
      <c r="AO14" s="493">
        <f t="shared" si="6"/>
        <v>0</v>
      </c>
      <c r="AP14" s="493">
        <f t="shared" si="7"/>
        <v>0</v>
      </c>
      <c r="AQ14" s="720">
        <f t="shared" si="8"/>
        <v>0</v>
      </c>
      <c r="AR14" s="501">
        <f>I14+AG14</f>
        <v>556736</v>
      </c>
      <c r="AS14" s="492">
        <f>J14+V14</f>
        <v>409968</v>
      </c>
      <c r="AT14" s="492">
        <f t="shared" ref="AT14:AT15" si="9">K14+Z14</f>
        <v>0</v>
      </c>
      <c r="AU14" s="492">
        <f t="shared" si="0"/>
        <v>138569</v>
      </c>
      <c r="AV14" s="492">
        <f t="shared" si="0"/>
        <v>8199</v>
      </c>
      <c r="AW14" s="492">
        <f>N14+AF14</f>
        <v>0</v>
      </c>
      <c r="AX14" s="493">
        <f>O14+AQ14</f>
        <v>1</v>
      </c>
      <c r="AY14" s="493">
        <f t="shared" si="1"/>
        <v>1</v>
      </c>
      <c r="AZ14" s="495">
        <f t="shared" si="1"/>
        <v>0</v>
      </c>
    </row>
    <row r="15" spans="1:52" ht="12.95" customHeight="1" x14ac:dyDescent="0.25">
      <c r="A15" s="314">
        <v>1</v>
      </c>
      <c r="B15" s="354">
        <v>5415</v>
      </c>
      <c r="C15" s="355">
        <v>667000135</v>
      </c>
      <c r="D15" s="354">
        <v>71011170</v>
      </c>
      <c r="E15" s="376" t="s">
        <v>808</v>
      </c>
      <c r="F15" s="354">
        <v>3141</v>
      </c>
      <c r="G15" s="378" t="s">
        <v>316</v>
      </c>
      <c r="H15" s="317" t="s">
        <v>279</v>
      </c>
      <c r="I15" s="494">
        <v>2643227</v>
      </c>
      <c r="J15" s="489">
        <v>1924122</v>
      </c>
      <c r="K15" s="489">
        <v>13000</v>
      </c>
      <c r="L15" s="489">
        <v>654747</v>
      </c>
      <c r="M15" s="489">
        <v>38482</v>
      </c>
      <c r="N15" s="489">
        <v>12876</v>
      </c>
      <c r="O15" s="490">
        <v>6.11</v>
      </c>
      <c r="P15" s="491">
        <v>0</v>
      </c>
      <c r="Q15" s="500">
        <v>6.11</v>
      </c>
      <c r="R15" s="502">
        <f t="shared" si="2"/>
        <v>0</v>
      </c>
      <c r="S15" s="492">
        <v>0</v>
      </c>
      <c r="T15" s="492">
        <v>0</v>
      </c>
      <c r="U15" s="492">
        <v>0</v>
      </c>
      <c r="V15" s="492">
        <f t="shared" si="3"/>
        <v>0</v>
      </c>
      <c r="W15" s="492">
        <v>0</v>
      </c>
      <c r="X15" s="492">
        <v>0</v>
      </c>
      <c r="Y15" s="492">
        <v>0</v>
      </c>
      <c r="Z15" s="492">
        <f>SUM(W15:Y15)</f>
        <v>0</v>
      </c>
      <c r="AA15" s="492">
        <f>V15+Z15</f>
        <v>0</v>
      </c>
      <c r="AB15" s="74">
        <f>ROUND((V15+W15+X15)*33.8%,0)</f>
        <v>0</v>
      </c>
      <c r="AC15" s="74">
        <f>ROUND(V15*2%,0)</f>
        <v>0</v>
      </c>
      <c r="AD15" s="492">
        <v>0</v>
      </c>
      <c r="AE15" s="492">
        <v>0</v>
      </c>
      <c r="AF15" s="492">
        <f t="shared" si="4"/>
        <v>0</v>
      </c>
      <c r="AG15" s="492">
        <f t="shared" si="5"/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664">
        <v>0</v>
      </c>
      <c r="AO15" s="493">
        <f t="shared" si="6"/>
        <v>0</v>
      </c>
      <c r="AP15" s="493">
        <f t="shared" si="7"/>
        <v>0</v>
      </c>
      <c r="AQ15" s="720">
        <f t="shared" si="8"/>
        <v>0</v>
      </c>
      <c r="AR15" s="501">
        <f>I15+AG15</f>
        <v>2643227</v>
      </c>
      <c r="AS15" s="492">
        <f>J15+V15</f>
        <v>1924122</v>
      </c>
      <c r="AT15" s="492">
        <f t="shared" si="9"/>
        <v>13000</v>
      </c>
      <c r="AU15" s="492">
        <f t="shared" si="0"/>
        <v>654747</v>
      </c>
      <c r="AV15" s="492">
        <f t="shared" si="0"/>
        <v>38482</v>
      </c>
      <c r="AW15" s="492">
        <f>N15+AF15</f>
        <v>12876</v>
      </c>
      <c r="AX15" s="493">
        <f>O15+AQ15</f>
        <v>6.11</v>
      </c>
      <c r="AY15" s="493">
        <f t="shared" si="1"/>
        <v>0</v>
      </c>
      <c r="AZ15" s="495">
        <f t="shared" si="1"/>
        <v>6.11</v>
      </c>
    </row>
    <row r="16" spans="1:52" ht="12.95" customHeight="1" x14ac:dyDescent="0.25">
      <c r="A16" s="324">
        <v>1</v>
      </c>
      <c r="B16" s="308">
        <v>5415</v>
      </c>
      <c r="C16" s="379">
        <v>667000135</v>
      </c>
      <c r="D16" s="308">
        <v>71011170</v>
      </c>
      <c r="E16" s="459" t="s">
        <v>808</v>
      </c>
      <c r="F16" s="308"/>
      <c r="G16" s="380"/>
      <c r="H16" s="381"/>
      <c r="I16" s="584">
        <v>22493321</v>
      </c>
      <c r="J16" s="580">
        <v>16412684</v>
      </c>
      <c r="K16" s="580">
        <v>65000</v>
      </c>
      <c r="L16" s="580">
        <v>5569457</v>
      </c>
      <c r="M16" s="580">
        <v>328254</v>
      </c>
      <c r="N16" s="580">
        <v>117926</v>
      </c>
      <c r="O16" s="581">
        <v>39.280299999999997</v>
      </c>
      <c r="P16" s="581">
        <v>25.2</v>
      </c>
      <c r="Q16" s="586">
        <v>14.080300000000001</v>
      </c>
      <c r="R16" s="584">
        <f t="shared" ref="R16:AZ16" si="10">SUM(R12:R15)</f>
        <v>0</v>
      </c>
      <c r="S16" s="580">
        <f t="shared" si="10"/>
        <v>0</v>
      </c>
      <c r="T16" s="580">
        <f t="shared" si="10"/>
        <v>0</v>
      </c>
      <c r="U16" s="580">
        <f t="shared" si="10"/>
        <v>0</v>
      </c>
      <c r="V16" s="580">
        <f t="shared" si="10"/>
        <v>0</v>
      </c>
      <c r="W16" s="580">
        <f t="shared" si="10"/>
        <v>0</v>
      </c>
      <c r="X16" s="580">
        <f t="shared" si="10"/>
        <v>0</v>
      </c>
      <c r="Y16" s="580">
        <f t="shared" si="10"/>
        <v>0</v>
      </c>
      <c r="Z16" s="580">
        <f t="shared" si="10"/>
        <v>0</v>
      </c>
      <c r="AA16" s="580">
        <f t="shared" si="10"/>
        <v>0</v>
      </c>
      <c r="AB16" s="580">
        <f t="shared" si="10"/>
        <v>0</v>
      </c>
      <c r="AC16" s="580">
        <f t="shared" si="10"/>
        <v>0</v>
      </c>
      <c r="AD16" s="580">
        <f t="shared" si="10"/>
        <v>0</v>
      </c>
      <c r="AE16" s="580">
        <f t="shared" si="10"/>
        <v>0</v>
      </c>
      <c r="AF16" s="580">
        <f t="shared" si="10"/>
        <v>0</v>
      </c>
      <c r="AG16" s="580">
        <f t="shared" si="10"/>
        <v>0</v>
      </c>
      <c r="AH16" s="581">
        <f t="shared" si="10"/>
        <v>0</v>
      </c>
      <c r="AI16" s="581">
        <f t="shared" si="10"/>
        <v>0</v>
      </c>
      <c r="AJ16" s="581">
        <f t="shared" si="10"/>
        <v>0</v>
      </c>
      <c r="AK16" s="581">
        <f t="shared" si="10"/>
        <v>0</v>
      </c>
      <c r="AL16" s="581">
        <f t="shared" si="10"/>
        <v>0</v>
      </c>
      <c r="AM16" s="581">
        <f t="shared" si="10"/>
        <v>0</v>
      </c>
      <c r="AN16" s="581">
        <f t="shared" si="10"/>
        <v>0</v>
      </c>
      <c r="AO16" s="721">
        <f t="shared" si="10"/>
        <v>0</v>
      </c>
      <c r="AP16" s="721">
        <f t="shared" si="10"/>
        <v>0</v>
      </c>
      <c r="AQ16" s="312">
        <f t="shared" si="10"/>
        <v>0</v>
      </c>
      <c r="AR16" s="588">
        <f t="shared" si="10"/>
        <v>22493321</v>
      </c>
      <c r="AS16" s="580">
        <f t="shared" si="10"/>
        <v>16412684</v>
      </c>
      <c r="AT16" s="580">
        <f t="shared" si="10"/>
        <v>65000</v>
      </c>
      <c r="AU16" s="580">
        <f t="shared" si="10"/>
        <v>5569457</v>
      </c>
      <c r="AV16" s="580">
        <f t="shared" si="10"/>
        <v>328254</v>
      </c>
      <c r="AW16" s="580">
        <f t="shared" si="10"/>
        <v>117926</v>
      </c>
      <c r="AX16" s="581">
        <f t="shared" si="10"/>
        <v>39.280299999999997</v>
      </c>
      <c r="AY16" s="581">
        <f t="shared" si="10"/>
        <v>25.2</v>
      </c>
      <c r="AZ16" s="312">
        <f t="shared" si="10"/>
        <v>14.080300000000001</v>
      </c>
    </row>
    <row r="17" spans="1:52" ht="12.95" customHeight="1" x14ac:dyDescent="0.25">
      <c r="A17" s="314">
        <v>2</v>
      </c>
      <c r="B17" s="354">
        <v>5416</v>
      </c>
      <c r="C17" s="355">
        <v>600099342</v>
      </c>
      <c r="D17" s="354">
        <v>854719</v>
      </c>
      <c r="E17" s="382" t="s">
        <v>433</v>
      </c>
      <c r="F17" s="354">
        <v>3113</v>
      </c>
      <c r="G17" s="378" t="s">
        <v>330</v>
      </c>
      <c r="H17" s="317" t="s">
        <v>278</v>
      </c>
      <c r="I17" s="494">
        <v>22633280</v>
      </c>
      <c r="J17" s="489">
        <v>16250845</v>
      </c>
      <c r="K17" s="489">
        <v>58500</v>
      </c>
      <c r="L17" s="489">
        <v>5512558</v>
      </c>
      <c r="M17" s="489">
        <v>325017</v>
      </c>
      <c r="N17" s="489">
        <v>486360</v>
      </c>
      <c r="O17" s="490">
        <v>28.737900000000003</v>
      </c>
      <c r="P17" s="491">
        <v>22.131699999999999</v>
      </c>
      <c r="Q17" s="500">
        <v>6.6062000000000003</v>
      </c>
      <c r="R17" s="502">
        <f t="shared" si="2"/>
        <v>0</v>
      </c>
      <c r="S17" s="492">
        <v>0</v>
      </c>
      <c r="T17" s="492">
        <v>0</v>
      </c>
      <c r="U17" s="492">
        <v>0</v>
      </c>
      <c r="V17" s="492">
        <f t="shared" si="3"/>
        <v>0</v>
      </c>
      <c r="W17" s="492">
        <v>0</v>
      </c>
      <c r="X17" s="492">
        <v>0</v>
      </c>
      <c r="Y17" s="492">
        <v>0</v>
      </c>
      <c r="Z17" s="492">
        <f>SUM(W17:Y17)</f>
        <v>0</v>
      </c>
      <c r="AA17" s="492">
        <f>V17+Z17</f>
        <v>0</v>
      </c>
      <c r="AB17" s="74">
        <f>ROUND((V17+W17+X17)*33.8%,0)</f>
        <v>0</v>
      </c>
      <c r="AC17" s="74">
        <f>ROUND(V17*2%,0)</f>
        <v>0</v>
      </c>
      <c r="AD17" s="492">
        <v>0</v>
      </c>
      <c r="AE17" s="492">
        <v>0</v>
      </c>
      <c r="AF17" s="492">
        <f t="shared" si="4"/>
        <v>0</v>
      </c>
      <c r="AG17" s="492">
        <f t="shared" si="5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ref="AO17:AO20" si="11">AH17+AJ17+AK17+AM17</f>
        <v>0</v>
      </c>
      <c r="AP17" s="493">
        <f t="shared" ref="AP17:AP20" si="12">AI17+AN17+AL17</f>
        <v>0</v>
      </c>
      <c r="AQ17" s="495">
        <f t="shared" si="8"/>
        <v>0</v>
      </c>
      <c r="AR17" s="501">
        <f>I17+AG17</f>
        <v>22633280</v>
      </c>
      <c r="AS17" s="492">
        <f>J17+V17</f>
        <v>16250845</v>
      </c>
      <c r="AT17" s="492">
        <f t="shared" ref="AT17:AT20" si="13">K17+Z17</f>
        <v>58500</v>
      </c>
      <c r="AU17" s="492">
        <f t="shared" ref="AU17:AV20" si="14">L17+AB17</f>
        <v>5512558</v>
      </c>
      <c r="AV17" s="492">
        <f t="shared" si="14"/>
        <v>325017</v>
      </c>
      <c r="AW17" s="492">
        <f>N17+AF17</f>
        <v>486360</v>
      </c>
      <c r="AX17" s="493">
        <f>O17+AQ17</f>
        <v>28.737900000000003</v>
      </c>
      <c r="AY17" s="493">
        <f t="shared" ref="AY17:AZ20" si="15">P17+AO17</f>
        <v>22.131699999999999</v>
      </c>
      <c r="AZ17" s="495">
        <f t="shared" si="15"/>
        <v>6.6062000000000003</v>
      </c>
    </row>
    <row r="18" spans="1:52" ht="12.95" customHeight="1" x14ac:dyDescent="0.25">
      <c r="A18" s="314">
        <v>2</v>
      </c>
      <c r="B18" s="354">
        <v>5416</v>
      </c>
      <c r="C18" s="355">
        <v>600099342</v>
      </c>
      <c r="D18" s="354">
        <v>854719</v>
      </c>
      <c r="E18" s="382" t="s">
        <v>433</v>
      </c>
      <c r="F18" s="354">
        <v>3113</v>
      </c>
      <c r="G18" s="317" t="s">
        <v>313</v>
      </c>
      <c r="H18" s="317" t="s">
        <v>279</v>
      </c>
      <c r="I18" s="494">
        <v>1282917</v>
      </c>
      <c r="J18" s="489">
        <v>944711</v>
      </c>
      <c r="K18" s="489">
        <v>0</v>
      </c>
      <c r="L18" s="489">
        <v>319312</v>
      </c>
      <c r="M18" s="489">
        <v>18894</v>
      </c>
      <c r="N18" s="489">
        <v>0</v>
      </c>
      <c r="O18" s="490">
        <v>2.73</v>
      </c>
      <c r="P18" s="491">
        <v>2.73</v>
      </c>
      <c r="Q18" s="500">
        <v>0</v>
      </c>
      <c r="R18" s="502">
        <f t="shared" si="2"/>
        <v>0</v>
      </c>
      <c r="S18" s="492">
        <v>0</v>
      </c>
      <c r="T18" s="492">
        <v>0</v>
      </c>
      <c r="U18" s="492">
        <v>0</v>
      </c>
      <c r="V18" s="492">
        <f t="shared" si="3"/>
        <v>0</v>
      </c>
      <c r="W18" s="492">
        <v>0</v>
      </c>
      <c r="X18" s="492">
        <v>0</v>
      </c>
      <c r="Y18" s="492">
        <v>0</v>
      </c>
      <c r="Z18" s="492">
        <f>SUM(W18:Y18)</f>
        <v>0</v>
      </c>
      <c r="AA18" s="492">
        <f>V18+Z18</f>
        <v>0</v>
      </c>
      <c r="AB18" s="74">
        <f>ROUND((V18+W18+X18)*33.8%,0)</f>
        <v>0</v>
      </c>
      <c r="AC18" s="74">
        <f>ROUND(V18*2%,0)</f>
        <v>0</v>
      </c>
      <c r="AD18" s="492">
        <v>2250</v>
      </c>
      <c r="AE18" s="492">
        <v>0</v>
      </c>
      <c r="AF18" s="492">
        <f t="shared" si="4"/>
        <v>2250</v>
      </c>
      <c r="AG18" s="492">
        <f t="shared" si="5"/>
        <v>2250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si="11"/>
        <v>0</v>
      </c>
      <c r="AP18" s="493">
        <f t="shared" si="12"/>
        <v>0</v>
      </c>
      <c r="AQ18" s="495">
        <f t="shared" si="8"/>
        <v>0</v>
      </c>
      <c r="AR18" s="501">
        <f>I18+AG18</f>
        <v>1285167</v>
      </c>
      <c r="AS18" s="492">
        <f>J18+V18</f>
        <v>944711</v>
      </c>
      <c r="AT18" s="492">
        <f t="shared" si="13"/>
        <v>0</v>
      </c>
      <c r="AU18" s="492">
        <f t="shared" si="14"/>
        <v>319312</v>
      </c>
      <c r="AV18" s="492">
        <f t="shared" si="14"/>
        <v>18894</v>
      </c>
      <c r="AW18" s="492">
        <f>N18+AF18</f>
        <v>2250</v>
      </c>
      <c r="AX18" s="493">
        <f>O18+AQ18</f>
        <v>2.73</v>
      </c>
      <c r="AY18" s="493">
        <f t="shared" si="15"/>
        <v>2.73</v>
      </c>
      <c r="AZ18" s="495">
        <f t="shared" si="15"/>
        <v>0</v>
      </c>
    </row>
    <row r="19" spans="1:52" ht="12.95" customHeight="1" x14ac:dyDescent="0.25">
      <c r="A19" s="314">
        <v>2</v>
      </c>
      <c r="B19" s="354">
        <v>5416</v>
      </c>
      <c r="C19" s="355">
        <v>600099342</v>
      </c>
      <c r="D19" s="354">
        <v>854719</v>
      </c>
      <c r="E19" s="382" t="s">
        <v>433</v>
      </c>
      <c r="F19" s="354">
        <v>3143</v>
      </c>
      <c r="G19" s="317" t="s">
        <v>629</v>
      </c>
      <c r="H19" s="317" t="s">
        <v>278</v>
      </c>
      <c r="I19" s="494">
        <v>1855152</v>
      </c>
      <c r="J19" s="489">
        <v>1366091</v>
      </c>
      <c r="K19" s="489">
        <v>0</v>
      </c>
      <c r="L19" s="489">
        <v>461739</v>
      </c>
      <c r="M19" s="489">
        <v>27322</v>
      </c>
      <c r="N19" s="489">
        <v>0</v>
      </c>
      <c r="O19" s="490">
        <v>2.625</v>
      </c>
      <c r="P19" s="491">
        <v>2.625</v>
      </c>
      <c r="Q19" s="500">
        <v>0</v>
      </c>
      <c r="R19" s="502">
        <f t="shared" si="2"/>
        <v>0</v>
      </c>
      <c r="S19" s="492">
        <v>0</v>
      </c>
      <c r="T19" s="492">
        <v>0</v>
      </c>
      <c r="U19" s="492">
        <v>0</v>
      </c>
      <c r="V19" s="492">
        <f t="shared" si="3"/>
        <v>0</v>
      </c>
      <c r="W19" s="492">
        <v>0</v>
      </c>
      <c r="X19" s="492">
        <v>0</v>
      </c>
      <c r="Y19" s="492">
        <v>0</v>
      </c>
      <c r="Z19" s="492">
        <f>SUM(W19:Y19)</f>
        <v>0</v>
      </c>
      <c r="AA19" s="492">
        <f>V19+Z19</f>
        <v>0</v>
      </c>
      <c r="AB19" s="74">
        <f>ROUND((V19+W19+X19)*33.8%,0)</f>
        <v>0</v>
      </c>
      <c r="AC19" s="74">
        <f>ROUND(V19*2%,0)</f>
        <v>0</v>
      </c>
      <c r="AD19" s="492">
        <v>0</v>
      </c>
      <c r="AE19" s="492">
        <v>0</v>
      </c>
      <c r="AF19" s="492">
        <f t="shared" si="4"/>
        <v>0</v>
      </c>
      <c r="AG19" s="492">
        <f t="shared" si="5"/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 t="shared" si="11"/>
        <v>0</v>
      </c>
      <c r="AP19" s="493">
        <f t="shared" si="12"/>
        <v>0</v>
      </c>
      <c r="AQ19" s="495">
        <f t="shared" si="8"/>
        <v>0</v>
      </c>
      <c r="AR19" s="501">
        <f>I19+AG19</f>
        <v>1855152</v>
      </c>
      <c r="AS19" s="492">
        <f>J19+V19</f>
        <v>1366091</v>
      </c>
      <c r="AT19" s="492">
        <f t="shared" si="13"/>
        <v>0</v>
      </c>
      <c r="AU19" s="492">
        <f t="shared" si="14"/>
        <v>461739</v>
      </c>
      <c r="AV19" s="492">
        <f t="shared" si="14"/>
        <v>27322</v>
      </c>
      <c r="AW19" s="492">
        <f>N19+AF19</f>
        <v>0</v>
      </c>
      <c r="AX19" s="493">
        <f>O19+AQ19</f>
        <v>2.625</v>
      </c>
      <c r="AY19" s="493">
        <f t="shared" si="15"/>
        <v>2.625</v>
      </c>
      <c r="AZ19" s="495">
        <f t="shared" si="15"/>
        <v>0</v>
      </c>
    </row>
    <row r="20" spans="1:52" ht="12.95" customHeight="1" x14ac:dyDescent="0.25">
      <c r="A20" s="314">
        <v>2</v>
      </c>
      <c r="B20" s="354">
        <v>5416</v>
      </c>
      <c r="C20" s="355">
        <v>600099342</v>
      </c>
      <c r="D20" s="354">
        <v>854719</v>
      </c>
      <c r="E20" s="382" t="s">
        <v>433</v>
      </c>
      <c r="F20" s="354">
        <v>3143</v>
      </c>
      <c r="G20" s="317" t="s">
        <v>630</v>
      </c>
      <c r="H20" s="317" t="s">
        <v>279</v>
      </c>
      <c r="I20" s="494">
        <v>67284</v>
      </c>
      <c r="J20" s="489">
        <v>47580</v>
      </c>
      <c r="K20" s="489">
        <v>0</v>
      </c>
      <c r="L20" s="489">
        <v>16082</v>
      </c>
      <c r="M20" s="489">
        <v>952</v>
      </c>
      <c r="N20" s="489">
        <v>2670</v>
      </c>
      <c r="O20" s="490">
        <v>0.19</v>
      </c>
      <c r="P20" s="491">
        <v>0</v>
      </c>
      <c r="Q20" s="500">
        <v>0.19</v>
      </c>
      <c r="R20" s="502">
        <f t="shared" si="2"/>
        <v>0</v>
      </c>
      <c r="S20" s="492">
        <v>0</v>
      </c>
      <c r="T20" s="492">
        <v>0</v>
      </c>
      <c r="U20" s="492">
        <v>0</v>
      </c>
      <c r="V20" s="492">
        <f t="shared" si="3"/>
        <v>0</v>
      </c>
      <c r="W20" s="492">
        <v>0</v>
      </c>
      <c r="X20" s="492">
        <v>0</v>
      </c>
      <c r="Y20" s="492">
        <v>0</v>
      </c>
      <c r="Z20" s="492">
        <f>SUM(W20:Y20)</f>
        <v>0</v>
      </c>
      <c r="AA20" s="492">
        <f>V20+Z20</f>
        <v>0</v>
      </c>
      <c r="AB20" s="74">
        <f>ROUND((V20+W20+X20)*33.8%,0)</f>
        <v>0</v>
      </c>
      <c r="AC20" s="74">
        <f>ROUND(V20*2%,0)</f>
        <v>0</v>
      </c>
      <c r="AD20" s="492">
        <v>0</v>
      </c>
      <c r="AE20" s="492">
        <v>0</v>
      </c>
      <c r="AF20" s="492">
        <f t="shared" si="4"/>
        <v>0</v>
      </c>
      <c r="AG20" s="492">
        <f t="shared" si="5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11"/>
        <v>0</v>
      </c>
      <c r="AP20" s="493">
        <f t="shared" si="12"/>
        <v>0</v>
      </c>
      <c r="AQ20" s="495">
        <f t="shared" si="8"/>
        <v>0</v>
      </c>
      <c r="AR20" s="501">
        <f>I20+AG20</f>
        <v>67284</v>
      </c>
      <c r="AS20" s="492">
        <f>J20+V20</f>
        <v>47580</v>
      </c>
      <c r="AT20" s="492">
        <f t="shared" si="13"/>
        <v>0</v>
      </c>
      <c r="AU20" s="492">
        <f t="shared" si="14"/>
        <v>16082</v>
      </c>
      <c r="AV20" s="492">
        <f t="shared" si="14"/>
        <v>952</v>
      </c>
      <c r="AW20" s="492">
        <f>N20+AF20</f>
        <v>2670</v>
      </c>
      <c r="AX20" s="493">
        <f>O20+AQ20</f>
        <v>0.19</v>
      </c>
      <c r="AY20" s="493">
        <f t="shared" si="15"/>
        <v>0</v>
      </c>
      <c r="AZ20" s="495">
        <f t="shared" si="15"/>
        <v>0.19</v>
      </c>
    </row>
    <row r="21" spans="1:52" ht="12.95" customHeight="1" x14ac:dyDescent="0.25">
      <c r="A21" s="324">
        <v>2</v>
      </c>
      <c r="B21" s="358">
        <v>5416</v>
      </c>
      <c r="C21" s="359">
        <v>600099342</v>
      </c>
      <c r="D21" s="358">
        <v>854719</v>
      </c>
      <c r="E21" s="383" t="s">
        <v>434</v>
      </c>
      <c r="F21" s="358"/>
      <c r="G21" s="384"/>
      <c r="H21" s="385"/>
      <c r="I21" s="584">
        <v>25838633</v>
      </c>
      <c r="J21" s="580">
        <v>18609227</v>
      </c>
      <c r="K21" s="580">
        <v>58500</v>
      </c>
      <c r="L21" s="580">
        <v>6309691</v>
      </c>
      <c r="M21" s="580">
        <v>372185</v>
      </c>
      <c r="N21" s="580">
        <v>489030</v>
      </c>
      <c r="O21" s="581">
        <v>34.282899999999998</v>
      </c>
      <c r="P21" s="581">
        <v>27.486699999999999</v>
      </c>
      <c r="Q21" s="586">
        <v>6.7962000000000007</v>
      </c>
      <c r="R21" s="584">
        <f t="shared" ref="R21:AZ21" si="16">SUM(R17:R20)</f>
        <v>0</v>
      </c>
      <c r="S21" s="580">
        <f t="shared" si="16"/>
        <v>0</v>
      </c>
      <c r="T21" s="580">
        <f t="shared" si="16"/>
        <v>0</v>
      </c>
      <c r="U21" s="580">
        <f t="shared" si="16"/>
        <v>0</v>
      </c>
      <c r="V21" s="580">
        <f t="shared" si="16"/>
        <v>0</v>
      </c>
      <c r="W21" s="580">
        <f t="shared" si="16"/>
        <v>0</v>
      </c>
      <c r="X21" s="580">
        <f t="shared" si="16"/>
        <v>0</v>
      </c>
      <c r="Y21" s="580">
        <f t="shared" si="16"/>
        <v>0</v>
      </c>
      <c r="Z21" s="580">
        <f t="shared" si="16"/>
        <v>0</v>
      </c>
      <c r="AA21" s="580">
        <f t="shared" si="16"/>
        <v>0</v>
      </c>
      <c r="AB21" s="580">
        <f t="shared" si="16"/>
        <v>0</v>
      </c>
      <c r="AC21" s="580">
        <f t="shared" si="16"/>
        <v>0</v>
      </c>
      <c r="AD21" s="580">
        <f t="shared" si="16"/>
        <v>2250</v>
      </c>
      <c r="AE21" s="580">
        <f t="shared" si="16"/>
        <v>0</v>
      </c>
      <c r="AF21" s="580">
        <f t="shared" si="16"/>
        <v>2250</v>
      </c>
      <c r="AG21" s="580">
        <f t="shared" si="16"/>
        <v>2250</v>
      </c>
      <c r="AH21" s="581">
        <f t="shared" si="16"/>
        <v>0</v>
      </c>
      <c r="AI21" s="581">
        <f t="shared" si="16"/>
        <v>0</v>
      </c>
      <c r="AJ21" s="581">
        <f t="shared" si="16"/>
        <v>0</v>
      </c>
      <c r="AK21" s="581">
        <f t="shared" si="16"/>
        <v>0</v>
      </c>
      <c r="AL21" s="581">
        <f t="shared" si="16"/>
        <v>0</v>
      </c>
      <c r="AM21" s="581">
        <f t="shared" si="16"/>
        <v>0</v>
      </c>
      <c r="AN21" s="581">
        <f t="shared" si="16"/>
        <v>0</v>
      </c>
      <c r="AO21" s="581">
        <f t="shared" si="16"/>
        <v>0</v>
      </c>
      <c r="AP21" s="581">
        <f t="shared" si="16"/>
        <v>0</v>
      </c>
      <c r="AQ21" s="312">
        <f t="shared" si="16"/>
        <v>0</v>
      </c>
      <c r="AR21" s="588">
        <f t="shared" si="16"/>
        <v>25840883</v>
      </c>
      <c r="AS21" s="580">
        <f t="shared" si="16"/>
        <v>18609227</v>
      </c>
      <c r="AT21" s="580">
        <f t="shared" si="16"/>
        <v>58500</v>
      </c>
      <c r="AU21" s="580">
        <f t="shared" si="16"/>
        <v>6309691</v>
      </c>
      <c r="AV21" s="580">
        <f t="shared" si="16"/>
        <v>372185</v>
      </c>
      <c r="AW21" s="580">
        <f t="shared" si="16"/>
        <v>491280</v>
      </c>
      <c r="AX21" s="581">
        <f t="shared" si="16"/>
        <v>34.282899999999998</v>
      </c>
      <c r="AY21" s="581">
        <f t="shared" si="16"/>
        <v>27.486699999999999</v>
      </c>
      <c r="AZ21" s="312">
        <f t="shared" si="16"/>
        <v>6.7962000000000007</v>
      </c>
    </row>
    <row r="22" spans="1:52" ht="12.95" customHeight="1" x14ac:dyDescent="0.25">
      <c r="A22" s="314">
        <v>3</v>
      </c>
      <c r="B22" s="354">
        <v>5413</v>
      </c>
      <c r="C22" s="355">
        <v>600099334</v>
      </c>
      <c r="D22" s="354">
        <v>854697</v>
      </c>
      <c r="E22" s="382" t="s">
        <v>435</v>
      </c>
      <c r="F22" s="354">
        <v>3113</v>
      </c>
      <c r="G22" s="378" t="s">
        <v>330</v>
      </c>
      <c r="H22" s="317" t="s">
        <v>278</v>
      </c>
      <c r="I22" s="494">
        <v>26063487</v>
      </c>
      <c r="J22" s="489">
        <v>18705804</v>
      </c>
      <c r="K22" s="489">
        <v>97500</v>
      </c>
      <c r="L22" s="489">
        <v>6355517</v>
      </c>
      <c r="M22" s="489">
        <v>374116</v>
      </c>
      <c r="N22" s="489">
        <v>530550</v>
      </c>
      <c r="O22" s="490">
        <v>32.590200000000003</v>
      </c>
      <c r="P22" s="491">
        <v>25.433600000000002</v>
      </c>
      <c r="Q22" s="500">
        <v>7.1566000000000001</v>
      </c>
      <c r="R22" s="502">
        <f t="shared" si="2"/>
        <v>0</v>
      </c>
      <c r="S22" s="492">
        <v>0</v>
      </c>
      <c r="T22" s="492">
        <v>0</v>
      </c>
      <c r="U22" s="492">
        <v>0</v>
      </c>
      <c r="V22" s="492">
        <f t="shared" si="3"/>
        <v>0</v>
      </c>
      <c r="W22" s="713">
        <v>0</v>
      </c>
      <c r="X22" s="492">
        <v>0</v>
      </c>
      <c r="Y22" s="492">
        <v>0</v>
      </c>
      <c r="Z22" s="492">
        <f>SUM(W22:Y22)</f>
        <v>0</v>
      </c>
      <c r="AA22" s="492">
        <f>V22+Z22</f>
        <v>0</v>
      </c>
      <c r="AB22" s="74">
        <f>ROUND((V22+W22+X22)*33.8%,0)</f>
        <v>0</v>
      </c>
      <c r="AC22" s="74">
        <f>ROUND(V22*2%,0)</f>
        <v>0</v>
      </c>
      <c r="AD22" s="492">
        <v>0</v>
      </c>
      <c r="AE22" s="492">
        <v>0</v>
      </c>
      <c r="AF22" s="492">
        <f t="shared" si="4"/>
        <v>0</v>
      </c>
      <c r="AG22" s="492">
        <f t="shared" si="5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ref="AO22:AO26" si="17">AH22+AJ22+AK22+AM22</f>
        <v>0</v>
      </c>
      <c r="AP22" s="493">
        <f t="shared" ref="AP22:AP26" si="18">AI22+AN22+AL22</f>
        <v>0</v>
      </c>
      <c r="AQ22" s="495">
        <f t="shared" si="8"/>
        <v>0</v>
      </c>
      <c r="AR22" s="501">
        <f>I22+AG22</f>
        <v>26063487</v>
      </c>
      <c r="AS22" s="492">
        <f>J22+V22</f>
        <v>18705804</v>
      </c>
      <c r="AT22" s="492">
        <f t="shared" ref="AT22:AT26" si="19">K22+Z22</f>
        <v>97500</v>
      </c>
      <c r="AU22" s="492">
        <f t="shared" ref="AU22:AV26" si="20">L22+AB22</f>
        <v>6355517</v>
      </c>
      <c r="AV22" s="492">
        <f t="shared" si="20"/>
        <v>374116</v>
      </c>
      <c r="AW22" s="492">
        <f>N22+AF22</f>
        <v>530550</v>
      </c>
      <c r="AX22" s="493">
        <f>O22+AQ22</f>
        <v>32.590200000000003</v>
      </c>
      <c r="AY22" s="493">
        <f t="shared" ref="AY22:AZ26" si="21">P22+AO22</f>
        <v>25.433600000000002</v>
      </c>
      <c r="AZ22" s="495">
        <f t="shared" si="21"/>
        <v>7.1566000000000001</v>
      </c>
    </row>
    <row r="23" spans="1:52" ht="12.95" customHeight="1" x14ac:dyDescent="0.25">
      <c r="A23" s="314">
        <v>3</v>
      </c>
      <c r="B23" s="354">
        <v>5413</v>
      </c>
      <c r="C23" s="355">
        <v>600099334</v>
      </c>
      <c r="D23" s="354">
        <v>854697</v>
      </c>
      <c r="E23" s="382" t="s">
        <v>435</v>
      </c>
      <c r="F23" s="354">
        <v>3113</v>
      </c>
      <c r="G23" s="317" t="s">
        <v>313</v>
      </c>
      <c r="H23" s="317" t="s">
        <v>279</v>
      </c>
      <c r="I23" s="494">
        <v>1932427</v>
      </c>
      <c r="J23" s="489">
        <v>1422626</v>
      </c>
      <c r="K23" s="489">
        <v>0</v>
      </c>
      <c r="L23" s="489">
        <v>480848</v>
      </c>
      <c r="M23" s="489">
        <v>28453</v>
      </c>
      <c r="N23" s="489">
        <v>500</v>
      </c>
      <c r="O23" s="490">
        <v>3.99</v>
      </c>
      <c r="P23" s="491">
        <v>3.99</v>
      </c>
      <c r="Q23" s="500">
        <v>0</v>
      </c>
      <c r="R23" s="502">
        <f t="shared" si="2"/>
        <v>0</v>
      </c>
      <c r="S23" s="492">
        <v>-282969</v>
      </c>
      <c r="T23" s="492">
        <v>0</v>
      </c>
      <c r="U23" s="492">
        <v>0</v>
      </c>
      <c r="V23" s="492">
        <f t="shared" si="3"/>
        <v>-282969</v>
      </c>
      <c r="W23" s="492">
        <v>0</v>
      </c>
      <c r="X23" s="492">
        <v>0</v>
      </c>
      <c r="Y23" s="492">
        <v>0</v>
      </c>
      <c r="Z23" s="492">
        <f>SUM(W23:Y23)</f>
        <v>0</v>
      </c>
      <c r="AA23" s="492">
        <f>V23+Z23</f>
        <v>-282969</v>
      </c>
      <c r="AB23" s="74">
        <f>ROUND((V23+W23+X23)*33.8%,0)</f>
        <v>-95644</v>
      </c>
      <c r="AC23" s="74">
        <f>ROUND(V23*2%,0)</f>
        <v>-5659</v>
      </c>
      <c r="AD23" s="492">
        <v>0</v>
      </c>
      <c r="AE23" s="492">
        <v>0</v>
      </c>
      <c r="AF23" s="492">
        <f t="shared" si="4"/>
        <v>0</v>
      </c>
      <c r="AG23" s="492">
        <f t="shared" si="5"/>
        <v>-384272</v>
      </c>
      <c r="AH23" s="493">
        <v>0</v>
      </c>
      <c r="AI23" s="493">
        <v>0</v>
      </c>
      <c r="AJ23" s="493">
        <v>-0.8</v>
      </c>
      <c r="AK23" s="493">
        <v>0</v>
      </c>
      <c r="AL23" s="493">
        <v>0</v>
      </c>
      <c r="AM23" s="493">
        <v>0</v>
      </c>
      <c r="AN23" s="493">
        <v>0</v>
      </c>
      <c r="AO23" s="493">
        <f t="shared" si="17"/>
        <v>-0.8</v>
      </c>
      <c r="AP23" s="493">
        <f t="shared" si="18"/>
        <v>0</v>
      </c>
      <c r="AQ23" s="495">
        <f t="shared" si="8"/>
        <v>-0.8</v>
      </c>
      <c r="AR23" s="501">
        <f>I23+AG23</f>
        <v>1548155</v>
      </c>
      <c r="AS23" s="492">
        <f>J23+V23</f>
        <v>1139657</v>
      </c>
      <c r="AT23" s="492">
        <f t="shared" si="19"/>
        <v>0</v>
      </c>
      <c r="AU23" s="492">
        <f t="shared" si="20"/>
        <v>385204</v>
      </c>
      <c r="AV23" s="492">
        <f t="shared" si="20"/>
        <v>22794</v>
      </c>
      <c r="AW23" s="492">
        <f>N23+AF23</f>
        <v>500</v>
      </c>
      <c r="AX23" s="493">
        <f>O23+AQ23</f>
        <v>3.1900000000000004</v>
      </c>
      <c r="AY23" s="493">
        <f t="shared" si="21"/>
        <v>3.1900000000000004</v>
      </c>
      <c r="AZ23" s="495">
        <f t="shared" si="21"/>
        <v>0</v>
      </c>
    </row>
    <row r="24" spans="1:52" ht="12.95" customHeight="1" x14ac:dyDescent="0.25">
      <c r="A24" s="314">
        <v>3</v>
      </c>
      <c r="B24" s="354">
        <v>5413</v>
      </c>
      <c r="C24" s="355">
        <v>600099334</v>
      </c>
      <c r="D24" s="354">
        <v>854697</v>
      </c>
      <c r="E24" s="382" t="s">
        <v>435</v>
      </c>
      <c r="F24" s="354">
        <v>3143</v>
      </c>
      <c r="G24" s="317" t="s">
        <v>629</v>
      </c>
      <c r="H24" s="317" t="s">
        <v>278</v>
      </c>
      <c r="I24" s="494">
        <v>1976725</v>
      </c>
      <c r="J24" s="489">
        <v>1455615</v>
      </c>
      <c r="K24" s="489">
        <v>0</v>
      </c>
      <c r="L24" s="489">
        <v>491998</v>
      </c>
      <c r="M24" s="489">
        <v>29112</v>
      </c>
      <c r="N24" s="489">
        <v>0</v>
      </c>
      <c r="O24" s="490">
        <v>2.8</v>
      </c>
      <c r="P24" s="491">
        <v>2.8</v>
      </c>
      <c r="Q24" s="500">
        <v>0</v>
      </c>
      <c r="R24" s="502">
        <f t="shared" si="2"/>
        <v>0</v>
      </c>
      <c r="S24" s="492">
        <v>0</v>
      </c>
      <c r="T24" s="492">
        <v>0</v>
      </c>
      <c r="U24" s="492">
        <v>0</v>
      </c>
      <c r="V24" s="492">
        <f t="shared" si="3"/>
        <v>0</v>
      </c>
      <c r="W24" s="492">
        <v>0</v>
      </c>
      <c r="X24" s="492">
        <v>0</v>
      </c>
      <c r="Y24" s="492">
        <v>0</v>
      </c>
      <c r="Z24" s="492">
        <f>SUM(W24:Y24)</f>
        <v>0</v>
      </c>
      <c r="AA24" s="492">
        <f>V24+Z24</f>
        <v>0</v>
      </c>
      <c r="AB24" s="74">
        <f>ROUND((V24+W24+X24)*33.8%,0)</f>
        <v>0</v>
      </c>
      <c r="AC24" s="74">
        <f>ROUND(V24*2%,0)</f>
        <v>0</v>
      </c>
      <c r="AD24" s="492">
        <v>0</v>
      </c>
      <c r="AE24" s="492">
        <v>0</v>
      </c>
      <c r="AF24" s="492">
        <f t="shared" si="4"/>
        <v>0</v>
      </c>
      <c r="AG24" s="492">
        <f t="shared" si="5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si="17"/>
        <v>0</v>
      </c>
      <c r="AP24" s="493">
        <f t="shared" si="18"/>
        <v>0</v>
      </c>
      <c r="AQ24" s="495">
        <f t="shared" si="8"/>
        <v>0</v>
      </c>
      <c r="AR24" s="501">
        <f>I24+AG24</f>
        <v>1976725</v>
      </c>
      <c r="AS24" s="492">
        <f>J24+V24</f>
        <v>1455615</v>
      </c>
      <c r="AT24" s="492">
        <f t="shared" si="19"/>
        <v>0</v>
      </c>
      <c r="AU24" s="492">
        <f t="shared" si="20"/>
        <v>491998</v>
      </c>
      <c r="AV24" s="492">
        <f t="shared" si="20"/>
        <v>29112</v>
      </c>
      <c r="AW24" s="492">
        <f>N24+AF24</f>
        <v>0</v>
      </c>
      <c r="AX24" s="493">
        <f>O24+AQ24</f>
        <v>2.8</v>
      </c>
      <c r="AY24" s="493">
        <f t="shared" si="21"/>
        <v>2.8</v>
      </c>
      <c r="AZ24" s="495">
        <f t="shared" si="21"/>
        <v>0</v>
      </c>
    </row>
    <row r="25" spans="1:52" ht="12.95" customHeight="1" x14ac:dyDescent="0.25">
      <c r="A25" s="314">
        <v>3</v>
      </c>
      <c r="B25" s="354">
        <v>5413</v>
      </c>
      <c r="C25" s="355">
        <v>600099334</v>
      </c>
      <c r="D25" s="354">
        <v>854697</v>
      </c>
      <c r="E25" s="382" t="s">
        <v>435</v>
      </c>
      <c r="F25" s="354">
        <v>3143</v>
      </c>
      <c r="G25" s="317" t="s">
        <v>630</v>
      </c>
      <c r="H25" s="317" t="s">
        <v>279</v>
      </c>
      <c r="I25" s="494">
        <v>65772</v>
      </c>
      <c r="J25" s="489">
        <v>46511</v>
      </c>
      <c r="K25" s="489">
        <v>0</v>
      </c>
      <c r="L25" s="489">
        <v>15721</v>
      </c>
      <c r="M25" s="489">
        <v>930</v>
      </c>
      <c r="N25" s="489">
        <v>2610</v>
      </c>
      <c r="O25" s="490">
        <v>0.18</v>
      </c>
      <c r="P25" s="491">
        <v>0</v>
      </c>
      <c r="Q25" s="500">
        <v>0.18</v>
      </c>
      <c r="R25" s="502">
        <f t="shared" si="2"/>
        <v>0</v>
      </c>
      <c r="S25" s="492">
        <v>0</v>
      </c>
      <c r="T25" s="492">
        <v>0</v>
      </c>
      <c r="U25" s="492">
        <v>0</v>
      </c>
      <c r="V25" s="492">
        <f t="shared" si="3"/>
        <v>0</v>
      </c>
      <c r="W25" s="492">
        <v>0</v>
      </c>
      <c r="X25" s="492">
        <v>0</v>
      </c>
      <c r="Y25" s="492">
        <v>0</v>
      </c>
      <c r="Z25" s="492">
        <f>SUM(W25:Y25)</f>
        <v>0</v>
      </c>
      <c r="AA25" s="492">
        <f>V25+Z25</f>
        <v>0</v>
      </c>
      <c r="AB25" s="74">
        <f>ROUND((V25+W25+X25)*33.8%,0)</f>
        <v>0</v>
      </c>
      <c r="AC25" s="74">
        <f>ROUND(V25*2%,0)</f>
        <v>0</v>
      </c>
      <c r="AD25" s="492">
        <v>0</v>
      </c>
      <c r="AE25" s="492">
        <v>0</v>
      </c>
      <c r="AF25" s="492">
        <f t="shared" si="4"/>
        <v>0</v>
      </c>
      <c r="AG25" s="492">
        <f t="shared" si="5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17"/>
        <v>0</v>
      </c>
      <c r="AP25" s="493">
        <f t="shared" si="18"/>
        <v>0</v>
      </c>
      <c r="AQ25" s="495">
        <f t="shared" si="8"/>
        <v>0</v>
      </c>
      <c r="AR25" s="501">
        <f>I25+AG25</f>
        <v>65772</v>
      </c>
      <c r="AS25" s="492">
        <f>J25+V25</f>
        <v>46511</v>
      </c>
      <c r="AT25" s="492">
        <f t="shared" si="19"/>
        <v>0</v>
      </c>
      <c r="AU25" s="492">
        <f t="shared" si="20"/>
        <v>15721</v>
      </c>
      <c r="AV25" s="492">
        <f t="shared" si="20"/>
        <v>930</v>
      </c>
      <c r="AW25" s="492">
        <f>N25+AF25</f>
        <v>2610</v>
      </c>
      <c r="AX25" s="493">
        <f>O25+AQ25</f>
        <v>0.18</v>
      </c>
      <c r="AY25" s="493">
        <f t="shared" si="21"/>
        <v>0</v>
      </c>
      <c r="AZ25" s="495">
        <f t="shared" si="21"/>
        <v>0.18</v>
      </c>
    </row>
    <row r="26" spans="1:52" ht="12.95" customHeight="1" x14ac:dyDescent="0.25">
      <c r="A26" s="314">
        <v>3</v>
      </c>
      <c r="B26" s="354">
        <v>5413</v>
      </c>
      <c r="C26" s="355">
        <v>600099334</v>
      </c>
      <c r="D26" s="354">
        <v>854697</v>
      </c>
      <c r="E26" s="382" t="s">
        <v>435</v>
      </c>
      <c r="F26" s="354">
        <v>3143</v>
      </c>
      <c r="G26" s="378" t="s">
        <v>436</v>
      </c>
      <c r="H26" s="317" t="s">
        <v>279</v>
      </c>
      <c r="I26" s="494">
        <v>365345</v>
      </c>
      <c r="J26" s="489">
        <v>267721</v>
      </c>
      <c r="K26" s="489">
        <v>0</v>
      </c>
      <c r="L26" s="489">
        <v>90490</v>
      </c>
      <c r="M26" s="489">
        <v>5354</v>
      </c>
      <c r="N26" s="489">
        <v>1780</v>
      </c>
      <c r="O26" s="490">
        <v>0.64</v>
      </c>
      <c r="P26" s="491">
        <v>0.45</v>
      </c>
      <c r="Q26" s="500">
        <v>0.19</v>
      </c>
      <c r="R26" s="502">
        <f t="shared" si="2"/>
        <v>0</v>
      </c>
      <c r="S26" s="492">
        <v>0</v>
      </c>
      <c r="T26" s="492">
        <v>0</v>
      </c>
      <c r="U26" s="492">
        <v>0</v>
      </c>
      <c r="V26" s="492">
        <f t="shared" si="3"/>
        <v>0</v>
      </c>
      <c r="W26" s="492">
        <v>0</v>
      </c>
      <c r="X26" s="492">
        <v>0</v>
      </c>
      <c r="Y26" s="492">
        <v>0</v>
      </c>
      <c r="Z26" s="492">
        <f>SUM(W26:Y26)</f>
        <v>0</v>
      </c>
      <c r="AA26" s="492">
        <f>V26+Z26</f>
        <v>0</v>
      </c>
      <c r="AB26" s="74">
        <f>ROUND((V26+W26+X26)*33.8%,0)</f>
        <v>0</v>
      </c>
      <c r="AC26" s="74">
        <f>ROUND(V26*2%,0)</f>
        <v>0</v>
      </c>
      <c r="AD26" s="492">
        <v>0</v>
      </c>
      <c r="AE26" s="492">
        <v>0</v>
      </c>
      <c r="AF26" s="492">
        <f t="shared" si="4"/>
        <v>0</v>
      </c>
      <c r="AG26" s="492">
        <f t="shared" si="5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17"/>
        <v>0</v>
      </c>
      <c r="AP26" s="493">
        <f t="shared" si="18"/>
        <v>0</v>
      </c>
      <c r="AQ26" s="495">
        <f t="shared" si="8"/>
        <v>0</v>
      </c>
      <c r="AR26" s="501">
        <f>I26+AG26</f>
        <v>365345</v>
      </c>
      <c r="AS26" s="492">
        <f>J26+V26</f>
        <v>267721</v>
      </c>
      <c r="AT26" s="492">
        <f t="shared" si="19"/>
        <v>0</v>
      </c>
      <c r="AU26" s="492">
        <f t="shared" si="20"/>
        <v>90490</v>
      </c>
      <c r="AV26" s="492">
        <f t="shared" si="20"/>
        <v>5354</v>
      </c>
      <c r="AW26" s="492">
        <f>N26+AF26</f>
        <v>1780</v>
      </c>
      <c r="AX26" s="493">
        <f>O26+AQ26</f>
        <v>0.64</v>
      </c>
      <c r="AY26" s="493">
        <f t="shared" si="21"/>
        <v>0.45</v>
      </c>
      <c r="AZ26" s="495">
        <f t="shared" si="21"/>
        <v>0.19</v>
      </c>
    </row>
    <row r="27" spans="1:52" ht="12.95" customHeight="1" x14ac:dyDescent="0.25">
      <c r="A27" s="324">
        <v>3</v>
      </c>
      <c r="B27" s="358">
        <v>5413</v>
      </c>
      <c r="C27" s="359">
        <v>600099334</v>
      </c>
      <c r="D27" s="358">
        <v>854697</v>
      </c>
      <c r="E27" s="383" t="s">
        <v>437</v>
      </c>
      <c r="F27" s="358"/>
      <c r="G27" s="384"/>
      <c r="H27" s="385"/>
      <c r="I27" s="584">
        <v>30403756</v>
      </c>
      <c r="J27" s="580">
        <v>21898277</v>
      </c>
      <c r="K27" s="580">
        <v>97500</v>
      </c>
      <c r="L27" s="580">
        <v>7434574</v>
      </c>
      <c r="M27" s="580">
        <v>437965</v>
      </c>
      <c r="N27" s="580">
        <v>535440</v>
      </c>
      <c r="O27" s="581">
        <v>40.200200000000002</v>
      </c>
      <c r="P27" s="581">
        <v>32.6736</v>
      </c>
      <c r="Q27" s="586">
        <v>7.5266000000000002</v>
      </c>
      <c r="R27" s="584">
        <f t="shared" ref="R27:AZ27" si="22">SUM(R22:R26)</f>
        <v>0</v>
      </c>
      <c r="S27" s="580">
        <f t="shared" si="22"/>
        <v>-282969</v>
      </c>
      <c r="T27" s="580">
        <f t="shared" si="22"/>
        <v>0</v>
      </c>
      <c r="U27" s="580">
        <f t="shared" si="22"/>
        <v>0</v>
      </c>
      <c r="V27" s="580">
        <f t="shared" si="22"/>
        <v>-282969</v>
      </c>
      <c r="W27" s="580">
        <f t="shared" si="22"/>
        <v>0</v>
      </c>
      <c r="X27" s="580">
        <f t="shared" si="22"/>
        <v>0</v>
      </c>
      <c r="Y27" s="580">
        <f t="shared" si="22"/>
        <v>0</v>
      </c>
      <c r="Z27" s="580">
        <f t="shared" si="22"/>
        <v>0</v>
      </c>
      <c r="AA27" s="580">
        <f t="shared" si="22"/>
        <v>-282969</v>
      </c>
      <c r="AB27" s="580">
        <f t="shared" si="22"/>
        <v>-95644</v>
      </c>
      <c r="AC27" s="580">
        <f t="shared" si="22"/>
        <v>-5659</v>
      </c>
      <c r="AD27" s="580">
        <f t="shared" si="22"/>
        <v>0</v>
      </c>
      <c r="AE27" s="580">
        <f t="shared" si="22"/>
        <v>0</v>
      </c>
      <c r="AF27" s="580">
        <f t="shared" si="22"/>
        <v>0</v>
      </c>
      <c r="AG27" s="580">
        <f t="shared" si="22"/>
        <v>-384272</v>
      </c>
      <c r="AH27" s="581">
        <f t="shared" si="22"/>
        <v>0</v>
      </c>
      <c r="AI27" s="581">
        <f t="shared" si="22"/>
        <v>0</v>
      </c>
      <c r="AJ27" s="581">
        <f t="shared" si="22"/>
        <v>-0.8</v>
      </c>
      <c r="AK27" s="581">
        <f t="shared" si="22"/>
        <v>0</v>
      </c>
      <c r="AL27" s="581">
        <f t="shared" si="22"/>
        <v>0</v>
      </c>
      <c r="AM27" s="581">
        <f t="shared" si="22"/>
        <v>0</v>
      </c>
      <c r="AN27" s="581">
        <f t="shared" si="22"/>
        <v>0</v>
      </c>
      <c r="AO27" s="581">
        <f t="shared" si="22"/>
        <v>-0.8</v>
      </c>
      <c r="AP27" s="581">
        <f t="shared" si="22"/>
        <v>0</v>
      </c>
      <c r="AQ27" s="312">
        <f t="shared" si="22"/>
        <v>-0.8</v>
      </c>
      <c r="AR27" s="588">
        <f t="shared" si="22"/>
        <v>30019484</v>
      </c>
      <c r="AS27" s="580">
        <f t="shared" si="22"/>
        <v>21615308</v>
      </c>
      <c r="AT27" s="580">
        <f t="shared" si="22"/>
        <v>97500</v>
      </c>
      <c r="AU27" s="580">
        <f t="shared" si="22"/>
        <v>7338930</v>
      </c>
      <c r="AV27" s="580">
        <f t="shared" si="22"/>
        <v>432306</v>
      </c>
      <c r="AW27" s="580">
        <f t="shared" si="22"/>
        <v>535440</v>
      </c>
      <c r="AX27" s="581">
        <f t="shared" si="22"/>
        <v>39.400199999999998</v>
      </c>
      <c r="AY27" s="581">
        <f t="shared" si="22"/>
        <v>31.873600000000003</v>
      </c>
      <c r="AZ27" s="312">
        <f t="shared" si="22"/>
        <v>7.5266000000000002</v>
      </c>
    </row>
    <row r="28" spans="1:52" ht="12.95" customHeight="1" x14ac:dyDescent="0.25">
      <c r="A28" s="314">
        <v>4</v>
      </c>
      <c r="B28" s="354">
        <v>5475</v>
      </c>
      <c r="C28" s="355">
        <v>600099385</v>
      </c>
      <c r="D28" s="354">
        <v>854735</v>
      </c>
      <c r="E28" s="382" t="s">
        <v>438</v>
      </c>
      <c r="F28" s="354">
        <v>3231</v>
      </c>
      <c r="G28" s="378" t="s">
        <v>419</v>
      </c>
      <c r="H28" s="317" t="s">
        <v>278</v>
      </c>
      <c r="I28" s="494">
        <v>13330126</v>
      </c>
      <c r="J28" s="489">
        <v>9702356</v>
      </c>
      <c r="K28" s="489">
        <v>82550</v>
      </c>
      <c r="L28" s="489">
        <v>3307298</v>
      </c>
      <c r="M28" s="489">
        <v>194047</v>
      </c>
      <c r="N28" s="489">
        <v>43875</v>
      </c>
      <c r="O28" s="490">
        <v>17.949099999999998</v>
      </c>
      <c r="P28" s="491">
        <v>16.1372</v>
      </c>
      <c r="Q28" s="500">
        <v>1.8119000000000001</v>
      </c>
      <c r="R28" s="502">
        <f t="shared" si="2"/>
        <v>0</v>
      </c>
      <c r="S28" s="492">
        <v>0</v>
      </c>
      <c r="T28" s="492">
        <v>0</v>
      </c>
      <c r="U28" s="492">
        <v>0</v>
      </c>
      <c r="V28" s="492">
        <f t="shared" si="3"/>
        <v>0</v>
      </c>
      <c r="W28" s="713">
        <v>0</v>
      </c>
      <c r="X28" s="492">
        <v>0</v>
      </c>
      <c r="Y28" s="492">
        <v>0</v>
      </c>
      <c r="Z28" s="492">
        <f>SUM(W28:Y28)</f>
        <v>0</v>
      </c>
      <c r="AA28" s="492">
        <f>V28+Z28</f>
        <v>0</v>
      </c>
      <c r="AB28" s="74">
        <f>ROUND((V28+W28+X28)*33.8%,0)</f>
        <v>0</v>
      </c>
      <c r="AC28" s="74">
        <f>ROUND(V28*2%,0)</f>
        <v>0</v>
      </c>
      <c r="AD28" s="492">
        <v>0</v>
      </c>
      <c r="AE28" s="492">
        <v>0</v>
      </c>
      <c r="AF28" s="492">
        <f t="shared" si="4"/>
        <v>0</v>
      </c>
      <c r="AG28" s="492">
        <f t="shared" si="5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ref="AO28" si="23">AH28+AJ28+AK28+AM28</f>
        <v>0</v>
      </c>
      <c r="AP28" s="493">
        <f t="shared" ref="AP28" si="24">AI28+AN28+AL28</f>
        <v>0</v>
      </c>
      <c r="AQ28" s="495">
        <f t="shared" si="8"/>
        <v>0</v>
      </c>
      <c r="AR28" s="501">
        <f>I28+AG28</f>
        <v>13330126</v>
      </c>
      <c r="AS28" s="492">
        <f>J28+V28</f>
        <v>9702356</v>
      </c>
      <c r="AT28" s="492">
        <f>K28+Z28</f>
        <v>82550</v>
      </c>
      <c r="AU28" s="492">
        <f>L28+AB28</f>
        <v>3307298</v>
      </c>
      <c r="AV28" s="492">
        <f>M28+AC28</f>
        <v>194047</v>
      </c>
      <c r="AW28" s="492">
        <f>N28+AF28</f>
        <v>43875</v>
      </c>
      <c r="AX28" s="493">
        <f>O28+AQ28</f>
        <v>17.949099999999998</v>
      </c>
      <c r="AY28" s="493">
        <f>P28+AO28</f>
        <v>16.1372</v>
      </c>
      <c r="AZ28" s="495">
        <f>Q28+AP28</f>
        <v>1.8119000000000001</v>
      </c>
    </row>
    <row r="29" spans="1:52" ht="12.95" customHeight="1" x14ac:dyDescent="0.25">
      <c r="A29" s="324">
        <v>4</v>
      </c>
      <c r="B29" s="358">
        <v>5475</v>
      </c>
      <c r="C29" s="359">
        <v>600099385</v>
      </c>
      <c r="D29" s="358">
        <v>854735</v>
      </c>
      <c r="E29" s="383" t="s">
        <v>439</v>
      </c>
      <c r="F29" s="358"/>
      <c r="G29" s="384"/>
      <c r="H29" s="385"/>
      <c r="I29" s="584">
        <v>13330126</v>
      </c>
      <c r="J29" s="580">
        <v>9702356</v>
      </c>
      <c r="K29" s="580">
        <v>82550</v>
      </c>
      <c r="L29" s="580">
        <v>3307298</v>
      </c>
      <c r="M29" s="580">
        <v>194047</v>
      </c>
      <c r="N29" s="580">
        <v>43875</v>
      </c>
      <c r="O29" s="581">
        <v>17.949099999999998</v>
      </c>
      <c r="P29" s="581">
        <v>16.1372</v>
      </c>
      <c r="Q29" s="586">
        <v>1.8119000000000001</v>
      </c>
      <c r="R29" s="584">
        <f t="shared" ref="R29:AZ29" si="25">SUM(R28)</f>
        <v>0</v>
      </c>
      <c r="S29" s="580">
        <f t="shared" si="25"/>
        <v>0</v>
      </c>
      <c r="T29" s="580">
        <f t="shared" si="25"/>
        <v>0</v>
      </c>
      <c r="U29" s="580">
        <f t="shared" si="25"/>
        <v>0</v>
      </c>
      <c r="V29" s="580">
        <f t="shared" si="25"/>
        <v>0</v>
      </c>
      <c r="W29" s="580">
        <f t="shared" si="25"/>
        <v>0</v>
      </c>
      <c r="X29" s="580">
        <f t="shared" si="25"/>
        <v>0</v>
      </c>
      <c r="Y29" s="580">
        <f t="shared" si="25"/>
        <v>0</v>
      </c>
      <c r="Z29" s="580">
        <f t="shared" si="25"/>
        <v>0</v>
      </c>
      <c r="AA29" s="580">
        <f t="shared" si="25"/>
        <v>0</v>
      </c>
      <c r="AB29" s="580">
        <f t="shared" si="25"/>
        <v>0</v>
      </c>
      <c r="AC29" s="580">
        <f t="shared" si="25"/>
        <v>0</v>
      </c>
      <c r="AD29" s="580">
        <f t="shared" si="25"/>
        <v>0</v>
      </c>
      <c r="AE29" s="580">
        <f t="shared" si="25"/>
        <v>0</v>
      </c>
      <c r="AF29" s="580">
        <f t="shared" si="25"/>
        <v>0</v>
      </c>
      <c r="AG29" s="580">
        <f t="shared" si="25"/>
        <v>0</v>
      </c>
      <c r="AH29" s="581">
        <f t="shared" si="25"/>
        <v>0</v>
      </c>
      <c r="AI29" s="581">
        <f t="shared" si="25"/>
        <v>0</v>
      </c>
      <c r="AJ29" s="581">
        <f t="shared" si="25"/>
        <v>0</v>
      </c>
      <c r="AK29" s="581">
        <f t="shared" si="25"/>
        <v>0</v>
      </c>
      <c r="AL29" s="581">
        <f t="shared" si="25"/>
        <v>0</v>
      </c>
      <c r="AM29" s="581">
        <f t="shared" si="25"/>
        <v>0</v>
      </c>
      <c r="AN29" s="581">
        <f t="shared" si="25"/>
        <v>0</v>
      </c>
      <c r="AO29" s="581">
        <f t="shared" si="25"/>
        <v>0</v>
      </c>
      <c r="AP29" s="581">
        <f t="shared" si="25"/>
        <v>0</v>
      </c>
      <c r="AQ29" s="312">
        <f t="shared" si="25"/>
        <v>0</v>
      </c>
      <c r="AR29" s="588">
        <f t="shared" si="25"/>
        <v>13330126</v>
      </c>
      <c r="AS29" s="580">
        <f t="shared" si="25"/>
        <v>9702356</v>
      </c>
      <c r="AT29" s="580">
        <f t="shared" si="25"/>
        <v>82550</v>
      </c>
      <c r="AU29" s="580">
        <f t="shared" si="25"/>
        <v>3307298</v>
      </c>
      <c r="AV29" s="580">
        <f t="shared" si="25"/>
        <v>194047</v>
      </c>
      <c r="AW29" s="580">
        <f t="shared" si="25"/>
        <v>43875</v>
      </c>
      <c r="AX29" s="581">
        <f t="shared" si="25"/>
        <v>17.949099999999998</v>
      </c>
      <c r="AY29" s="581">
        <f t="shared" si="25"/>
        <v>16.1372</v>
      </c>
      <c r="AZ29" s="312">
        <f t="shared" si="25"/>
        <v>1.8119000000000001</v>
      </c>
    </row>
    <row r="30" spans="1:52" ht="12.95" customHeight="1" x14ac:dyDescent="0.25">
      <c r="A30" s="314">
        <v>5</v>
      </c>
      <c r="B30" s="354">
        <v>5401</v>
      </c>
      <c r="C30" s="355">
        <v>600098397</v>
      </c>
      <c r="D30" s="354">
        <v>70983615</v>
      </c>
      <c r="E30" s="382" t="s">
        <v>440</v>
      </c>
      <c r="F30" s="354">
        <v>3111</v>
      </c>
      <c r="G30" s="378" t="s">
        <v>326</v>
      </c>
      <c r="H30" s="317" t="s">
        <v>278</v>
      </c>
      <c r="I30" s="494">
        <v>1824589</v>
      </c>
      <c r="J30" s="489">
        <v>1308139</v>
      </c>
      <c r="K30" s="489">
        <v>29250</v>
      </c>
      <c r="L30" s="489">
        <v>452037</v>
      </c>
      <c r="M30" s="489">
        <v>26163</v>
      </c>
      <c r="N30" s="489">
        <v>9000</v>
      </c>
      <c r="O30" s="490">
        <v>2.6648999999999998</v>
      </c>
      <c r="P30" s="491">
        <v>2</v>
      </c>
      <c r="Q30" s="500">
        <v>0.66490000000000005</v>
      </c>
      <c r="R30" s="502">
        <f t="shared" si="2"/>
        <v>0</v>
      </c>
      <c r="S30" s="492">
        <v>0</v>
      </c>
      <c r="T30" s="492">
        <v>0</v>
      </c>
      <c r="U30" s="492">
        <v>0</v>
      </c>
      <c r="V30" s="492">
        <f t="shared" si="3"/>
        <v>0</v>
      </c>
      <c r="W30" s="713">
        <v>0</v>
      </c>
      <c r="X30" s="492">
        <v>0</v>
      </c>
      <c r="Y30" s="492">
        <v>0</v>
      </c>
      <c r="Z30" s="492">
        <f>SUM(W30:Y30)</f>
        <v>0</v>
      </c>
      <c r="AA30" s="492">
        <f>V30+Z30</f>
        <v>0</v>
      </c>
      <c r="AB30" s="74">
        <f>ROUND((V30+W30+X30)*33.8%,0)</f>
        <v>0</v>
      </c>
      <c r="AC30" s="74">
        <f>ROUND(V30*2%,0)</f>
        <v>0</v>
      </c>
      <c r="AD30" s="492">
        <v>0</v>
      </c>
      <c r="AE30" s="492">
        <v>0</v>
      </c>
      <c r="AF30" s="492">
        <f t="shared" si="4"/>
        <v>0</v>
      </c>
      <c r="AG30" s="492">
        <f t="shared" si="5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ref="AO30:AO31" si="26">AH30+AJ30+AK30+AM30</f>
        <v>0</v>
      </c>
      <c r="AP30" s="493">
        <f t="shared" ref="AP30:AP31" si="27">AI30+AN30+AL30</f>
        <v>0</v>
      </c>
      <c r="AQ30" s="495">
        <f t="shared" si="8"/>
        <v>0</v>
      </c>
      <c r="AR30" s="501">
        <f>I30+AG30</f>
        <v>1824589</v>
      </c>
      <c r="AS30" s="492">
        <f>J30+V30</f>
        <v>1308139</v>
      </c>
      <c r="AT30" s="492">
        <f t="shared" ref="AT30:AT31" si="28">K30+Z30</f>
        <v>29250</v>
      </c>
      <c r="AU30" s="492">
        <f>L30+AB30</f>
        <v>452037</v>
      </c>
      <c r="AV30" s="492">
        <f>M30+AC30</f>
        <v>26163</v>
      </c>
      <c r="AW30" s="492">
        <f>N30+AF30</f>
        <v>9000</v>
      </c>
      <c r="AX30" s="493">
        <f>O30+AQ30</f>
        <v>2.6648999999999998</v>
      </c>
      <c r="AY30" s="493">
        <f>P30+AO30</f>
        <v>2</v>
      </c>
      <c r="AZ30" s="495">
        <f>Q30+AP30</f>
        <v>0.66490000000000005</v>
      </c>
    </row>
    <row r="31" spans="1:52" ht="12.95" customHeight="1" x14ac:dyDescent="0.25">
      <c r="A31" s="314">
        <v>5</v>
      </c>
      <c r="B31" s="354">
        <v>5401</v>
      </c>
      <c r="C31" s="355">
        <v>600098397</v>
      </c>
      <c r="D31" s="354">
        <v>70983615</v>
      </c>
      <c r="E31" s="382" t="s">
        <v>440</v>
      </c>
      <c r="F31" s="354">
        <v>3141</v>
      </c>
      <c r="G31" s="378" t="s">
        <v>316</v>
      </c>
      <c r="H31" s="317" t="s">
        <v>279</v>
      </c>
      <c r="I31" s="494">
        <v>140705</v>
      </c>
      <c r="J31" s="489">
        <v>103052</v>
      </c>
      <c r="K31" s="489">
        <v>0</v>
      </c>
      <c r="L31" s="489">
        <v>34832</v>
      </c>
      <c r="M31" s="489">
        <v>2061</v>
      </c>
      <c r="N31" s="489">
        <v>760</v>
      </c>
      <c r="O31" s="490">
        <v>0.32</v>
      </c>
      <c r="P31" s="491">
        <v>0</v>
      </c>
      <c r="Q31" s="500">
        <v>0.32</v>
      </c>
      <c r="R31" s="502">
        <f t="shared" si="2"/>
        <v>0</v>
      </c>
      <c r="S31" s="492">
        <v>0</v>
      </c>
      <c r="T31" s="492">
        <v>0</v>
      </c>
      <c r="U31" s="492">
        <v>0</v>
      </c>
      <c r="V31" s="492">
        <f t="shared" si="3"/>
        <v>0</v>
      </c>
      <c r="W31" s="713">
        <v>0</v>
      </c>
      <c r="X31" s="492">
        <v>0</v>
      </c>
      <c r="Y31" s="492">
        <v>0</v>
      </c>
      <c r="Z31" s="492">
        <f>SUM(W31:Y31)</f>
        <v>0</v>
      </c>
      <c r="AA31" s="492">
        <f>V31+Z31</f>
        <v>0</v>
      </c>
      <c r="AB31" s="74">
        <f>ROUND((V31+W31+X31)*33.8%,0)</f>
        <v>0</v>
      </c>
      <c r="AC31" s="74">
        <f>ROUND(V31*2%,0)</f>
        <v>0</v>
      </c>
      <c r="AD31" s="492">
        <v>0</v>
      </c>
      <c r="AE31" s="492">
        <v>0</v>
      </c>
      <c r="AF31" s="492">
        <f t="shared" si="4"/>
        <v>0</v>
      </c>
      <c r="AG31" s="492">
        <f t="shared" si="5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si="26"/>
        <v>0</v>
      </c>
      <c r="AP31" s="493">
        <f t="shared" si="27"/>
        <v>0</v>
      </c>
      <c r="AQ31" s="495">
        <f t="shared" si="8"/>
        <v>0</v>
      </c>
      <c r="AR31" s="501">
        <f>I31+AG31</f>
        <v>140705</v>
      </c>
      <c r="AS31" s="492">
        <f>J31+V31</f>
        <v>103052</v>
      </c>
      <c r="AT31" s="492">
        <f t="shared" si="28"/>
        <v>0</v>
      </c>
      <c r="AU31" s="492">
        <f>L31+AB31</f>
        <v>34832</v>
      </c>
      <c r="AV31" s="492">
        <f>M31+AC31</f>
        <v>2061</v>
      </c>
      <c r="AW31" s="492">
        <f>N31+AF31</f>
        <v>760</v>
      </c>
      <c r="AX31" s="493">
        <f>O31+AQ31</f>
        <v>0.32</v>
      </c>
      <c r="AY31" s="493">
        <f>P31+AO31</f>
        <v>0</v>
      </c>
      <c r="AZ31" s="495">
        <f>Q31+AP31</f>
        <v>0.32</v>
      </c>
    </row>
    <row r="32" spans="1:52" ht="12.95" customHeight="1" x14ac:dyDescent="0.25">
      <c r="A32" s="324">
        <v>5</v>
      </c>
      <c r="B32" s="358">
        <v>5401</v>
      </c>
      <c r="C32" s="359">
        <v>600098397</v>
      </c>
      <c r="D32" s="358">
        <v>70983615</v>
      </c>
      <c r="E32" s="383" t="s">
        <v>441</v>
      </c>
      <c r="F32" s="358"/>
      <c r="G32" s="384"/>
      <c r="H32" s="385"/>
      <c r="I32" s="584">
        <v>1965294</v>
      </c>
      <c r="J32" s="580">
        <v>1411191</v>
      </c>
      <c r="K32" s="580">
        <v>29250</v>
      </c>
      <c r="L32" s="580">
        <v>486869</v>
      </c>
      <c r="M32" s="580">
        <v>28224</v>
      </c>
      <c r="N32" s="580">
        <v>9760</v>
      </c>
      <c r="O32" s="581">
        <v>2.9848999999999997</v>
      </c>
      <c r="P32" s="581">
        <v>2</v>
      </c>
      <c r="Q32" s="586">
        <v>0.98490000000000011</v>
      </c>
      <c r="R32" s="584">
        <f t="shared" ref="R32:AZ32" si="29">SUM(R30:R31)</f>
        <v>0</v>
      </c>
      <c r="S32" s="580">
        <f t="shared" si="29"/>
        <v>0</v>
      </c>
      <c r="T32" s="580">
        <f t="shared" si="29"/>
        <v>0</v>
      </c>
      <c r="U32" s="580">
        <f t="shared" si="29"/>
        <v>0</v>
      </c>
      <c r="V32" s="580">
        <f t="shared" si="29"/>
        <v>0</v>
      </c>
      <c r="W32" s="580">
        <f t="shared" si="29"/>
        <v>0</v>
      </c>
      <c r="X32" s="580">
        <f t="shared" si="29"/>
        <v>0</v>
      </c>
      <c r="Y32" s="580">
        <f t="shared" si="29"/>
        <v>0</v>
      </c>
      <c r="Z32" s="580">
        <f t="shared" si="29"/>
        <v>0</v>
      </c>
      <c r="AA32" s="580">
        <f t="shared" si="29"/>
        <v>0</v>
      </c>
      <c r="AB32" s="580">
        <f t="shared" si="29"/>
        <v>0</v>
      </c>
      <c r="AC32" s="580">
        <f t="shared" si="29"/>
        <v>0</v>
      </c>
      <c r="AD32" s="580">
        <f t="shared" si="29"/>
        <v>0</v>
      </c>
      <c r="AE32" s="580">
        <f t="shared" si="29"/>
        <v>0</v>
      </c>
      <c r="AF32" s="580">
        <f t="shared" si="29"/>
        <v>0</v>
      </c>
      <c r="AG32" s="580">
        <f t="shared" si="29"/>
        <v>0</v>
      </c>
      <c r="AH32" s="581">
        <f t="shared" si="29"/>
        <v>0</v>
      </c>
      <c r="AI32" s="581">
        <f t="shared" si="29"/>
        <v>0</v>
      </c>
      <c r="AJ32" s="581">
        <f t="shared" si="29"/>
        <v>0</v>
      </c>
      <c r="AK32" s="581">
        <f t="shared" si="29"/>
        <v>0</v>
      </c>
      <c r="AL32" s="581">
        <f t="shared" si="29"/>
        <v>0</v>
      </c>
      <c r="AM32" s="581">
        <f t="shared" si="29"/>
        <v>0</v>
      </c>
      <c r="AN32" s="581">
        <f t="shared" si="29"/>
        <v>0</v>
      </c>
      <c r="AO32" s="581">
        <f t="shared" si="29"/>
        <v>0</v>
      </c>
      <c r="AP32" s="581">
        <f t="shared" si="29"/>
        <v>0</v>
      </c>
      <c r="AQ32" s="312">
        <f t="shared" si="29"/>
        <v>0</v>
      </c>
      <c r="AR32" s="588">
        <f t="shared" si="29"/>
        <v>1965294</v>
      </c>
      <c r="AS32" s="580">
        <f t="shared" si="29"/>
        <v>1411191</v>
      </c>
      <c r="AT32" s="580">
        <f t="shared" si="29"/>
        <v>29250</v>
      </c>
      <c r="AU32" s="580">
        <f t="shared" si="29"/>
        <v>486869</v>
      </c>
      <c r="AV32" s="580">
        <f t="shared" si="29"/>
        <v>28224</v>
      </c>
      <c r="AW32" s="580">
        <f t="shared" si="29"/>
        <v>9760</v>
      </c>
      <c r="AX32" s="581">
        <f t="shared" si="29"/>
        <v>2.9848999999999997</v>
      </c>
      <c r="AY32" s="581">
        <f t="shared" si="29"/>
        <v>2</v>
      </c>
      <c r="AZ32" s="312">
        <f t="shared" si="29"/>
        <v>0.98490000000000011</v>
      </c>
    </row>
    <row r="33" spans="1:52" ht="12.95" customHeight="1" x14ac:dyDescent="0.25">
      <c r="A33" s="314">
        <v>6</v>
      </c>
      <c r="B33" s="354">
        <v>5402</v>
      </c>
      <c r="C33" s="355">
        <v>600098958</v>
      </c>
      <c r="D33" s="354">
        <v>70983623</v>
      </c>
      <c r="E33" s="382" t="s">
        <v>442</v>
      </c>
      <c r="F33" s="354">
        <v>3117</v>
      </c>
      <c r="G33" s="378" t="s">
        <v>330</v>
      </c>
      <c r="H33" s="317" t="s">
        <v>278</v>
      </c>
      <c r="I33" s="494">
        <v>4812461</v>
      </c>
      <c r="J33" s="489">
        <v>3466204</v>
      </c>
      <c r="K33" s="489">
        <v>8450</v>
      </c>
      <c r="L33" s="489">
        <v>1174433</v>
      </c>
      <c r="M33" s="489">
        <v>69324</v>
      </c>
      <c r="N33" s="489">
        <v>94050</v>
      </c>
      <c r="O33" s="490">
        <v>6.8365999999999998</v>
      </c>
      <c r="P33" s="491">
        <v>4.7596999999999996</v>
      </c>
      <c r="Q33" s="500">
        <v>2.0769000000000002</v>
      </c>
      <c r="R33" s="502">
        <f t="shared" si="2"/>
        <v>0</v>
      </c>
      <c r="S33" s="492">
        <v>0</v>
      </c>
      <c r="T33" s="492">
        <v>0</v>
      </c>
      <c r="U33" s="492">
        <v>0</v>
      </c>
      <c r="V33" s="492">
        <f t="shared" si="3"/>
        <v>0</v>
      </c>
      <c r="W33" s="713">
        <v>0</v>
      </c>
      <c r="X33" s="492">
        <v>0</v>
      </c>
      <c r="Y33" s="492">
        <v>0</v>
      </c>
      <c r="Z33" s="492">
        <f>SUM(W33:Y33)</f>
        <v>0</v>
      </c>
      <c r="AA33" s="492">
        <f>V33+Z33</f>
        <v>0</v>
      </c>
      <c r="AB33" s="74">
        <f>ROUND((V33+W33+X33)*33.8%,0)</f>
        <v>0</v>
      </c>
      <c r="AC33" s="74">
        <f>ROUND(V33*2%,0)</f>
        <v>0</v>
      </c>
      <c r="AD33" s="492">
        <v>0</v>
      </c>
      <c r="AE33" s="492">
        <v>0</v>
      </c>
      <c r="AF33" s="492">
        <f t="shared" si="4"/>
        <v>0</v>
      </c>
      <c r="AG33" s="492">
        <f t="shared" si="5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ref="AO33:AO37" si="30">AH33+AJ33+AK33+AM33</f>
        <v>0</v>
      </c>
      <c r="AP33" s="493">
        <f t="shared" ref="AP33:AP37" si="31">AI33+AN33+AL33</f>
        <v>0</v>
      </c>
      <c r="AQ33" s="495">
        <f t="shared" si="8"/>
        <v>0</v>
      </c>
      <c r="AR33" s="501">
        <f>I33+AG33</f>
        <v>4812461</v>
      </c>
      <c r="AS33" s="492">
        <f>J33+V33</f>
        <v>3466204</v>
      </c>
      <c r="AT33" s="492">
        <f t="shared" ref="AT33:AT37" si="32">K33+Z33</f>
        <v>8450</v>
      </c>
      <c r="AU33" s="492">
        <f t="shared" ref="AU33:AV37" si="33">L33+AB33</f>
        <v>1174433</v>
      </c>
      <c r="AV33" s="492">
        <f t="shared" si="33"/>
        <v>69324</v>
      </c>
      <c r="AW33" s="492">
        <f>N33+AF33</f>
        <v>94050</v>
      </c>
      <c r="AX33" s="493">
        <f>O33+AQ33</f>
        <v>6.8365999999999998</v>
      </c>
      <c r="AY33" s="493">
        <f t="shared" ref="AY33:AZ37" si="34">P33+AO33</f>
        <v>4.7596999999999996</v>
      </c>
      <c r="AZ33" s="495">
        <f t="shared" si="34"/>
        <v>2.0769000000000002</v>
      </c>
    </row>
    <row r="34" spans="1:52" ht="12.95" customHeight="1" x14ac:dyDescent="0.25">
      <c r="A34" s="314">
        <v>6</v>
      </c>
      <c r="B34" s="354">
        <v>5402</v>
      </c>
      <c r="C34" s="355">
        <v>600098958</v>
      </c>
      <c r="D34" s="354">
        <v>70983623</v>
      </c>
      <c r="E34" s="382" t="s">
        <v>442</v>
      </c>
      <c r="F34" s="354">
        <v>3117</v>
      </c>
      <c r="G34" s="317" t="s">
        <v>313</v>
      </c>
      <c r="H34" s="317" t="s">
        <v>279</v>
      </c>
      <c r="I34" s="494">
        <v>535818</v>
      </c>
      <c r="J34" s="489">
        <v>394564</v>
      </c>
      <c r="K34" s="489">
        <v>0</v>
      </c>
      <c r="L34" s="489">
        <v>133363</v>
      </c>
      <c r="M34" s="489">
        <v>7891</v>
      </c>
      <c r="N34" s="489">
        <v>0</v>
      </c>
      <c r="O34" s="490">
        <v>1.1399999999999999</v>
      </c>
      <c r="P34" s="491">
        <v>1.1399999999999999</v>
      </c>
      <c r="Q34" s="500">
        <v>0</v>
      </c>
      <c r="R34" s="502">
        <f t="shared" si="2"/>
        <v>0</v>
      </c>
      <c r="S34" s="492">
        <v>0</v>
      </c>
      <c r="T34" s="492">
        <v>0</v>
      </c>
      <c r="U34" s="492">
        <v>0</v>
      </c>
      <c r="V34" s="492">
        <f t="shared" si="3"/>
        <v>0</v>
      </c>
      <c r="W34" s="713">
        <v>0</v>
      </c>
      <c r="X34" s="492">
        <v>0</v>
      </c>
      <c r="Y34" s="492">
        <v>0</v>
      </c>
      <c r="Z34" s="492">
        <f>SUM(W34:Y34)</f>
        <v>0</v>
      </c>
      <c r="AA34" s="492">
        <f>V34+Z34</f>
        <v>0</v>
      </c>
      <c r="AB34" s="74">
        <f>ROUND((V34+W34+X34)*33.8%,0)</f>
        <v>0</v>
      </c>
      <c r="AC34" s="74">
        <f>ROUND(V34*2%,0)</f>
        <v>0</v>
      </c>
      <c r="AD34" s="492">
        <v>0</v>
      </c>
      <c r="AE34" s="492">
        <v>0</v>
      </c>
      <c r="AF34" s="492">
        <f t="shared" si="4"/>
        <v>0</v>
      </c>
      <c r="AG34" s="492">
        <f t="shared" si="5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30"/>
        <v>0</v>
      </c>
      <c r="AP34" s="493">
        <f t="shared" si="31"/>
        <v>0</v>
      </c>
      <c r="AQ34" s="495">
        <f t="shared" si="8"/>
        <v>0</v>
      </c>
      <c r="AR34" s="501">
        <f>I34+AG34</f>
        <v>535818</v>
      </c>
      <c r="AS34" s="492">
        <f>J34+V34</f>
        <v>394564</v>
      </c>
      <c r="AT34" s="492">
        <f t="shared" si="32"/>
        <v>0</v>
      </c>
      <c r="AU34" s="492">
        <f t="shared" si="33"/>
        <v>133363</v>
      </c>
      <c r="AV34" s="492">
        <f t="shared" si="33"/>
        <v>7891</v>
      </c>
      <c r="AW34" s="492">
        <f>N34+AF34</f>
        <v>0</v>
      </c>
      <c r="AX34" s="493">
        <f>O34+AQ34</f>
        <v>1.1399999999999999</v>
      </c>
      <c r="AY34" s="493">
        <f t="shared" si="34"/>
        <v>1.1399999999999999</v>
      </c>
      <c r="AZ34" s="495">
        <f t="shared" si="34"/>
        <v>0</v>
      </c>
    </row>
    <row r="35" spans="1:52" ht="12.95" customHeight="1" x14ac:dyDescent="0.25">
      <c r="A35" s="314">
        <v>6</v>
      </c>
      <c r="B35" s="354">
        <v>5402</v>
      </c>
      <c r="C35" s="355">
        <v>600098958</v>
      </c>
      <c r="D35" s="354">
        <v>70983623</v>
      </c>
      <c r="E35" s="382" t="s">
        <v>442</v>
      </c>
      <c r="F35" s="354">
        <v>3141</v>
      </c>
      <c r="G35" s="378" t="s">
        <v>316</v>
      </c>
      <c r="H35" s="317" t="s">
        <v>279</v>
      </c>
      <c r="I35" s="494">
        <v>864415</v>
      </c>
      <c r="J35" s="489">
        <v>629186</v>
      </c>
      <c r="K35" s="489">
        <v>4550</v>
      </c>
      <c r="L35" s="489">
        <v>214203</v>
      </c>
      <c r="M35" s="489">
        <v>12584</v>
      </c>
      <c r="N35" s="489">
        <v>3892</v>
      </c>
      <c r="O35" s="490">
        <v>1.99</v>
      </c>
      <c r="P35" s="491">
        <v>0</v>
      </c>
      <c r="Q35" s="500">
        <v>1.99</v>
      </c>
      <c r="R35" s="502">
        <f t="shared" si="2"/>
        <v>0</v>
      </c>
      <c r="S35" s="492">
        <v>0</v>
      </c>
      <c r="T35" s="492">
        <v>0</v>
      </c>
      <c r="U35" s="492">
        <v>0</v>
      </c>
      <c r="V35" s="492">
        <f t="shared" si="3"/>
        <v>0</v>
      </c>
      <c r="W35" s="713">
        <v>0</v>
      </c>
      <c r="X35" s="492">
        <v>0</v>
      </c>
      <c r="Y35" s="492">
        <v>0</v>
      </c>
      <c r="Z35" s="492">
        <f>SUM(W35:Y35)</f>
        <v>0</v>
      </c>
      <c r="AA35" s="492">
        <f>V35+Z35</f>
        <v>0</v>
      </c>
      <c r="AB35" s="74">
        <f>ROUND((V35+W35+X35)*33.8%,0)</f>
        <v>0</v>
      </c>
      <c r="AC35" s="74">
        <f>ROUND(V35*2%,0)</f>
        <v>0</v>
      </c>
      <c r="AD35" s="492">
        <v>0</v>
      </c>
      <c r="AE35" s="492">
        <v>0</v>
      </c>
      <c r="AF35" s="492">
        <f t="shared" si="4"/>
        <v>0</v>
      </c>
      <c r="AG35" s="492">
        <f t="shared" si="5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30"/>
        <v>0</v>
      </c>
      <c r="AP35" s="493">
        <f t="shared" si="31"/>
        <v>0</v>
      </c>
      <c r="AQ35" s="495">
        <f t="shared" si="8"/>
        <v>0</v>
      </c>
      <c r="AR35" s="501">
        <f>I35+AG35</f>
        <v>864415</v>
      </c>
      <c r="AS35" s="492">
        <f>J35+V35</f>
        <v>629186</v>
      </c>
      <c r="AT35" s="492">
        <f t="shared" si="32"/>
        <v>4550</v>
      </c>
      <c r="AU35" s="492">
        <f t="shared" si="33"/>
        <v>214203</v>
      </c>
      <c r="AV35" s="492">
        <f t="shared" si="33"/>
        <v>12584</v>
      </c>
      <c r="AW35" s="492">
        <f>N35+AF35</f>
        <v>3892</v>
      </c>
      <c r="AX35" s="493">
        <f>O35+AQ35</f>
        <v>1.99</v>
      </c>
      <c r="AY35" s="493">
        <f t="shared" si="34"/>
        <v>0</v>
      </c>
      <c r="AZ35" s="495">
        <f t="shared" si="34"/>
        <v>1.99</v>
      </c>
    </row>
    <row r="36" spans="1:52" ht="12.95" customHeight="1" x14ac:dyDescent="0.25">
      <c r="A36" s="314">
        <v>6</v>
      </c>
      <c r="B36" s="354">
        <v>5402</v>
      </c>
      <c r="C36" s="355">
        <v>600098958</v>
      </c>
      <c r="D36" s="354">
        <v>70983623</v>
      </c>
      <c r="E36" s="382" t="s">
        <v>442</v>
      </c>
      <c r="F36" s="354">
        <v>3143</v>
      </c>
      <c r="G36" s="317" t="s">
        <v>629</v>
      </c>
      <c r="H36" s="317" t="s">
        <v>278</v>
      </c>
      <c r="I36" s="494">
        <v>1350034</v>
      </c>
      <c r="J36" s="489">
        <v>994134</v>
      </c>
      <c r="K36" s="489">
        <v>0</v>
      </c>
      <c r="L36" s="489">
        <v>336017</v>
      </c>
      <c r="M36" s="489">
        <v>19883</v>
      </c>
      <c r="N36" s="489">
        <v>0</v>
      </c>
      <c r="O36" s="490">
        <v>2.0177999999999998</v>
      </c>
      <c r="P36" s="491">
        <v>2.0177999999999998</v>
      </c>
      <c r="Q36" s="500">
        <v>0</v>
      </c>
      <c r="R36" s="502">
        <f t="shared" si="2"/>
        <v>0</v>
      </c>
      <c r="S36" s="492">
        <v>0</v>
      </c>
      <c r="T36" s="492">
        <v>0</v>
      </c>
      <c r="U36" s="492">
        <v>0</v>
      </c>
      <c r="V36" s="492">
        <f t="shared" si="3"/>
        <v>0</v>
      </c>
      <c r="W36" s="713">
        <v>0</v>
      </c>
      <c r="X36" s="492">
        <v>0</v>
      </c>
      <c r="Y36" s="492">
        <v>0</v>
      </c>
      <c r="Z36" s="492">
        <f>SUM(W36:Y36)</f>
        <v>0</v>
      </c>
      <c r="AA36" s="492">
        <f>V36+Z36</f>
        <v>0</v>
      </c>
      <c r="AB36" s="74">
        <f>ROUND((V36+W36+X36)*33.8%,0)</f>
        <v>0</v>
      </c>
      <c r="AC36" s="74">
        <f>ROUND(V36*2%,0)</f>
        <v>0</v>
      </c>
      <c r="AD36" s="492">
        <v>0</v>
      </c>
      <c r="AE36" s="492">
        <v>0</v>
      </c>
      <c r="AF36" s="492">
        <f t="shared" si="4"/>
        <v>0</v>
      </c>
      <c r="AG36" s="492">
        <f t="shared" si="5"/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30"/>
        <v>0</v>
      </c>
      <c r="AP36" s="493">
        <f t="shared" si="31"/>
        <v>0</v>
      </c>
      <c r="AQ36" s="495">
        <f t="shared" si="8"/>
        <v>0</v>
      </c>
      <c r="AR36" s="501">
        <f>I36+AG36</f>
        <v>1350034</v>
      </c>
      <c r="AS36" s="492">
        <f>J36+V36</f>
        <v>994134</v>
      </c>
      <c r="AT36" s="492">
        <f t="shared" si="32"/>
        <v>0</v>
      </c>
      <c r="AU36" s="492">
        <f t="shared" si="33"/>
        <v>336017</v>
      </c>
      <c r="AV36" s="492">
        <f t="shared" si="33"/>
        <v>19883</v>
      </c>
      <c r="AW36" s="492">
        <f>N36+AF36</f>
        <v>0</v>
      </c>
      <c r="AX36" s="493">
        <f>O36+AQ36</f>
        <v>2.0177999999999998</v>
      </c>
      <c r="AY36" s="493">
        <f t="shared" si="34"/>
        <v>2.0177999999999998</v>
      </c>
      <c r="AZ36" s="495">
        <f t="shared" si="34"/>
        <v>0</v>
      </c>
    </row>
    <row r="37" spans="1:52" ht="12.95" customHeight="1" x14ac:dyDescent="0.25">
      <c r="A37" s="314">
        <v>6</v>
      </c>
      <c r="B37" s="354">
        <v>5402</v>
      </c>
      <c r="C37" s="355">
        <v>600098958</v>
      </c>
      <c r="D37" s="354">
        <v>70983623</v>
      </c>
      <c r="E37" s="382" t="s">
        <v>442</v>
      </c>
      <c r="F37" s="354">
        <v>3143</v>
      </c>
      <c r="G37" s="317" t="s">
        <v>630</v>
      </c>
      <c r="H37" s="317" t="s">
        <v>279</v>
      </c>
      <c r="I37" s="494">
        <v>40824</v>
      </c>
      <c r="J37" s="489">
        <v>28869</v>
      </c>
      <c r="K37" s="489">
        <v>0</v>
      </c>
      <c r="L37" s="489">
        <v>9758</v>
      </c>
      <c r="M37" s="489">
        <v>577</v>
      </c>
      <c r="N37" s="489">
        <v>1620</v>
      </c>
      <c r="O37" s="490">
        <v>0.11</v>
      </c>
      <c r="P37" s="491">
        <v>0</v>
      </c>
      <c r="Q37" s="500">
        <v>0.11</v>
      </c>
      <c r="R37" s="502">
        <f t="shared" si="2"/>
        <v>0</v>
      </c>
      <c r="S37" s="492">
        <v>0</v>
      </c>
      <c r="T37" s="492">
        <v>0</v>
      </c>
      <c r="U37" s="492">
        <v>0</v>
      </c>
      <c r="V37" s="492">
        <f t="shared" si="3"/>
        <v>0</v>
      </c>
      <c r="W37" s="713">
        <v>0</v>
      </c>
      <c r="X37" s="492">
        <v>0</v>
      </c>
      <c r="Y37" s="492">
        <v>0</v>
      </c>
      <c r="Z37" s="492">
        <f>SUM(W37:Y37)</f>
        <v>0</v>
      </c>
      <c r="AA37" s="492">
        <f>V37+Z37</f>
        <v>0</v>
      </c>
      <c r="AB37" s="74">
        <f>ROUND((V37+W37+X37)*33.8%,0)</f>
        <v>0</v>
      </c>
      <c r="AC37" s="74">
        <f>ROUND(V37*2%,0)</f>
        <v>0</v>
      </c>
      <c r="AD37" s="492">
        <v>0</v>
      </c>
      <c r="AE37" s="492">
        <v>0</v>
      </c>
      <c r="AF37" s="492">
        <f t="shared" si="4"/>
        <v>0</v>
      </c>
      <c r="AG37" s="492">
        <f t="shared" si="5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30"/>
        <v>0</v>
      </c>
      <c r="AP37" s="493">
        <f t="shared" si="31"/>
        <v>0</v>
      </c>
      <c r="AQ37" s="495">
        <f t="shared" si="8"/>
        <v>0</v>
      </c>
      <c r="AR37" s="501">
        <f>I37+AG37</f>
        <v>40824</v>
      </c>
      <c r="AS37" s="492">
        <f>J37+V37</f>
        <v>28869</v>
      </c>
      <c r="AT37" s="492">
        <f t="shared" si="32"/>
        <v>0</v>
      </c>
      <c r="AU37" s="492">
        <f t="shared" si="33"/>
        <v>9758</v>
      </c>
      <c r="AV37" s="492">
        <f t="shared" si="33"/>
        <v>577</v>
      </c>
      <c r="AW37" s="492">
        <f>N37+AF37</f>
        <v>1620</v>
      </c>
      <c r="AX37" s="493">
        <f>O37+AQ37</f>
        <v>0.11</v>
      </c>
      <c r="AY37" s="493">
        <f t="shared" si="34"/>
        <v>0</v>
      </c>
      <c r="AZ37" s="495">
        <f t="shared" si="34"/>
        <v>0.11</v>
      </c>
    </row>
    <row r="38" spans="1:52" ht="12.95" customHeight="1" x14ac:dyDescent="0.25">
      <c r="A38" s="324">
        <v>6</v>
      </c>
      <c r="B38" s="358">
        <v>5402</v>
      </c>
      <c r="C38" s="359">
        <v>600098958</v>
      </c>
      <c r="D38" s="358">
        <v>70983623</v>
      </c>
      <c r="E38" s="383" t="s">
        <v>443</v>
      </c>
      <c r="F38" s="358"/>
      <c r="G38" s="384"/>
      <c r="H38" s="385"/>
      <c r="I38" s="616">
        <v>7603552</v>
      </c>
      <c r="J38" s="614">
        <v>5512957</v>
      </c>
      <c r="K38" s="614">
        <v>13000</v>
      </c>
      <c r="L38" s="614">
        <v>1867774</v>
      </c>
      <c r="M38" s="614">
        <v>110259</v>
      </c>
      <c r="N38" s="614">
        <v>99562</v>
      </c>
      <c r="O38" s="615">
        <v>12.094399999999998</v>
      </c>
      <c r="P38" s="615">
        <v>7.9174999999999986</v>
      </c>
      <c r="Q38" s="617">
        <v>4.1769000000000007</v>
      </c>
      <c r="R38" s="616">
        <f t="shared" ref="R38:AZ38" si="35">SUM(R33:R37)</f>
        <v>0</v>
      </c>
      <c r="S38" s="614">
        <f t="shared" si="35"/>
        <v>0</v>
      </c>
      <c r="T38" s="614">
        <f t="shared" si="35"/>
        <v>0</v>
      </c>
      <c r="U38" s="614">
        <f t="shared" si="35"/>
        <v>0</v>
      </c>
      <c r="V38" s="614">
        <f t="shared" si="35"/>
        <v>0</v>
      </c>
      <c r="W38" s="614">
        <f t="shared" si="35"/>
        <v>0</v>
      </c>
      <c r="X38" s="614">
        <f t="shared" si="35"/>
        <v>0</v>
      </c>
      <c r="Y38" s="614">
        <f t="shared" si="35"/>
        <v>0</v>
      </c>
      <c r="Z38" s="614">
        <f t="shared" si="35"/>
        <v>0</v>
      </c>
      <c r="AA38" s="614">
        <f t="shared" si="35"/>
        <v>0</v>
      </c>
      <c r="AB38" s="614">
        <f t="shared" si="35"/>
        <v>0</v>
      </c>
      <c r="AC38" s="614">
        <f t="shared" si="35"/>
        <v>0</v>
      </c>
      <c r="AD38" s="614">
        <f t="shared" si="35"/>
        <v>0</v>
      </c>
      <c r="AE38" s="614">
        <f t="shared" si="35"/>
        <v>0</v>
      </c>
      <c r="AF38" s="614">
        <f t="shared" si="35"/>
        <v>0</v>
      </c>
      <c r="AG38" s="614">
        <f t="shared" si="35"/>
        <v>0</v>
      </c>
      <c r="AH38" s="615">
        <f t="shared" si="35"/>
        <v>0</v>
      </c>
      <c r="AI38" s="615">
        <f t="shared" si="35"/>
        <v>0</v>
      </c>
      <c r="AJ38" s="615">
        <f t="shared" si="35"/>
        <v>0</v>
      </c>
      <c r="AK38" s="615">
        <f t="shared" si="35"/>
        <v>0</v>
      </c>
      <c r="AL38" s="615">
        <f t="shared" si="35"/>
        <v>0</v>
      </c>
      <c r="AM38" s="615">
        <f t="shared" si="35"/>
        <v>0</v>
      </c>
      <c r="AN38" s="615">
        <f t="shared" si="35"/>
        <v>0</v>
      </c>
      <c r="AO38" s="615">
        <f t="shared" si="35"/>
        <v>0</v>
      </c>
      <c r="AP38" s="615">
        <f t="shared" si="35"/>
        <v>0</v>
      </c>
      <c r="AQ38" s="386">
        <f t="shared" si="35"/>
        <v>0</v>
      </c>
      <c r="AR38" s="618">
        <f t="shared" si="35"/>
        <v>7603552</v>
      </c>
      <c r="AS38" s="614">
        <f t="shared" si="35"/>
        <v>5512957</v>
      </c>
      <c r="AT38" s="614">
        <f t="shared" si="35"/>
        <v>13000</v>
      </c>
      <c r="AU38" s="614">
        <f t="shared" si="35"/>
        <v>1867774</v>
      </c>
      <c r="AV38" s="614">
        <f t="shared" si="35"/>
        <v>110259</v>
      </c>
      <c r="AW38" s="614">
        <f t="shared" si="35"/>
        <v>99562</v>
      </c>
      <c r="AX38" s="615">
        <f t="shared" si="35"/>
        <v>12.094399999999998</v>
      </c>
      <c r="AY38" s="615">
        <f t="shared" si="35"/>
        <v>7.9174999999999986</v>
      </c>
      <c r="AZ38" s="386">
        <f t="shared" si="35"/>
        <v>4.1769000000000007</v>
      </c>
    </row>
    <row r="39" spans="1:52" ht="12.95" customHeight="1" x14ac:dyDescent="0.25">
      <c r="A39" s="314">
        <v>7</v>
      </c>
      <c r="B39" s="314">
        <v>5405</v>
      </c>
      <c r="C39" s="363">
        <v>600099121</v>
      </c>
      <c r="D39" s="314">
        <v>70695521</v>
      </c>
      <c r="E39" s="316" t="s">
        <v>444</v>
      </c>
      <c r="F39" s="314">
        <v>3111</v>
      </c>
      <c r="G39" s="378" t="s">
        <v>326</v>
      </c>
      <c r="H39" s="317" t="s">
        <v>278</v>
      </c>
      <c r="I39" s="494">
        <v>1590063</v>
      </c>
      <c r="J39" s="489">
        <v>1162933</v>
      </c>
      <c r="K39" s="489">
        <v>0</v>
      </c>
      <c r="L39" s="489">
        <v>393071</v>
      </c>
      <c r="M39" s="489">
        <v>23259</v>
      </c>
      <c r="N39" s="489">
        <v>10800</v>
      </c>
      <c r="O39" s="490">
        <v>2.4464000000000001</v>
      </c>
      <c r="P39" s="491">
        <v>1.9355</v>
      </c>
      <c r="Q39" s="500">
        <v>0.51090000000000002</v>
      </c>
      <c r="R39" s="502">
        <f t="shared" si="2"/>
        <v>0</v>
      </c>
      <c r="S39" s="492">
        <v>0</v>
      </c>
      <c r="T39" s="492">
        <v>0</v>
      </c>
      <c r="U39" s="492">
        <v>0</v>
      </c>
      <c r="V39" s="492">
        <f t="shared" si="3"/>
        <v>0</v>
      </c>
      <c r="W39" s="492">
        <v>0</v>
      </c>
      <c r="X39" s="492">
        <v>0</v>
      </c>
      <c r="Y39" s="492">
        <v>0</v>
      </c>
      <c r="Z39" s="492">
        <f t="shared" ref="Z39:Z44" si="36">SUM(W39:Y39)</f>
        <v>0</v>
      </c>
      <c r="AA39" s="492">
        <f t="shared" ref="AA39:AA44" si="37">V39+Z39</f>
        <v>0</v>
      </c>
      <c r="AB39" s="74">
        <f t="shared" ref="AB39:AB44" si="38">ROUND((V39+W39+X39)*33.8%,0)</f>
        <v>0</v>
      </c>
      <c r="AC39" s="74">
        <f t="shared" ref="AC39:AC44" si="39">ROUND(V39*2%,0)</f>
        <v>0</v>
      </c>
      <c r="AD39" s="492">
        <v>0</v>
      </c>
      <c r="AE39" s="492">
        <v>0</v>
      </c>
      <c r="AF39" s="492">
        <f t="shared" si="4"/>
        <v>0</v>
      </c>
      <c r="AG39" s="492">
        <f t="shared" si="5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ref="AO39:AO44" si="40">AH39+AJ39+AK39+AM39</f>
        <v>0</v>
      </c>
      <c r="AP39" s="493">
        <f t="shared" ref="AP39:AP44" si="41">AI39+AN39+AL39</f>
        <v>0</v>
      </c>
      <c r="AQ39" s="495">
        <f t="shared" si="8"/>
        <v>0</v>
      </c>
      <c r="AR39" s="501">
        <f t="shared" ref="AR39:AR44" si="42">I39+AG39</f>
        <v>1590063</v>
      </c>
      <c r="AS39" s="492">
        <f t="shared" ref="AS39:AS44" si="43">J39+V39</f>
        <v>1162933</v>
      </c>
      <c r="AT39" s="492">
        <f t="shared" ref="AT39:AT44" si="44">K39+Z39</f>
        <v>0</v>
      </c>
      <c r="AU39" s="492">
        <f t="shared" ref="AU39:AV44" si="45">L39+AB39</f>
        <v>393071</v>
      </c>
      <c r="AV39" s="492">
        <f t="shared" si="45"/>
        <v>23259</v>
      </c>
      <c r="AW39" s="492">
        <f t="shared" ref="AW39:AW44" si="46">N39+AF39</f>
        <v>10800</v>
      </c>
      <c r="AX39" s="493">
        <f t="shared" ref="AX39:AX44" si="47">O39+AQ39</f>
        <v>2.4464000000000001</v>
      </c>
      <c r="AY39" s="493">
        <f t="shared" ref="AY39:AZ44" si="48">P39+AO39</f>
        <v>1.9355</v>
      </c>
      <c r="AZ39" s="495">
        <f t="shared" si="48"/>
        <v>0.51090000000000002</v>
      </c>
    </row>
    <row r="40" spans="1:52" ht="12.95" customHeight="1" x14ac:dyDescent="0.25">
      <c r="A40" s="314">
        <v>7</v>
      </c>
      <c r="B40" s="354">
        <v>5405</v>
      </c>
      <c r="C40" s="355">
        <v>600099121</v>
      </c>
      <c r="D40" s="314">
        <v>70695521</v>
      </c>
      <c r="E40" s="382" t="s">
        <v>444</v>
      </c>
      <c r="F40" s="354">
        <v>3113</v>
      </c>
      <c r="G40" s="378" t="s">
        <v>330</v>
      </c>
      <c r="H40" s="317" t="s">
        <v>278</v>
      </c>
      <c r="I40" s="494">
        <v>7306491</v>
      </c>
      <c r="J40" s="489">
        <v>5260936</v>
      </c>
      <c r="K40" s="489">
        <v>0</v>
      </c>
      <c r="L40" s="489">
        <v>1778196</v>
      </c>
      <c r="M40" s="489">
        <v>105219</v>
      </c>
      <c r="N40" s="489">
        <v>162140</v>
      </c>
      <c r="O40" s="490">
        <v>10.973100000000001</v>
      </c>
      <c r="P40" s="491">
        <v>8.3161000000000005</v>
      </c>
      <c r="Q40" s="500">
        <v>2.657</v>
      </c>
      <c r="R40" s="502">
        <f t="shared" si="2"/>
        <v>0</v>
      </c>
      <c r="S40" s="492">
        <v>0</v>
      </c>
      <c r="T40" s="492">
        <v>0</v>
      </c>
      <c r="U40" s="492">
        <v>0</v>
      </c>
      <c r="V40" s="492">
        <f t="shared" si="3"/>
        <v>0</v>
      </c>
      <c r="W40" s="492">
        <v>0</v>
      </c>
      <c r="X40" s="492">
        <v>0</v>
      </c>
      <c r="Y40" s="492">
        <v>0</v>
      </c>
      <c r="Z40" s="492">
        <f t="shared" si="36"/>
        <v>0</v>
      </c>
      <c r="AA40" s="492">
        <f t="shared" si="37"/>
        <v>0</v>
      </c>
      <c r="AB40" s="74">
        <f t="shared" si="38"/>
        <v>0</v>
      </c>
      <c r="AC40" s="74">
        <f t="shared" si="39"/>
        <v>0</v>
      </c>
      <c r="AD40" s="492">
        <v>0</v>
      </c>
      <c r="AE40" s="492">
        <v>0</v>
      </c>
      <c r="AF40" s="492">
        <f t="shared" si="4"/>
        <v>0</v>
      </c>
      <c r="AG40" s="492">
        <f t="shared" si="5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40"/>
        <v>0</v>
      </c>
      <c r="AP40" s="493">
        <f t="shared" si="41"/>
        <v>0</v>
      </c>
      <c r="AQ40" s="495">
        <f t="shared" si="8"/>
        <v>0</v>
      </c>
      <c r="AR40" s="501">
        <f t="shared" si="42"/>
        <v>7306491</v>
      </c>
      <c r="AS40" s="492">
        <f t="shared" si="43"/>
        <v>5260936</v>
      </c>
      <c r="AT40" s="492">
        <f t="shared" si="44"/>
        <v>0</v>
      </c>
      <c r="AU40" s="492">
        <f t="shared" si="45"/>
        <v>1778196</v>
      </c>
      <c r="AV40" s="492">
        <f t="shared" si="45"/>
        <v>105219</v>
      </c>
      <c r="AW40" s="492">
        <f t="shared" si="46"/>
        <v>162140</v>
      </c>
      <c r="AX40" s="493">
        <f t="shared" si="47"/>
        <v>10.973100000000001</v>
      </c>
      <c r="AY40" s="493">
        <f t="shared" si="48"/>
        <v>8.3161000000000005</v>
      </c>
      <c r="AZ40" s="495">
        <f t="shared" si="48"/>
        <v>2.657</v>
      </c>
    </row>
    <row r="41" spans="1:52" ht="12.95" customHeight="1" x14ac:dyDescent="0.25">
      <c r="A41" s="314">
        <v>7</v>
      </c>
      <c r="B41" s="354">
        <v>5405</v>
      </c>
      <c r="C41" s="355">
        <v>600099121</v>
      </c>
      <c r="D41" s="314">
        <v>70695521</v>
      </c>
      <c r="E41" s="382" t="s">
        <v>444</v>
      </c>
      <c r="F41" s="354">
        <v>3113</v>
      </c>
      <c r="G41" s="317" t="s">
        <v>313</v>
      </c>
      <c r="H41" s="317" t="s">
        <v>279</v>
      </c>
      <c r="I41" s="494">
        <v>1926380</v>
      </c>
      <c r="J41" s="489">
        <v>1418542</v>
      </c>
      <c r="K41" s="489">
        <v>0</v>
      </c>
      <c r="L41" s="489">
        <v>479467</v>
      </c>
      <c r="M41" s="489">
        <v>28371</v>
      </c>
      <c r="N41" s="489">
        <v>0</v>
      </c>
      <c r="O41" s="490">
        <v>4.08</v>
      </c>
      <c r="P41" s="491">
        <v>4.08</v>
      </c>
      <c r="Q41" s="500">
        <v>0</v>
      </c>
      <c r="R41" s="502">
        <f t="shared" si="2"/>
        <v>0</v>
      </c>
      <c r="S41" s="492">
        <v>0</v>
      </c>
      <c r="T41" s="492">
        <v>0</v>
      </c>
      <c r="U41" s="492">
        <v>0</v>
      </c>
      <c r="V41" s="492">
        <f t="shared" si="3"/>
        <v>0</v>
      </c>
      <c r="W41" s="492">
        <v>0</v>
      </c>
      <c r="X41" s="492">
        <v>0</v>
      </c>
      <c r="Y41" s="492">
        <v>0</v>
      </c>
      <c r="Z41" s="492">
        <f t="shared" si="36"/>
        <v>0</v>
      </c>
      <c r="AA41" s="492">
        <f t="shared" si="37"/>
        <v>0</v>
      </c>
      <c r="AB41" s="74">
        <f t="shared" si="38"/>
        <v>0</v>
      </c>
      <c r="AC41" s="74">
        <f t="shared" si="39"/>
        <v>0</v>
      </c>
      <c r="AD41" s="492">
        <v>0</v>
      </c>
      <c r="AE41" s="492">
        <v>0</v>
      </c>
      <c r="AF41" s="492">
        <f t="shared" si="4"/>
        <v>0</v>
      </c>
      <c r="AG41" s="492">
        <f t="shared" si="5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40"/>
        <v>0</v>
      </c>
      <c r="AP41" s="493">
        <f t="shared" si="41"/>
        <v>0</v>
      </c>
      <c r="AQ41" s="495">
        <f t="shared" si="8"/>
        <v>0</v>
      </c>
      <c r="AR41" s="501">
        <f t="shared" si="42"/>
        <v>1926380</v>
      </c>
      <c r="AS41" s="492">
        <f t="shared" si="43"/>
        <v>1418542</v>
      </c>
      <c r="AT41" s="492">
        <f t="shared" si="44"/>
        <v>0</v>
      </c>
      <c r="AU41" s="492">
        <f t="shared" si="45"/>
        <v>479467</v>
      </c>
      <c r="AV41" s="492">
        <f t="shared" si="45"/>
        <v>28371</v>
      </c>
      <c r="AW41" s="492">
        <f t="shared" si="46"/>
        <v>0</v>
      </c>
      <c r="AX41" s="493">
        <f t="shared" si="47"/>
        <v>4.08</v>
      </c>
      <c r="AY41" s="493">
        <f t="shared" si="48"/>
        <v>4.08</v>
      </c>
      <c r="AZ41" s="495">
        <f t="shared" si="48"/>
        <v>0</v>
      </c>
    </row>
    <row r="42" spans="1:52" ht="12.95" customHeight="1" x14ac:dyDescent="0.25">
      <c r="A42" s="314">
        <v>7</v>
      </c>
      <c r="B42" s="354">
        <v>5405</v>
      </c>
      <c r="C42" s="355">
        <v>600099121</v>
      </c>
      <c r="D42" s="314">
        <v>70695521</v>
      </c>
      <c r="E42" s="382" t="s">
        <v>444</v>
      </c>
      <c r="F42" s="354">
        <v>3141</v>
      </c>
      <c r="G42" s="378" t="s">
        <v>316</v>
      </c>
      <c r="H42" s="317" t="s">
        <v>279</v>
      </c>
      <c r="I42" s="494">
        <v>1101666</v>
      </c>
      <c r="J42" s="489">
        <v>807056</v>
      </c>
      <c r="K42" s="489">
        <v>0</v>
      </c>
      <c r="L42" s="489">
        <v>272785</v>
      </c>
      <c r="M42" s="489">
        <v>16141</v>
      </c>
      <c r="N42" s="489">
        <v>5684</v>
      </c>
      <c r="O42" s="490">
        <v>2.54</v>
      </c>
      <c r="P42" s="491">
        <v>0</v>
      </c>
      <c r="Q42" s="500">
        <v>2.54</v>
      </c>
      <c r="R42" s="502">
        <f t="shared" si="2"/>
        <v>0</v>
      </c>
      <c r="S42" s="492">
        <v>0</v>
      </c>
      <c r="T42" s="492">
        <v>0</v>
      </c>
      <c r="U42" s="492">
        <v>0</v>
      </c>
      <c r="V42" s="492">
        <f t="shared" si="3"/>
        <v>0</v>
      </c>
      <c r="W42" s="492">
        <v>0</v>
      </c>
      <c r="X42" s="492">
        <v>0</v>
      </c>
      <c r="Y42" s="492">
        <v>0</v>
      </c>
      <c r="Z42" s="492">
        <f t="shared" si="36"/>
        <v>0</v>
      </c>
      <c r="AA42" s="492">
        <f t="shared" si="37"/>
        <v>0</v>
      </c>
      <c r="AB42" s="74">
        <f t="shared" si="38"/>
        <v>0</v>
      </c>
      <c r="AC42" s="74">
        <f t="shared" si="39"/>
        <v>0</v>
      </c>
      <c r="AD42" s="492">
        <v>0</v>
      </c>
      <c r="AE42" s="492">
        <v>0</v>
      </c>
      <c r="AF42" s="492">
        <f t="shared" si="4"/>
        <v>0</v>
      </c>
      <c r="AG42" s="492">
        <f t="shared" si="5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 t="shared" si="40"/>
        <v>0</v>
      </c>
      <c r="AP42" s="493">
        <f t="shared" si="41"/>
        <v>0</v>
      </c>
      <c r="AQ42" s="495">
        <f t="shared" si="8"/>
        <v>0</v>
      </c>
      <c r="AR42" s="501">
        <f t="shared" si="42"/>
        <v>1101666</v>
      </c>
      <c r="AS42" s="492">
        <f t="shared" si="43"/>
        <v>807056</v>
      </c>
      <c r="AT42" s="492">
        <f t="shared" si="44"/>
        <v>0</v>
      </c>
      <c r="AU42" s="492">
        <f t="shared" si="45"/>
        <v>272785</v>
      </c>
      <c r="AV42" s="492">
        <f t="shared" si="45"/>
        <v>16141</v>
      </c>
      <c r="AW42" s="492">
        <f t="shared" si="46"/>
        <v>5684</v>
      </c>
      <c r="AX42" s="493">
        <f t="shared" si="47"/>
        <v>2.54</v>
      </c>
      <c r="AY42" s="493">
        <f t="shared" si="48"/>
        <v>0</v>
      </c>
      <c r="AZ42" s="495">
        <f t="shared" si="48"/>
        <v>2.54</v>
      </c>
    </row>
    <row r="43" spans="1:52" ht="12.95" customHeight="1" x14ac:dyDescent="0.25">
      <c r="A43" s="314">
        <v>7</v>
      </c>
      <c r="B43" s="354">
        <v>5405</v>
      </c>
      <c r="C43" s="355">
        <v>600099121</v>
      </c>
      <c r="D43" s="314">
        <v>70695521</v>
      </c>
      <c r="E43" s="382" t="s">
        <v>444</v>
      </c>
      <c r="F43" s="354">
        <v>3143</v>
      </c>
      <c r="G43" s="317" t="s">
        <v>629</v>
      </c>
      <c r="H43" s="317" t="s">
        <v>278</v>
      </c>
      <c r="I43" s="494">
        <v>623626</v>
      </c>
      <c r="J43" s="489">
        <v>459224</v>
      </c>
      <c r="K43" s="489">
        <v>0</v>
      </c>
      <c r="L43" s="489">
        <v>155218</v>
      </c>
      <c r="M43" s="489">
        <v>9184</v>
      </c>
      <c r="N43" s="489">
        <v>0</v>
      </c>
      <c r="O43" s="490">
        <v>1</v>
      </c>
      <c r="P43" s="491">
        <v>1</v>
      </c>
      <c r="Q43" s="500">
        <v>0</v>
      </c>
      <c r="R43" s="502">
        <f t="shared" si="2"/>
        <v>0</v>
      </c>
      <c r="S43" s="492">
        <v>0</v>
      </c>
      <c r="T43" s="492">
        <v>0</v>
      </c>
      <c r="U43" s="492">
        <v>0</v>
      </c>
      <c r="V43" s="492">
        <f t="shared" si="3"/>
        <v>0</v>
      </c>
      <c r="W43" s="492">
        <v>0</v>
      </c>
      <c r="X43" s="492">
        <v>0</v>
      </c>
      <c r="Y43" s="492">
        <v>0</v>
      </c>
      <c r="Z43" s="492">
        <f t="shared" si="36"/>
        <v>0</v>
      </c>
      <c r="AA43" s="492">
        <f t="shared" si="37"/>
        <v>0</v>
      </c>
      <c r="AB43" s="74">
        <f t="shared" si="38"/>
        <v>0</v>
      </c>
      <c r="AC43" s="74">
        <f t="shared" si="39"/>
        <v>0</v>
      </c>
      <c r="AD43" s="492">
        <v>0</v>
      </c>
      <c r="AE43" s="492">
        <v>0</v>
      </c>
      <c r="AF43" s="492">
        <f t="shared" si="4"/>
        <v>0</v>
      </c>
      <c r="AG43" s="492">
        <f t="shared" si="5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40"/>
        <v>0</v>
      </c>
      <c r="AP43" s="493">
        <f t="shared" si="41"/>
        <v>0</v>
      </c>
      <c r="AQ43" s="495">
        <f t="shared" si="8"/>
        <v>0</v>
      </c>
      <c r="AR43" s="501">
        <f t="shared" si="42"/>
        <v>623626</v>
      </c>
      <c r="AS43" s="492">
        <f t="shared" si="43"/>
        <v>459224</v>
      </c>
      <c r="AT43" s="492">
        <f t="shared" si="44"/>
        <v>0</v>
      </c>
      <c r="AU43" s="492">
        <f t="shared" si="45"/>
        <v>155218</v>
      </c>
      <c r="AV43" s="492">
        <f t="shared" si="45"/>
        <v>9184</v>
      </c>
      <c r="AW43" s="492">
        <f t="shared" si="46"/>
        <v>0</v>
      </c>
      <c r="AX43" s="493">
        <f t="shared" si="47"/>
        <v>1</v>
      </c>
      <c r="AY43" s="493">
        <f t="shared" si="48"/>
        <v>1</v>
      </c>
      <c r="AZ43" s="495">
        <f t="shared" si="48"/>
        <v>0</v>
      </c>
    </row>
    <row r="44" spans="1:52" ht="12.95" customHeight="1" x14ac:dyDescent="0.25">
      <c r="A44" s="314">
        <v>7</v>
      </c>
      <c r="B44" s="354">
        <v>5405</v>
      </c>
      <c r="C44" s="355">
        <v>600099121</v>
      </c>
      <c r="D44" s="314">
        <v>70695521</v>
      </c>
      <c r="E44" s="382" t="s">
        <v>444</v>
      </c>
      <c r="F44" s="354">
        <v>3143</v>
      </c>
      <c r="G44" s="317" t="s">
        <v>630</v>
      </c>
      <c r="H44" s="317" t="s">
        <v>279</v>
      </c>
      <c r="I44" s="494">
        <v>18899</v>
      </c>
      <c r="J44" s="489">
        <v>13365</v>
      </c>
      <c r="K44" s="489">
        <v>0</v>
      </c>
      <c r="L44" s="489">
        <v>4517</v>
      </c>
      <c r="M44" s="489">
        <v>267</v>
      </c>
      <c r="N44" s="489">
        <v>750</v>
      </c>
      <c r="O44" s="490">
        <v>0.05</v>
      </c>
      <c r="P44" s="491">
        <v>0</v>
      </c>
      <c r="Q44" s="500">
        <v>0.05</v>
      </c>
      <c r="R44" s="502">
        <f t="shared" si="2"/>
        <v>0</v>
      </c>
      <c r="S44" s="492">
        <v>0</v>
      </c>
      <c r="T44" s="492">
        <v>0</v>
      </c>
      <c r="U44" s="492">
        <v>0</v>
      </c>
      <c r="V44" s="492">
        <f t="shared" si="3"/>
        <v>0</v>
      </c>
      <c r="W44" s="492">
        <v>0</v>
      </c>
      <c r="X44" s="492">
        <v>0</v>
      </c>
      <c r="Y44" s="492">
        <v>0</v>
      </c>
      <c r="Z44" s="492">
        <f t="shared" si="36"/>
        <v>0</v>
      </c>
      <c r="AA44" s="492">
        <f t="shared" si="37"/>
        <v>0</v>
      </c>
      <c r="AB44" s="74">
        <f t="shared" si="38"/>
        <v>0</v>
      </c>
      <c r="AC44" s="74">
        <f t="shared" si="39"/>
        <v>0</v>
      </c>
      <c r="AD44" s="492">
        <v>0</v>
      </c>
      <c r="AE44" s="492">
        <v>0</v>
      </c>
      <c r="AF44" s="492">
        <f t="shared" si="4"/>
        <v>0</v>
      </c>
      <c r="AG44" s="492">
        <f t="shared" si="5"/>
        <v>0</v>
      </c>
      <c r="AH44" s="493">
        <v>0</v>
      </c>
      <c r="AI44" s="493">
        <v>0</v>
      </c>
      <c r="AJ44" s="493">
        <v>0</v>
      </c>
      <c r="AK44" s="493">
        <v>0</v>
      </c>
      <c r="AL44" s="493">
        <v>0</v>
      </c>
      <c r="AM44" s="493">
        <v>0</v>
      </c>
      <c r="AN44" s="493">
        <v>0</v>
      </c>
      <c r="AO44" s="493">
        <f t="shared" si="40"/>
        <v>0</v>
      </c>
      <c r="AP44" s="493">
        <f t="shared" si="41"/>
        <v>0</v>
      </c>
      <c r="AQ44" s="495">
        <f t="shared" si="8"/>
        <v>0</v>
      </c>
      <c r="AR44" s="501">
        <f t="shared" si="42"/>
        <v>18899</v>
      </c>
      <c r="AS44" s="492">
        <f t="shared" si="43"/>
        <v>13365</v>
      </c>
      <c r="AT44" s="492">
        <f t="shared" si="44"/>
        <v>0</v>
      </c>
      <c r="AU44" s="492">
        <f t="shared" si="45"/>
        <v>4517</v>
      </c>
      <c r="AV44" s="492">
        <f t="shared" si="45"/>
        <v>267</v>
      </c>
      <c r="AW44" s="492">
        <f t="shared" si="46"/>
        <v>750</v>
      </c>
      <c r="AX44" s="493">
        <f t="shared" si="47"/>
        <v>0.05</v>
      </c>
      <c r="AY44" s="493">
        <f t="shared" si="48"/>
        <v>0</v>
      </c>
      <c r="AZ44" s="495">
        <f t="shared" si="48"/>
        <v>0.05</v>
      </c>
    </row>
    <row r="45" spans="1:52" ht="12.95" customHeight="1" x14ac:dyDescent="0.25">
      <c r="A45" s="324">
        <v>7</v>
      </c>
      <c r="B45" s="387">
        <v>5405</v>
      </c>
      <c r="C45" s="365">
        <v>600099121</v>
      </c>
      <c r="D45" s="387">
        <v>70695521</v>
      </c>
      <c r="E45" s="383" t="s">
        <v>445</v>
      </c>
      <c r="F45" s="387"/>
      <c r="G45" s="388"/>
      <c r="H45" s="389"/>
      <c r="I45" s="616">
        <v>12567125</v>
      </c>
      <c r="J45" s="614">
        <v>9122056</v>
      </c>
      <c r="K45" s="614">
        <v>0</v>
      </c>
      <c r="L45" s="614">
        <v>3083254</v>
      </c>
      <c r="M45" s="614">
        <v>182441</v>
      </c>
      <c r="N45" s="614">
        <v>179374</v>
      </c>
      <c r="O45" s="615">
        <v>21.089500000000001</v>
      </c>
      <c r="P45" s="615">
        <v>15.3316</v>
      </c>
      <c r="Q45" s="617">
        <v>5.7579000000000002</v>
      </c>
      <c r="R45" s="616">
        <f t="shared" ref="R45:AZ45" si="49">SUM(R39:R44)</f>
        <v>0</v>
      </c>
      <c r="S45" s="614">
        <f t="shared" si="49"/>
        <v>0</v>
      </c>
      <c r="T45" s="614">
        <f t="shared" si="49"/>
        <v>0</v>
      </c>
      <c r="U45" s="614">
        <f t="shared" si="49"/>
        <v>0</v>
      </c>
      <c r="V45" s="614">
        <f t="shared" si="49"/>
        <v>0</v>
      </c>
      <c r="W45" s="614">
        <f t="shared" si="49"/>
        <v>0</v>
      </c>
      <c r="X45" s="614">
        <f t="shared" si="49"/>
        <v>0</v>
      </c>
      <c r="Y45" s="614">
        <f t="shared" si="49"/>
        <v>0</v>
      </c>
      <c r="Z45" s="614">
        <f t="shared" si="49"/>
        <v>0</v>
      </c>
      <c r="AA45" s="614">
        <f t="shared" si="49"/>
        <v>0</v>
      </c>
      <c r="AB45" s="614">
        <f t="shared" si="49"/>
        <v>0</v>
      </c>
      <c r="AC45" s="614">
        <f t="shared" si="49"/>
        <v>0</v>
      </c>
      <c r="AD45" s="614">
        <f t="shared" si="49"/>
        <v>0</v>
      </c>
      <c r="AE45" s="614">
        <f t="shared" si="49"/>
        <v>0</v>
      </c>
      <c r="AF45" s="614">
        <f t="shared" si="49"/>
        <v>0</v>
      </c>
      <c r="AG45" s="614">
        <f t="shared" si="49"/>
        <v>0</v>
      </c>
      <c r="AH45" s="615">
        <f t="shared" si="49"/>
        <v>0</v>
      </c>
      <c r="AI45" s="615">
        <f t="shared" si="49"/>
        <v>0</v>
      </c>
      <c r="AJ45" s="615">
        <f t="shared" si="49"/>
        <v>0</v>
      </c>
      <c r="AK45" s="615">
        <f t="shared" si="49"/>
        <v>0</v>
      </c>
      <c r="AL45" s="615">
        <f t="shared" si="49"/>
        <v>0</v>
      </c>
      <c r="AM45" s="615">
        <f t="shared" si="49"/>
        <v>0</v>
      </c>
      <c r="AN45" s="615">
        <f t="shared" si="49"/>
        <v>0</v>
      </c>
      <c r="AO45" s="615">
        <f t="shared" si="49"/>
        <v>0</v>
      </c>
      <c r="AP45" s="615">
        <f t="shared" si="49"/>
        <v>0</v>
      </c>
      <c r="AQ45" s="386">
        <f t="shared" si="49"/>
        <v>0</v>
      </c>
      <c r="AR45" s="618">
        <f t="shared" si="49"/>
        <v>12567125</v>
      </c>
      <c r="AS45" s="614">
        <f t="shared" si="49"/>
        <v>9122056</v>
      </c>
      <c r="AT45" s="614">
        <f t="shared" si="49"/>
        <v>0</v>
      </c>
      <c r="AU45" s="614">
        <f t="shared" si="49"/>
        <v>3083254</v>
      </c>
      <c r="AV45" s="614">
        <f t="shared" si="49"/>
        <v>182441</v>
      </c>
      <c r="AW45" s="614">
        <f t="shared" si="49"/>
        <v>179374</v>
      </c>
      <c r="AX45" s="615">
        <f t="shared" si="49"/>
        <v>21.089500000000001</v>
      </c>
      <c r="AY45" s="615">
        <f t="shared" si="49"/>
        <v>15.3316</v>
      </c>
      <c r="AZ45" s="386">
        <f t="shared" si="49"/>
        <v>5.7579000000000002</v>
      </c>
    </row>
    <row r="46" spans="1:52" ht="12.95" customHeight="1" x14ac:dyDescent="0.25">
      <c r="A46" s="314">
        <v>8</v>
      </c>
      <c r="B46" s="354">
        <v>5410</v>
      </c>
      <c r="C46" s="355">
        <v>600099318</v>
      </c>
      <c r="D46" s="314">
        <v>854778</v>
      </c>
      <c r="E46" s="382" t="s">
        <v>446</v>
      </c>
      <c r="F46" s="354">
        <v>3111</v>
      </c>
      <c r="G46" s="378" t="s">
        <v>326</v>
      </c>
      <c r="H46" s="317" t="s">
        <v>278</v>
      </c>
      <c r="I46" s="494">
        <v>3564311</v>
      </c>
      <c r="J46" s="489">
        <v>2579177</v>
      </c>
      <c r="K46" s="489">
        <v>26000</v>
      </c>
      <c r="L46" s="489">
        <v>880550</v>
      </c>
      <c r="M46" s="489">
        <v>51584</v>
      </c>
      <c r="N46" s="489">
        <v>27000</v>
      </c>
      <c r="O46" s="490">
        <v>6.1128</v>
      </c>
      <c r="P46" s="491">
        <v>4.7300000000000004</v>
      </c>
      <c r="Q46" s="500">
        <v>1.3828</v>
      </c>
      <c r="R46" s="502">
        <f t="shared" si="2"/>
        <v>0</v>
      </c>
      <c r="S46" s="492">
        <v>0</v>
      </c>
      <c r="T46" s="492">
        <v>0</v>
      </c>
      <c r="U46" s="492">
        <v>0</v>
      </c>
      <c r="V46" s="492">
        <f t="shared" si="3"/>
        <v>0</v>
      </c>
      <c r="W46" s="713">
        <v>0</v>
      </c>
      <c r="X46" s="492">
        <v>0</v>
      </c>
      <c r="Y46" s="492">
        <v>0</v>
      </c>
      <c r="Z46" s="492">
        <f t="shared" ref="Z46:Z51" si="50">SUM(W46:Y46)</f>
        <v>0</v>
      </c>
      <c r="AA46" s="492">
        <f t="shared" ref="AA46:AA51" si="51">V46+Z46</f>
        <v>0</v>
      </c>
      <c r="AB46" s="74">
        <f t="shared" ref="AB46:AB51" si="52">ROUND((V46+W46+X46)*33.8%,0)</f>
        <v>0</v>
      </c>
      <c r="AC46" s="74">
        <f t="shared" ref="AC46:AC51" si="53">ROUND(V46*2%,0)</f>
        <v>0</v>
      </c>
      <c r="AD46" s="492">
        <v>0</v>
      </c>
      <c r="AE46" s="492">
        <v>0</v>
      </c>
      <c r="AF46" s="492">
        <f t="shared" si="4"/>
        <v>0</v>
      </c>
      <c r="AG46" s="492">
        <f t="shared" si="5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ref="AO46:AO51" si="54">AH46+AJ46+AK46+AM46</f>
        <v>0</v>
      </c>
      <c r="AP46" s="493">
        <f t="shared" ref="AP46:AP51" si="55">AI46+AN46+AL46</f>
        <v>0</v>
      </c>
      <c r="AQ46" s="495">
        <f t="shared" si="8"/>
        <v>0</v>
      </c>
      <c r="AR46" s="501">
        <f t="shared" ref="AR46:AR51" si="56">I46+AG46</f>
        <v>3564311</v>
      </c>
      <c r="AS46" s="492">
        <f t="shared" ref="AS46:AS51" si="57">J46+V46</f>
        <v>2579177</v>
      </c>
      <c r="AT46" s="492">
        <f t="shared" ref="AT46:AT51" si="58">K46+Z46</f>
        <v>26000</v>
      </c>
      <c r="AU46" s="492">
        <f t="shared" ref="AU46:AV51" si="59">L46+AB46</f>
        <v>880550</v>
      </c>
      <c r="AV46" s="492">
        <f t="shared" si="59"/>
        <v>51584</v>
      </c>
      <c r="AW46" s="492">
        <f t="shared" ref="AW46:AW51" si="60">N46+AF46</f>
        <v>27000</v>
      </c>
      <c r="AX46" s="493">
        <f t="shared" ref="AX46:AX51" si="61">O46+AQ46</f>
        <v>6.1128</v>
      </c>
      <c r="AY46" s="493">
        <f t="shared" ref="AY46:AZ51" si="62">P46+AO46</f>
        <v>4.7300000000000004</v>
      </c>
      <c r="AZ46" s="495">
        <f t="shared" si="62"/>
        <v>1.3828</v>
      </c>
    </row>
    <row r="47" spans="1:52" ht="12.95" customHeight="1" x14ac:dyDescent="0.25">
      <c r="A47" s="314">
        <v>8</v>
      </c>
      <c r="B47" s="354">
        <v>5410</v>
      </c>
      <c r="C47" s="355">
        <v>600099318</v>
      </c>
      <c r="D47" s="314">
        <v>854778</v>
      </c>
      <c r="E47" s="382" t="s">
        <v>446</v>
      </c>
      <c r="F47" s="354">
        <v>3113</v>
      </c>
      <c r="G47" s="378" t="s">
        <v>330</v>
      </c>
      <c r="H47" s="317" t="s">
        <v>278</v>
      </c>
      <c r="I47" s="494">
        <v>13125888</v>
      </c>
      <c r="J47" s="489">
        <v>9477661</v>
      </c>
      <c r="K47" s="489">
        <v>13000</v>
      </c>
      <c r="L47" s="489">
        <v>3207844</v>
      </c>
      <c r="M47" s="489">
        <v>189553</v>
      </c>
      <c r="N47" s="489">
        <v>237830</v>
      </c>
      <c r="O47" s="490">
        <v>18.4343</v>
      </c>
      <c r="P47" s="491">
        <v>12.8866</v>
      </c>
      <c r="Q47" s="500">
        <v>5.5476999999999999</v>
      </c>
      <c r="R47" s="502">
        <f t="shared" si="2"/>
        <v>0</v>
      </c>
      <c r="S47" s="492">
        <v>0</v>
      </c>
      <c r="T47" s="492">
        <v>0</v>
      </c>
      <c r="U47" s="492">
        <v>0</v>
      </c>
      <c r="V47" s="492">
        <f t="shared" si="3"/>
        <v>0</v>
      </c>
      <c r="W47" s="713">
        <v>0</v>
      </c>
      <c r="X47" s="492">
        <v>0</v>
      </c>
      <c r="Y47" s="492">
        <v>0</v>
      </c>
      <c r="Z47" s="492">
        <f t="shared" si="50"/>
        <v>0</v>
      </c>
      <c r="AA47" s="492">
        <f t="shared" si="51"/>
        <v>0</v>
      </c>
      <c r="AB47" s="74">
        <f t="shared" si="52"/>
        <v>0</v>
      </c>
      <c r="AC47" s="74">
        <f t="shared" si="53"/>
        <v>0</v>
      </c>
      <c r="AD47" s="492">
        <v>0</v>
      </c>
      <c r="AE47" s="492">
        <v>0</v>
      </c>
      <c r="AF47" s="492">
        <f t="shared" si="4"/>
        <v>0</v>
      </c>
      <c r="AG47" s="492">
        <f t="shared" si="5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54"/>
        <v>0</v>
      </c>
      <c r="AP47" s="493">
        <f t="shared" si="55"/>
        <v>0</v>
      </c>
      <c r="AQ47" s="495">
        <f t="shared" si="8"/>
        <v>0</v>
      </c>
      <c r="AR47" s="501">
        <f t="shared" si="56"/>
        <v>13125888</v>
      </c>
      <c r="AS47" s="492">
        <f t="shared" si="57"/>
        <v>9477661</v>
      </c>
      <c r="AT47" s="492">
        <f t="shared" si="58"/>
        <v>13000</v>
      </c>
      <c r="AU47" s="492">
        <f t="shared" si="59"/>
        <v>3207844</v>
      </c>
      <c r="AV47" s="492">
        <f t="shared" si="59"/>
        <v>189553</v>
      </c>
      <c r="AW47" s="492">
        <f t="shared" si="60"/>
        <v>237830</v>
      </c>
      <c r="AX47" s="493">
        <f t="shared" si="61"/>
        <v>18.4343</v>
      </c>
      <c r="AY47" s="493">
        <f t="shared" si="62"/>
        <v>12.8866</v>
      </c>
      <c r="AZ47" s="495">
        <f t="shared" si="62"/>
        <v>5.5476999999999999</v>
      </c>
    </row>
    <row r="48" spans="1:52" ht="12.95" customHeight="1" x14ac:dyDescent="0.25">
      <c r="A48" s="314">
        <v>8</v>
      </c>
      <c r="B48" s="354">
        <v>5410</v>
      </c>
      <c r="C48" s="355">
        <v>600099318</v>
      </c>
      <c r="D48" s="314">
        <v>854778</v>
      </c>
      <c r="E48" s="382" t="s">
        <v>446</v>
      </c>
      <c r="F48" s="354">
        <v>3113</v>
      </c>
      <c r="G48" s="317" t="s">
        <v>313</v>
      </c>
      <c r="H48" s="317" t="s">
        <v>279</v>
      </c>
      <c r="I48" s="494">
        <v>360910</v>
      </c>
      <c r="J48" s="489">
        <v>265766</v>
      </c>
      <c r="K48" s="489">
        <v>0</v>
      </c>
      <c r="L48" s="489">
        <v>89829</v>
      </c>
      <c r="M48" s="489">
        <v>5315</v>
      </c>
      <c r="N48" s="489">
        <v>0</v>
      </c>
      <c r="O48" s="490">
        <v>0.7</v>
      </c>
      <c r="P48" s="491">
        <v>0.7</v>
      </c>
      <c r="Q48" s="500">
        <v>0</v>
      </c>
      <c r="R48" s="502">
        <f t="shared" si="2"/>
        <v>0</v>
      </c>
      <c r="S48" s="492">
        <v>0</v>
      </c>
      <c r="T48" s="492">
        <v>0</v>
      </c>
      <c r="U48" s="492">
        <v>0</v>
      </c>
      <c r="V48" s="492">
        <f t="shared" si="3"/>
        <v>0</v>
      </c>
      <c r="W48" s="713">
        <v>0</v>
      </c>
      <c r="X48" s="492">
        <v>0</v>
      </c>
      <c r="Y48" s="492">
        <v>0</v>
      </c>
      <c r="Z48" s="492">
        <f t="shared" si="50"/>
        <v>0</v>
      </c>
      <c r="AA48" s="492">
        <f t="shared" si="51"/>
        <v>0</v>
      </c>
      <c r="AB48" s="74">
        <f t="shared" si="52"/>
        <v>0</v>
      </c>
      <c r="AC48" s="74">
        <f t="shared" si="53"/>
        <v>0</v>
      </c>
      <c r="AD48" s="492">
        <v>0</v>
      </c>
      <c r="AE48" s="492">
        <v>0</v>
      </c>
      <c r="AF48" s="492">
        <f t="shared" si="4"/>
        <v>0</v>
      </c>
      <c r="AG48" s="492">
        <f t="shared" si="5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54"/>
        <v>0</v>
      </c>
      <c r="AP48" s="493">
        <f t="shared" si="55"/>
        <v>0</v>
      </c>
      <c r="AQ48" s="495">
        <f t="shared" si="8"/>
        <v>0</v>
      </c>
      <c r="AR48" s="501">
        <f t="shared" si="56"/>
        <v>360910</v>
      </c>
      <c r="AS48" s="492">
        <f t="shared" si="57"/>
        <v>265766</v>
      </c>
      <c r="AT48" s="492">
        <f t="shared" si="58"/>
        <v>0</v>
      </c>
      <c r="AU48" s="492">
        <f t="shared" si="59"/>
        <v>89829</v>
      </c>
      <c r="AV48" s="492">
        <f t="shared" si="59"/>
        <v>5315</v>
      </c>
      <c r="AW48" s="492">
        <f t="shared" si="60"/>
        <v>0</v>
      </c>
      <c r="AX48" s="493">
        <f t="shared" si="61"/>
        <v>0.7</v>
      </c>
      <c r="AY48" s="493">
        <f t="shared" si="62"/>
        <v>0.7</v>
      </c>
      <c r="AZ48" s="495">
        <f t="shared" si="62"/>
        <v>0</v>
      </c>
    </row>
    <row r="49" spans="1:52" ht="12.95" customHeight="1" x14ac:dyDescent="0.25">
      <c r="A49" s="314">
        <v>8</v>
      </c>
      <c r="B49" s="354">
        <v>5410</v>
      </c>
      <c r="C49" s="355">
        <v>600099318</v>
      </c>
      <c r="D49" s="314">
        <v>854778</v>
      </c>
      <c r="E49" s="382" t="s">
        <v>446</v>
      </c>
      <c r="F49" s="354">
        <v>3141</v>
      </c>
      <c r="G49" s="378" t="s">
        <v>316</v>
      </c>
      <c r="H49" s="317" t="s">
        <v>279</v>
      </c>
      <c r="I49" s="494">
        <v>2118102</v>
      </c>
      <c r="J49" s="489">
        <v>1549560</v>
      </c>
      <c r="K49" s="489">
        <v>0</v>
      </c>
      <c r="L49" s="489">
        <v>523751</v>
      </c>
      <c r="M49" s="489">
        <v>30991</v>
      </c>
      <c r="N49" s="489">
        <v>13800</v>
      </c>
      <c r="O49" s="490">
        <v>4.8899999999999997</v>
      </c>
      <c r="P49" s="491">
        <v>0</v>
      </c>
      <c r="Q49" s="500">
        <v>4.8899999999999997</v>
      </c>
      <c r="R49" s="502">
        <f t="shared" si="2"/>
        <v>0</v>
      </c>
      <c r="S49" s="492">
        <v>0</v>
      </c>
      <c r="T49" s="492">
        <v>0</v>
      </c>
      <c r="U49" s="492">
        <v>0</v>
      </c>
      <c r="V49" s="492">
        <f t="shared" si="3"/>
        <v>0</v>
      </c>
      <c r="W49" s="713">
        <v>0</v>
      </c>
      <c r="X49" s="492">
        <v>0</v>
      </c>
      <c r="Y49" s="492">
        <v>0</v>
      </c>
      <c r="Z49" s="492">
        <f t="shared" si="50"/>
        <v>0</v>
      </c>
      <c r="AA49" s="492">
        <f t="shared" si="51"/>
        <v>0</v>
      </c>
      <c r="AB49" s="74">
        <f t="shared" si="52"/>
        <v>0</v>
      </c>
      <c r="AC49" s="74">
        <f t="shared" si="53"/>
        <v>0</v>
      </c>
      <c r="AD49" s="492">
        <v>0</v>
      </c>
      <c r="AE49" s="492">
        <v>0</v>
      </c>
      <c r="AF49" s="492">
        <f t="shared" si="4"/>
        <v>0</v>
      </c>
      <c r="AG49" s="492">
        <f t="shared" si="5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si="54"/>
        <v>0</v>
      </c>
      <c r="AP49" s="493">
        <f t="shared" si="55"/>
        <v>0</v>
      </c>
      <c r="AQ49" s="495">
        <f t="shared" si="8"/>
        <v>0</v>
      </c>
      <c r="AR49" s="501">
        <f t="shared" si="56"/>
        <v>2118102</v>
      </c>
      <c r="AS49" s="492">
        <f t="shared" si="57"/>
        <v>1549560</v>
      </c>
      <c r="AT49" s="492">
        <f t="shared" si="58"/>
        <v>0</v>
      </c>
      <c r="AU49" s="492">
        <f t="shared" si="59"/>
        <v>523751</v>
      </c>
      <c r="AV49" s="492">
        <f t="shared" si="59"/>
        <v>30991</v>
      </c>
      <c r="AW49" s="492">
        <f t="shared" si="60"/>
        <v>13800</v>
      </c>
      <c r="AX49" s="493">
        <f t="shared" si="61"/>
        <v>4.8899999999999997</v>
      </c>
      <c r="AY49" s="493">
        <f t="shared" si="62"/>
        <v>0</v>
      </c>
      <c r="AZ49" s="495">
        <f t="shared" si="62"/>
        <v>4.8899999999999997</v>
      </c>
    </row>
    <row r="50" spans="1:52" ht="12.95" customHeight="1" x14ac:dyDescent="0.25">
      <c r="A50" s="314">
        <v>8</v>
      </c>
      <c r="B50" s="354">
        <v>5410</v>
      </c>
      <c r="C50" s="355">
        <v>600099318</v>
      </c>
      <c r="D50" s="314">
        <v>854778</v>
      </c>
      <c r="E50" s="382" t="s">
        <v>446</v>
      </c>
      <c r="F50" s="354">
        <v>3143</v>
      </c>
      <c r="G50" s="317" t="s">
        <v>629</v>
      </c>
      <c r="H50" s="317" t="s">
        <v>278</v>
      </c>
      <c r="I50" s="494">
        <v>807215</v>
      </c>
      <c r="J50" s="489">
        <v>594415</v>
      </c>
      <c r="K50" s="489">
        <v>0</v>
      </c>
      <c r="L50" s="489">
        <v>200912</v>
      </c>
      <c r="M50" s="489">
        <v>11888</v>
      </c>
      <c r="N50" s="489">
        <v>0</v>
      </c>
      <c r="O50" s="490">
        <v>1.2942</v>
      </c>
      <c r="P50" s="491">
        <v>1.2942</v>
      </c>
      <c r="Q50" s="500">
        <v>0</v>
      </c>
      <c r="R50" s="502">
        <f t="shared" si="2"/>
        <v>0</v>
      </c>
      <c r="S50" s="492">
        <v>0</v>
      </c>
      <c r="T50" s="492">
        <v>0</v>
      </c>
      <c r="U50" s="492">
        <v>0</v>
      </c>
      <c r="V50" s="492">
        <f t="shared" si="3"/>
        <v>0</v>
      </c>
      <c r="W50" s="713">
        <v>0</v>
      </c>
      <c r="X50" s="492">
        <v>0</v>
      </c>
      <c r="Y50" s="492">
        <v>0</v>
      </c>
      <c r="Z50" s="492">
        <f t="shared" si="50"/>
        <v>0</v>
      </c>
      <c r="AA50" s="492">
        <f t="shared" si="51"/>
        <v>0</v>
      </c>
      <c r="AB50" s="74">
        <f t="shared" si="52"/>
        <v>0</v>
      </c>
      <c r="AC50" s="74">
        <f t="shared" si="53"/>
        <v>0</v>
      </c>
      <c r="AD50" s="492">
        <v>0</v>
      </c>
      <c r="AE50" s="492">
        <v>0</v>
      </c>
      <c r="AF50" s="492">
        <f t="shared" si="4"/>
        <v>0</v>
      </c>
      <c r="AG50" s="492">
        <f t="shared" si="5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54"/>
        <v>0</v>
      </c>
      <c r="AP50" s="493">
        <f t="shared" si="55"/>
        <v>0</v>
      </c>
      <c r="AQ50" s="495">
        <f t="shared" si="8"/>
        <v>0</v>
      </c>
      <c r="AR50" s="501">
        <f t="shared" si="56"/>
        <v>807215</v>
      </c>
      <c r="AS50" s="492">
        <f t="shared" si="57"/>
        <v>594415</v>
      </c>
      <c r="AT50" s="492">
        <f t="shared" si="58"/>
        <v>0</v>
      </c>
      <c r="AU50" s="492">
        <f t="shared" si="59"/>
        <v>200912</v>
      </c>
      <c r="AV50" s="492">
        <f t="shared" si="59"/>
        <v>11888</v>
      </c>
      <c r="AW50" s="492">
        <f t="shared" si="60"/>
        <v>0</v>
      </c>
      <c r="AX50" s="493">
        <f t="shared" si="61"/>
        <v>1.2942</v>
      </c>
      <c r="AY50" s="493">
        <f t="shared" si="62"/>
        <v>1.2942</v>
      </c>
      <c r="AZ50" s="495">
        <f t="shared" si="62"/>
        <v>0</v>
      </c>
    </row>
    <row r="51" spans="1:52" ht="12.95" customHeight="1" x14ac:dyDescent="0.25">
      <c r="A51" s="314">
        <v>8</v>
      </c>
      <c r="B51" s="354">
        <v>5410</v>
      </c>
      <c r="C51" s="355">
        <v>600099318</v>
      </c>
      <c r="D51" s="314">
        <v>854778</v>
      </c>
      <c r="E51" s="382" t="s">
        <v>446</v>
      </c>
      <c r="F51" s="354">
        <v>3143</v>
      </c>
      <c r="G51" s="317" t="s">
        <v>630</v>
      </c>
      <c r="H51" s="317" t="s">
        <v>279</v>
      </c>
      <c r="I51" s="494">
        <v>24948</v>
      </c>
      <c r="J51" s="489">
        <v>17642</v>
      </c>
      <c r="K51" s="489">
        <v>0</v>
      </c>
      <c r="L51" s="489">
        <v>5963</v>
      </c>
      <c r="M51" s="489">
        <v>353</v>
      </c>
      <c r="N51" s="489">
        <v>990</v>
      </c>
      <c r="O51" s="490">
        <v>7.0000000000000007E-2</v>
      </c>
      <c r="P51" s="491">
        <v>0</v>
      </c>
      <c r="Q51" s="500">
        <v>7.0000000000000007E-2</v>
      </c>
      <c r="R51" s="502">
        <f t="shared" si="2"/>
        <v>0</v>
      </c>
      <c r="S51" s="492">
        <v>0</v>
      </c>
      <c r="T51" s="492">
        <v>0</v>
      </c>
      <c r="U51" s="492">
        <v>0</v>
      </c>
      <c r="V51" s="492">
        <f t="shared" si="3"/>
        <v>0</v>
      </c>
      <c r="W51" s="713">
        <v>0</v>
      </c>
      <c r="X51" s="492">
        <v>0</v>
      </c>
      <c r="Y51" s="492">
        <v>0</v>
      </c>
      <c r="Z51" s="492">
        <f t="shared" si="50"/>
        <v>0</v>
      </c>
      <c r="AA51" s="492">
        <f t="shared" si="51"/>
        <v>0</v>
      </c>
      <c r="AB51" s="74">
        <f t="shared" si="52"/>
        <v>0</v>
      </c>
      <c r="AC51" s="74">
        <f t="shared" si="53"/>
        <v>0</v>
      </c>
      <c r="AD51" s="492">
        <v>0</v>
      </c>
      <c r="AE51" s="492">
        <v>0</v>
      </c>
      <c r="AF51" s="492">
        <f t="shared" si="4"/>
        <v>0</v>
      </c>
      <c r="AG51" s="492">
        <f t="shared" si="5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54"/>
        <v>0</v>
      </c>
      <c r="AP51" s="493">
        <f t="shared" si="55"/>
        <v>0</v>
      </c>
      <c r="AQ51" s="495">
        <f t="shared" si="8"/>
        <v>0</v>
      </c>
      <c r="AR51" s="501">
        <f t="shared" si="56"/>
        <v>24948</v>
      </c>
      <c r="AS51" s="492">
        <f t="shared" si="57"/>
        <v>17642</v>
      </c>
      <c r="AT51" s="492">
        <f t="shared" si="58"/>
        <v>0</v>
      </c>
      <c r="AU51" s="492">
        <f t="shared" si="59"/>
        <v>5963</v>
      </c>
      <c r="AV51" s="492">
        <f t="shared" si="59"/>
        <v>353</v>
      </c>
      <c r="AW51" s="492">
        <f t="shared" si="60"/>
        <v>990</v>
      </c>
      <c r="AX51" s="493">
        <f t="shared" si="61"/>
        <v>7.0000000000000007E-2</v>
      </c>
      <c r="AY51" s="493">
        <f t="shared" si="62"/>
        <v>0</v>
      </c>
      <c r="AZ51" s="495">
        <f t="shared" si="62"/>
        <v>7.0000000000000007E-2</v>
      </c>
    </row>
    <row r="52" spans="1:52" ht="12.95" customHeight="1" x14ac:dyDescent="0.25">
      <c r="A52" s="324">
        <v>8</v>
      </c>
      <c r="B52" s="358">
        <v>5410</v>
      </c>
      <c r="C52" s="359">
        <v>600099318</v>
      </c>
      <c r="D52" s="358">
        <v>854778</v>
      </c>
      <c r="E52" s="383" t="s">
        <v>447</v>
      </c>
      <c r="F52" s="358"/>
      <c r="G52" s="384"/>
      <c r="H52" s="385"/>
      <c r="I52" s="584">
        <v>20001374</v>
      </c>
      <c r="J52" s="580">
        <v>14484221</v>
      </c>
      <c r="K52" s="580">
        <v>39000</v>
      </c>
      <c r="L52" s="580">
        <v>4908849</v>
      </c>
      <c r="M52" s="580">
        <v>289684</v>
      </c>
      <c r="N52" s="580">
        <v>279620</v>
      </c>
      <c r="O52" s="581">
        <v>31.501300000000001</v>
      </c>
      <c r="P52" s="581">
        <v>19.610799999999998</v>
      </c>
      <c r="Q52" s="586">
        <v>11.890499999999999</v>
      </c>
      <c r="R52" s="584">
        <f t="shared" ref="R52:AZ52" si="63">SUM(R46:R51)</f>
        <v>0</v>
      </c>
      <c r="S52" s="580">
        <f t="shared" si="63"/>
        <v>0</v>
      </c>
      <c r="T52" s="580">
        <f t="shared" si="63"/>
        <v>0</v>
      </c>
      <c r="U52" s="580">
        <f t="shared" si="63"/>
        <v>0</v>
      </c>
      <c r="V52" s="580">
        <f t="shared" si="63"/>
        <v>0</v>
      </c>
      <c r="W52" s="580">
        <f t="shared" si="63"/>
        <v>0</v>
      </c>
      <c r="X52" s="580">
        <f t="shared" si="63"/>
        <v>0</v>
      </c>
      <c r="Y52" s="580">
        <f t="shared" si="63"/>
        <v>0</v>
      </c>
      <c r="Z52" s="580">
        <f t="shared" si="63"/>
        <v>0</v>
      </c>
      <c r="AA52" s="580">
        <f t="shared" si="63"/>
        <v>0</v>
      </c>
      <c r="AB52" s="580">
        <f t="shared" si="63"/>
        <v>0</v>
      </c>
      <c r="AC52" s="580">
        <f t="shared" si="63"/>
        <v>0</v>
      </c>
      <c r="AD52" s="580">
        <f t="shared" si="63"/>
        <v>0</v>
      </c>
      <c r="AE52" s="580">
        <f t="shared" si="63"/>
        <v>0</v>
      </c>
      <c r="AF52" s="580">
        <f t="shared" si="63"/>
        <v>0</v>
      </c>
      <c r="AG52" s="580">
        <f t="shared" si="63"/>
        <v>0</v>
      </c>
      <c r="AH52" s="581">
        <f t="shared" si="63"/>
        <v>0</v>
      </c>
      <c r="AI52" s="581">
        <f t="shared" si="63"/>
        <v>0</v>
      </c>
      <c r="AJ52" s="581">
        <f t="shared" si="63"/>
        <v>0</v>
      </c>
      <c r="AK52" s="581">
        <f t="shared" si="63"/>
        <v>0</v>
      </c>
      <c r="AL52" s="581">
        <f t="shared" si="63"/>
        <v>0</v>
      </c>
      <c r="AM52" s="581">
        <f t="shared" si="63"/>
        <v>0</v>
      </c>
      <c r="AN52" s="581">
        <f t="shared" si="63"/>
        <v>0</v>
      </c>
      <c r="AO52" s="581">
        <f t="shared" si="63"/>
        <v>0</v>
      </c>
      <c r="AP52" s="581">
        <f t="shared" si="63"/>
        <v>0</v>
      </c>
      <c r="AQ52" s="312">
        <f t="shared" si="63"/>
        <v>0</v>
      </c>
      <c r="AR52" s="588">
        <f t="shared" si="63"/>
        <v>20001374</v>
      </c>
      <c r="AS52" s="580">
        <f t="shared" si="63"/>
        <v>14484221</v>
      </c>
      <c r="AT52" s="580">
        <f t="shared" si="63"/>
        <v>39000</v>
      </c>
      <c r="AU52" s="580">
        <f t="shared" si="63"/>
        <v>4908849</v>
      </c>
      <c r="AV52" s="580">
        <f t="shared" si="63"/>
        <v>289684</v>
      </c>
      <c r="AW52" s="580">
        <f t="shared" si="63"/>
        <v>279620</v>
      </c>
      <c r="AX52" s="581">
        <f t="shared" si="63"/>
        <v>31.501300000000001</v>
      </c>
      <c r="AY52" s="581">
        <f t="shared" si="63"/>
        <v>19.610799999999998</v>
      </c>
      <c r="AZ52" s="312">
        <f t="shared" si="63"/>
        <v>11.890499999999999</v>
      </c>
    </row>
    <row r="53" spans="1:52" ht="12.95" customHeight="1" x14ac:dyDescent="0.25">
      <c r="A53" s="314">
        <v>9</v>
      </c>
      <c r="B53" s="354">
        <v>5476</v>
      </c>
      <c r="C53" s="355">
        <v>650046072</v>
      </c>
      <c r="D53" s="314">
        <v>71002723</v>
      </c>
      <c r="E53" s="382" t="s">
        <v>448</v>
      </c>
      <c r="F53" s="354">
        <v>3111</v>
      </c>
      <c r="G53" s="378" t="s">
        <v>326</v>
      </c>
      <c r="H53" s="317" t="s">
        <v>278</v>
      </c>
      <c r="I53" s="494">
        <v>2845686</v>
      </c>
      <c r="J53" s="489">
        <v>2070648</v>
      </c>
      <c r="K53" s="489">
        <v>9750</v>
      </c>
      <c r="L53" s="489">
        <v>703175</v>
      </c>
      <c r="M53" s="489">
        <v>41413</v>
      </c>
      <c r="N53" s="489">
        <v>20700</v>
      </c>
      <c r="O53" s="490">
        <v>4.4218000000000002</v>
      </c>
      <c r="P53" s="491">
        <v>3.4</v>
      </c>
      <c r="Q53" s="500">
        <v>1.0218</v>
      </c>
      <c r="R53" s="502">
        <f t="shared" si="2"/>
        <v>0</v>
      </c>
      <c r="S53" s="492">
        <v>0</v>
      </c>
      <c r="T53" s="492">
        <v>0</v>
      </c>
      <c r="U53" s="492">
        <v>0</v>
      </c>
      <c r="V53" s="492">
        <f t="shared" si="3"/>
        <v>0</v>
      </c>
      <c r="W53" s="713">
        <v>0</v>
      </c>
      <c r="X53" s="492">
        <v>0</v>
      </c>
      <c r="Y53" s="492">
        <v>0</v>
      </c>
      <c r="Z53" s="492">
        <f t="shared" ref="Z53:Z59" si="64">SUM(W53:Y53)</f>
        <v>0</v>
      </c>
      <c r="AA53" s="492">
        <f t="shared" ref="AA53:AA59" si="65">V53+Z53</f>
        <v>0</v>
      </c>
      <c r="AB53" s="74">
        <f t="shared" ref="AB53:AB59" si="66">ROUND((V53+W53+X53)*33.8%,0)</f>
        <v>0</v>
      </c>
      <c r="AC53" s="74">
        <f t="shared" ref="AC53:AC59" si="67">ROUND(V53*2%,0)</f>
        <v>0</v>
      </c>
      <c r="AD53" s="492">
        <v>0</v>
      </c>
      <c r="AE53" s="492">
        <v>0</v>
      </c>
      <c r="AF53" s="492">
        <f t="shared" si="4"/>
        <v>0</v>
      </c>
      <c r="AG53" s="492">
        <f t="shared" si="5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ref="AO53:AO59" si="68">AH53+AJ53+AK53+AM53</f>
        <v>0</v>
      </c>
      <c r="AP53" s="493">
        <f t="shared" ref="AP53:AP59" si="69">AI53+AN53+AL53</f>
        <v>0</v>
      </c>
      <c r="AQ53" s="495">
        <f t="shared" si="8"/>
        <v>0</v>
      </c>
      <c r="AR53" s="501">
        <f t="shared" ref="AR53:AR59" si="70">I53+AG53</f>
        <v>2845686</v>
      </c>
      <c r="AS53" s="492">
        <f t="shared" ref="AS53:AS59" si="71">J53+V53</f>
        <v>2070648</v>
      </c>
      <c r="AT53" s="492">
        <f t="shared" ref="AT53:AT59" si="72">K53+Z53</f>
        <v>9750</v>
      </c>
      <c r="AU53" s="492">
        <f t="shared" ref="AU53:AV59" si="73">L53+AB53</f>
        <v>703175</v>
      </c>
      <c r="AV53" s="492">
        <f t="shared" si="73"/>
        <v>41413</v>
      </c>
      <c r="AW53" s="492">
        <f t="shared" ref="AW53:AW59" si="74">N53+AF53</f>
        <v>20700</v>
      </c>
      <c r="AX53" s="493">
        <f t="shared" ref="AX53:AX59" si="75">O53+AQ53</f>
        <v>4.4218000000000002</v>
      </c>
      <c r="AY53" s="493">
        <f t="shared" ref="AY53:AZ59" si="76">P53+AO53</f>
        <v>3.4</v>
      </c>
      <c r="AZ53" s="495">
        <f t="shared" si="76"/>
        <v>1.0218</v>
      </c>
    </row>
    <row r="54" spans="1:52" ht="12.95" customHeight="1" x14ac:dyDescent="0.25">
      <c r="A54" s="314">
        <v>9</v>
      </c>
      <c r="B54" s="354">
        <v>5476</v>
      </c>
      <c r="C54" s="355">
        <v>650046072</v>
      </c>
      <c r="D54" s="314">
        <v>71002723</v>
      </c>
      <c r="E54" s="382" t="s">
        <v>448</v>
      </c>
      <c r="F54" s="354">
        <v>3113</v>
      </c>
      <c r="G54" s="378" t="s">
        <v>330</v>
      </c>
      <c r="H54" s="317" t="s">
        <v>278</v>
      </c>
      <c r="I54" s="494">
        <v>12512963</v>
      </c>
      <c r="J54" s="489">
        <v>9038009</v>
      </c>
      <c r="K54" s="489">
        <v>29250</v>
      </c>
      <c r="L54" s="489">
        <v>3064734</v>
      </c>
      <c r="M54" s="489">
        <v>180760</v>
      </c>
      <c r="N54" s="489">
        <v>200210</v>
      </c>
      <c r="O54" s="490">
        <v>17.173700000000004</v>
      </c>
      <c r="P54" s="491">
        <v>12.8565</v>
      </c>
      <c r="Q54" s="500">
        <v>4.3171999999999997</v>
      </c>
      <c r="R54" s="502">
        <f t="shared" si="2"/>
        <v>0</v>
      </c>
      <c r="S54" s="492">
        <v>0</v>
      </c>
      <c r="T54" s="492">
        <v>0</v>
      </c>
      <c r="U54" s="492">
        <v>0</v>
      </c>
      <c r="V54" s="492">
        <f t="shared" si="3"/>
        <v>0</v>
      </c>
      <c r="W54" s="713">
        <v>0</v>
      </c>
      <c r="X54" s="492">
        <v>0</v>
      </c>
      <c r="Y54" s="492">
        <v>0</v>
      </c>
      <c r="Z54" s="492">
        <f t="shared" si="64"/>
        <v>0</v>
      </c>
      <c r="AA54" s="492">
        <f t="shared" si="65"/>
        <v>0</v>
      </c>
      <c r="AB54" s="74">
        <f t="shared" si="66"/>
        <v>0</v>
      </c>
      <c r="AC54" s="74">
        <f t="shared" si="67"/>
        <v>0</v>
      </c>
      <c r="AD54" s="492">
        <v>0</v>
      </c>
      <c r="AE54" s="492">
        <v>0</v>
      </c>
      <c r="AF54" s="492">
        <f t="shared" si="4"/>
        <v>0</v>
      </c>
      <c r="AG54" s="492">
        <f t="shared" si="5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68"/>
        <v>0</v>
      </c>
      <c r="AP54" s="493">
        <f t="shared" si="69"/>
        <v>0</v>
      </c>
      <c r="AQ54" s="495">
        <f t="shared" si="8"/>
        <v>0</v>
      </c>
      <c r="AR54" s="501">
        <f t="shared" si="70"/>
        <v>12512963</v>
      </c>
      <c r="AS54" s="492">
        <f t="shared" si="71"/>
        <v>9038009</v>
      </c>
      <c r="AT54" s="492">
        <f t="shared" si="72"/>
        <v>29250</v>
      </c>
      <c r="AU54" s="492">
        <f t="shared" si="73"/>
        <v>3064734</v>
      </c>
      <c r="AV54" s="492">
        <f t="shared" si="73"/>
        <v>180760</v>
      </c>
      <c r="AW54" s="492">
        <f t="shared" si="74"/>
        <v>200210</v>
      </c>
      <c r="AX54" s="493">
        <f t="shared" si="75"/>
        <v>17.173700000000004</v>
      </c>
      <c r="AY54" s="493">
        <f t="shared" si="76"/>
        <v>12.8565</v>
      </c>
      <c r="AZ54" s="495">
        <f t="shared" si="76"/>
        <v>4.3171999999999997</v>
      </c>
    </row>
    <row r="55" spans="1:52" ht="12.95" customHeight="1" x14ac:dyDescent="0.25">
      <c r="A55" s="314">
        <v>9</v>
      </c>
      <c r="B55" s="354">
        <v>5476</v>
      </c>
      <c r="C55" s="355">
        <v>650046072</v>
      </c>
      <c r="D55" s="314">
        <v>71002723</v>
      </c>
      <c r="E55" s="382" t="s">
        <v>448</v>
      </c>
      <c r="F55" s="354">
        <v>3113</v>
      </c>
      <c r="G55" s="317" t="s">
        <v>313</v>
      </c>
      <c r="H55" s="317" t="s">
        <v>279</v>
      </c>
      <c r="I55" s="494">
        <v>431994</v>
      </c>
      <c r="J55" s="489">
        <v>317742</v>
      </c>
      <c r="K55" s="489">
        <v>0</v>
      </c>
      <c r="L55" s="489">
        <v>107397</v>
      </c>
      <c r="M55" s="489">
        <v>6355</v>
      </c>
      <c r="N55" s="489">
        <v>500</v>
      </c>
      <c r="O55" s="490">
        <v>0.85</v>
      </c>
      <c r="P55" s="491">
        <v>0.85</v>
      </c>
      <c r="Q55" s="500">
        <v>0</v>
      </c>
      <c r="R55" s="502">
        <f t="shared" si="2"/>
        <v>0</v>
      </c>
      <c r="S55" s="492">
        <v>17352</v>
      </c>
      <c r="T55" s="492">
        <v>0</v>
      </c>
      <c r="U55" s="492">
        <v>0</v>
      </c>
      <c r="V55" s="492">
        <f t="shared" si="3"/>
        <v>17352</v>
      </c>
      <c r="W55" s="713">
        <v>0</v>
      </c>
      <c r="X55" s="492">
        <v>0</v>
      </c>
      <c r="Y55" s="492">
        <v>0</v>
      </c>
      <c r="Z55" s="492">
        <f t="shared" si="64"/>
        <v>0</v>
      </c>
      <c r="AA55" s="492">
        <f t="shared" si="65"/>
        <v>17352</v>
      </c>
      <c r="AB55" s="74">
        <f t="shared" si="66"/>
        <v>5865</v>
      </c>
      <c r="AC55" s="74">
        <f t="shared" si="67"/>
        <v>347</v>
      </c>
      <c r="AD55" s="492">
        <v>700</v>
      </c>
      <c r="AE55" s="492">
        <v>0</v>
      </c>
      <c r="AF55" s="492">
        <f t="shared" si="4"/>
        <v>700</v>
      </c>
      <c r="AG55" s="492">
        <f t="shared" si="5"/>
        <v>24264</v>
      </c>
      <c r="AH55" s="493">
        <v>0</v>
      </c>
      <c r="AI55" s="493">
        <v>0</v>
      </c>
      <c r="AJ55" s="493">
        <v>0.04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68"/>
        <v>0.04</v>
      </c>
      <c r="AP55" s="493">
        <f t="shared" si="69"/>
        <v>0</v>
      </c>
      <c r="AQ55" s="495">
        <f t="shared" si="8"/>
        <v>0.04</v>
      </c>
      <c r="AR55" s="501">
        <f t="shared" si="70"/>
        <v>456258</v>
      </c>
      <c r="AS55" s="492">
        <f t="shared" si="71"/>
        <v>335094</v>
      </c>
      <c r="AT55" s="492">
        <f t="shared" si="72"/>
        <v>0</v>
      </c>
      <c r="AU55" s="492">
        <f t="shared" si="73"/>
        <v>113262</v>
      </c>
      <c r="AV55" s="492">
        <f t="shared" si="73"/>
        <v>6702</v>
      </c>
      <c r="AW55" s="492">
        <f t="shared" si="74"/>
        <v>1200</v>
      </c>
      <c r="AX55" s="493">
        <f t="shared" si="75"/>
        <v>0.89</v>
      </c>
      <c r="AY55" s="493">
        <f t="shared" si="76"/>
        <v>0.89</v>
      </c>
      <c r="AZ55" s="495">
        <f t="shared" si="76"/>
        <v>0</v>
      </c>
    </row>
    <row r="56" spans="1:52" ht="12.95" customHeight="1" x14ac:dyDescent="0.25">
      <c r="A56" s="314">
        <v>9</v>
      </c>
      <c r="B56" s="354">
        <v>5476</v>
      </c>
      <c r="C56" s="355">
        <v>650046072</v>
      </c>
      <c r="D56" s="314">
        <v>71002723</v>
      </c>
      <c r="E56" s="382" t="s">
        <v>448</v>
      </c>
      <c r="F56" s="354">
        <v>3141</v>
      </c>
      <c r="G56" s="378" t="s">
        <v>316</v>
      </c>
      <c r="H56" s="317" t="s">
        <v>279</v>
      </c>
      <c r="I56" s="494">
        <v>1800790</v>
      </c>
      <c r="J56" s="489">
        <v>1318074</v>
      </c>
      <c r="K56" s="489">
        <v>0</v>
      </c>
      <c r="L56" s="489">
        <v>445509</v>
      </c>
      <c r="M56" s="489">
        <v>26361</v>
      </c>
      <c r="N56" s="489">
        <v>10846</v>
      </c>
      <c r="O56" s="490">
        <v>4.1500000000000004</v>
      </c>
      <c r="P56" s="491">
        <v>0</v>
      </c>
      <c r="Q56" s="500">
        <v>4.1500000000000004</v>
      </c>
      <c r="R56" s="502">
        <f t="shared" si="2"/>
        <v>0</v>
      </c>
      <c r="S56" s="492">
        <v>0</v>
      </c>
      <c r="T56" s="492">
        <v>0</v>
      </c>
      <c r="U56" s="492">
        <v>0</v>
      </c>
      <c r="V56" s="492">
        <f t="shared" si="3"/>
        <v>0</v>
      </c>
      <c r="W56" s="713">
        <v>0</v>
      </c>
      <c r="X56" s="492">
        <v>0</v>
      </c>
      <c r="Y56" s="492">
        <v>0</v>
      </c>
      <c r="Z56" s="492">
        <f t="shared" si="64"/>
        <v>0</v>
      </c>
      <c r="AA56" s="492">
        <f t="shared" si="65"/>
        <v>0</v>
      </c>
      <c r="AB56" s="74">
        <f t="shared" si="66"/>
        <v>0</v>
      </c>
      <c r="AC56" s="74">
        <f t="shared" si="67"/>
        <v>0</v>
      </c>
      <c r="AD56" s="492">
        <v>0</v>
      </c>
      <c r="AE56" s="492">
        <v>0</v>
      </c>
      <c r="AF56" s="492">
        <f t="shared" si="4"/>
        <v>0</v>
      </c>
      <c r="AG56" s="492">
        <f t="shared" si="5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68"/>
        <v>0</v>
      </c>
      <c r="AP56" s="493">
        <f t="shared" si="69"/>
        <v>0</v>
      </c>
      <c r="AQ56" s="495">
        <f t="shared" si="8"/>
        <v>0</v>
      </c>
      <c r="AR56" s="501">
        <f t="shared" si="70"/>
        <v>1800790</v>
      </c>
      <c r="AS56" s="492">
        <f t="shared" si="71"/>
        <v>1318074</v>
      </c>
      <c r="AT56" s="492">
        <f t="shared" si="72"/>
        <v>0</v>
      </c>
      <c r="AU56" s="492">
        <f t="shared" si="73"/>
        <v>445509</v>
      </c>
      <c r="AV56" s="492">
        <f t="shared" si="73"/>
        <v>26361</v>
      </c>
      <c r="AW56" s="492">
        <f t="shared" si="74"/>
        <v>10846</v>
      </c>
      <c r="AX56" s="493">
        <f t="shared" si="75"/>
        <v>4.1500000000000004</v>
      </c>
      <c r="AY56" s="493">
        <f t="shared" si="76"/>
        <v>0</v>
      </c>
      <c r="AZ56" s="495">
        <f t="shared" si="76"/>
        <v>4.1500000000000004</v>
      </c>
    </row>
    <row r="57" spans="1:52" ht="12.95" customHeight="1" x14ac:dyDescent="0.25">
      <c r="A57" s="314">
        <v>9</v>
      </c>
      <c r="B57" s="354">
        <v>5476</v>
      </c>
      <c r="C57" s="355">
        <v>650046072</v>
      </c>
      <c r="D57" s="314">
        <v>71002723</v>
      </c>
      <c r="E57" s="382" t="s">
        <v>448</v>
      </c>
      <c r="F57" s="354">
        <v>3143</v>
      </c>
      <c r="G57" s="317" t="s">
        <v>629</v>
      </c>
      <c r="H57" s="317" t="s">
        <v>278</v>
      </c>
      <c r="I57" s="494">
        <v>770600</v>
      </c>
      <c r="J57" s="489">
        <v>564250</v>
      </c>
      <c r="K57" s="489">
        <v>3250</v>
      </c>
      <c r="L57" s="489">
        <v>191815</v>
      </c>
      <c r="M57" s="489">
        <v>11285</v>
      </c>
      <c r="N57" s="489">
        <v>0</v>
      </c>
      <c r="O57" s="490">
        <v>1.3</v>
      </c>
      <c r="P57" s="491">
        <v>1.3</v>
      </c>
      <c r="Q57" s="500">
        <v>0</v>
      </c>
      <c r="R57" s="502">
        <f t="shared" si="2"/>
        <v>0</v>
      </c>
      <c r="S57" s="492">
        <v>0</v>
      </c>
      <c r="T57" s="492">
        <v>0</v>
      </c>
      <c r="U57" s="492">
        <v>0</v>
      </c>
      <c r="V57" s="492">
        <f t="shared" si="3"/>
        <v>0</v>
      </c>
      <c r="W57" s="713">
        <v>0</v>
      </c>
      <c r="X57" s="492">
        <v>0</v>
      </c>
      <c r="Y57" s="492">
        <v>0</v>
      </c>
      <c r="Z57" s="492">
        <f t="shared" si="64"/>
        <v>0</v>
      </c>
      <c r="AA57" s="492">
        <f t="shared" si="65"/>
        <v>0</v>
      </c>
      <c r="AB57" s="74">
        <f t="shared" si="66"/>
        <v>0</v>
      </c>
      <c r="AC57" s="74">
        <f t="shared" si="67"/>
        <v>0</v>
      </c>
      <c r="AD57" s="492">
        <v>0</v>
      </c>
      <c r="AE57" s="492">
        <v>0</v>
      </c>
      <c r="AF57" s="492">
        <f t="shared" si="4"/>
        <v>0</v>
      </c>
      <c r="AG57" s="492">
        <f t="shared" si="5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68"/>
        <v>0</v>
      </c>
      <c r="AP57" s="493">
        <f t="shared" si="69"/>
        <v>0</v>
      </c>
      <c r="AQ57" s="495">
        <f t="shared" si="8"/>
        <v>0</v>
      </c>
      <c r="AR57" s="501">
        <f t="shared" si="70"/>
        <v>770600</v>
      </c>
      <c r="AS57" s="492">
        <f t="shared" si="71"/>
        <v>564250</v>
      </c>
      <c r="AT57" s="492">
        <f t="shared" si="72"/>
        <v>3250</v>
      </c>
      <c r="AU57" s="492">
        <f t="shared" si="73"/>
        <v>191815</v>
      </c>
      <c r="AV57" s="492">
        <f t="shared" si="73"/>
        <v>11285</v>
      </c>
      <c r="AW57" s="492">
        <f t="shared" si="74"/>
        <v>0</v>
      </c>
      <c r="AX57" s="493">
        <f t="shared" si="75"/>
        <v>1.3</v>
      </c>
      <c r="AY57" s="493">
        <f t="shared" si="76"/>
        <v>1.3</v>
      </c>
      <c r="AZ57" s="495">
        <f t="shared" si="76"/>
        <v>0</v>
      </c>
    </row>
    <row r="58" spans="1:52" ht="12.95" customHeight="1" x14ac:dyDescent="0.25">
      <c r="A58" s="314">
        <v>9</v>
      </c>
      <c r="B58" s="354">
        <v>5476</v>
      </c>
      <c r="C58" s="355">
        <v>650046072</v>
      </c>
      <c r="D58" s="314">
        <v>71002723</v>
      </c>
      <c r="E58" s="382" t="s">
        <v>448</v>
      </c>
      <c r="F58" s="354">
        <v>3143</v>
      </c>
      <c r="G58" s="317" t="s">
        <v>630</v>
      </c>
      <c r="H58" s="317" t="s">
        <v>279</v>
      </c>
      <c r="I58" s="494">
        <v>27973</v>
      </c>
      <c r="J58" s="489">
        <v>19781</v>
      </c>
      <c r="K58" s="489">
        <v>0</v>
      </c>
      <c r="L58" s="489">
        <v>6686</v>
      </c>
      <c r="M58" s="489">
        <v>396</v>
      </c>
      <c r="N58" s="489">
        <v>1110</v>
      </c>
      <c r="O58" s="490">
        <v>0.08</v>
      </c>
      <c r="P58" s="491">
        <v>0</v>
      </c>
      <c r="Q58" s="500">
        <v>0.08</v>
      </c>
      <c r="R58" s="502">
        <f t="shared" si="2"/>
        <v>0</v>
      </c>
      <c r="S58" s="492">
        <v>0</v>
      </c>
      <c r="T58" s="492">
        <v>0</v>
      </c>
      <c r="U58" s="492">
        <v>0</v>
      </c>
      <c r="V58" s="492">
        <f t="shared" si="3"/>
        <v>0</v>
      </c>
      <c r="W58" s="713">
        <v>0</v>
      </c>
      <c r="X58" s="492">
        <v>0</v>
      </c>
      <c r="Y58" s="492">
        <v>0</v>
      </c>
      <c r="Z58" s="492">
        <f t="shared" si="64"/>
        <v>0</v>
      </c>
      <c r="AA58" s="492">
        <f t="shared" si="65"/>
        <v>0</v>
      </c>
      <c r="AB58" s="74">
        <f t="shared" si="66"/>
        <v>0</v>
      </c>
      <c r="AC58" s="74">
        <f t="shared" si="67"/>
        <v>0</v>
      </c>
      <c r="AD58" s="492">
        <v>0</v>
      </c>
      <c r="AE58" s="492">
        <v>0</v>
      </c>
      <c r="AF58" s="492">
        <f t="shared" si="4"/>
        <v>0</v>
      </c>
      <c r="AG58" s="492">
        <f t="shared" si="5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68"/>
        <v>0</v>
      </c>
      <c r="AP58" s="493">
        <f t="shared" si="69"/>
        <v>0</v>
      </c>
      <c r="AQ58" s="495">
        <f t="shared" si="8"/>
        <v>0</v>
      </c>
      <c r="AR58" s="501">
        <f t="shared" si="70"/>
        <v>27973</v>
      </c>
      <c r="AS58" s="492">
        <f t="shared" si="71"/>
        <v>19781</v>
      </c>
      <c r="AT58" s="492">
        <f t="shared" si="72"/>
        <v>0</v>
      </c>
      <c r="AU58" s="492">
        <f t="shared" si="73"/>
        <v>6686</v>
      </c>
      <c r="AV58" s="492">
        <f t="shared" si="73"/>
        <v>396</v>
      </c>
      <c r="AW58" s="492">
        <f t="shared" si="74"/>
        <v>1110</v>
      </c>
      <c r="AX58" s="493">
        <f t="shared" si="75"/>
        <v>0.08</v>
      </c>
      <c r="AY58" s="493">
        <f t="shared" si="76"/>
        <v>0</v>
      </c>
      <c r="AZ58" s="495">
        <f t="shared" si="76"/>
        <v>0.08</v>
      </c>
    </row>
    <row r="59" spans="1:52" ht="12.95" customHeight="1" x14ac:dyDescent="0.25">
      <c r="A59" s="314">
        <v>9</v>
      </c>
      <c r="B59" s="354">
        <v>5476</v>
      </c>
      <c r="C59" s="355">
        <v>650046072</v>
      </c>
      <c r="D59" s="314">
        <v>71002723</v>
      </c>
      <c r="E59" s="382" t="s">
        <v>448</v>
      </c>
      <c r="F59" s="354">
        <v>3231</v>
      </c>
      <c r="G59" s="378" t="s">
        <v>317</v>
      </c>
      <c r="H59" s="317" t="s">
        <v>278</v>
      </c>
      <c r="I59" s="494">
        <v>6587479</v>
      </c>
      <c r="J59" s="489">
        <v>4829540</v>
      </c>
      <c r="K59" s="489">
        <v>3250</v>
      </c>
      <c r="L59" s="489">
        <v>1633483</v>
      </c>
      <c r="M59" s="489">
        <v>96591</v>
      </c>
      <c r="N59" s="489">
        <v>24615</v>
      </c>
      <c r="O59" s="490">
        <v>9.0091000000000001</v>
      </c>
      <c r="P59" s="491">
        <v>7.9215</v>
      </c>
      <c r="Q59" s="500">
        <v>1.0875999999999999</v>
      </c>
      <c r="R59" s="502">
        <f t="shared" si="2"/>
        <v>0</v>
      </c>
      <c r="S59" s="492">
        <v>0</v>
      </c>
      <c r="T59" s="492">
        <v>0</v>
      </c>
      <c r="U59" s="492">
        <v>0</v>
      </c>
      <c r="V59" s="492">
        <f t="shared" si="3"/>
        <v>0</v>
      </c>
      <c r="W59" s="713">
        <v>0</v>
      </c>
      <c r="X59" s="492">
        <v>0</v>
      </c>
      <c r="Y59" s="492">
        <v>0</v>
      </c>
      <c r="Z59" s="492">
        <f t="shared" si="64"/>
        <v>0</v>
      </c>
      <c r="AA59" s="492">
        <f t="shared" si="65"/>
        <v>0</v>
      </c>
      <c r="AB59" s="74">
        <f t="shared" si="66"/>
        <v>0</v>
      </c>
      <c r="AC59" s="74">
        <f t="shared" si="67"/>
        <v>0</v>
      </c>
      <c r="AD59" s="492">
        <v>0</v>
      </c>
      <c r="AE59" s="492">
        <v>0</v>
      </c>
      <c r="AF59" s="492">
        <f t="shared" si="4"/>
        <v>0</v>
      </c>
      <c r="AG59" s="492">
        <f t="shared" si="5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68"/>
        <v>0</v>
      </c>
      <c r="AP59" s="493">
        <f t="shared" si="69"/>
        <v>0</v>
      </c>
      <c r="AQ59" s="495">
        <f t="shared" si="8"/>
        <v>0</v>
      </c>
      <c r="AR59" s="501">
        <f t="shared" si="70"/>
        <v>6587479</v>
      </c>
      <c r="AS59" s="492">
        <f t="shared" si="71"/>
        <v>4829540</v>
      </c>
      <c r="AT59" s="492">
        <f t="shared" si="72"/>
        <v>3250</v>
      </c>
      <c r="AU59" s="492">
        <f t="shared" si="73"/>
        <v>1633483</v>
      </c>
      <c r="AV59" s="492">
        <f t="shared" si="73"/>
        <v>96591</v>
      </c>
      <c r="AW59" s="492">
        <f t="shared" si="74"/>
        <v>24615</v>
      </c>
      <c r="AX59" s="493">
        <f t="shared" si="75"/>
        <v>9.0091000000000001</v>
      </c>
      <c r="AY59" s="493">
        <f t="shared" si="76"/>
        <v>7.9215</v>
      </c>
      <c r="AZ59" s="495">
        <f t="shared" si="76"/>
        <v>1.0875999999999999</v>
      </c>
    </row>
    <row r="60" spans="1:52" ht="12.95" customHeight="1" x14ac:dyDescent="0.25">
      <c r="A60" s="324">
        <v>9</v>
      </c>
      <c r="B60" s="358">
        <v>5476</v>
      </c>
      <c r="C60" s="359">
        <v>650046072</v>
      </c>
      <c r="D60" s="358">
        <v>71002723</v>
      </c>
      <c r="E60" s="383" t="s">
        <v>449</v>
      </c>
      <c r="F60" s="358"/>
      <c r="G60" s="384"/>
      <c r="H60" s="385"/>
      <c r="I60" s="584">
        <v>24977485</v>
      </c>
      <c r="J60" s="580">
        <v>18158044</v>
      </c>
      <c r="K60" s="580">
        <v>45500</v>
      </c>
      <c r="L60" s="580">
        <v>6152799</v>
      </c>
      <c r="M60" s="580">
        <v>363161</v>
      </c>
      <c r="N60" s="580">
        <v>257981</v>
      </c>
      <c r="O60" s="581">
        <v>36.984600000000007</v>
      </c>
      <c r="P60" s="581">
        <v>26.328000000000003</v>
      </c>
      <c r="Q60" s="586">
        <v>10.656600000000001</v>
      </c>
      <c r="R60" s="584">
        <f t="shared" ref="R60:AZ60" si="77">SUM(R53:R59)</f>
        <v>0</v>
      </c>
      <c r="S60" s="580">
        <f t="shared" si="77"/>
        <v>17352</v>
      </c>
      <c r="T60" s="580">
        <f t="shared" si="77"/>
        <v>0</v>
      </c>
      <c r="U60" s="580">
        <f t="shared" si="77"/>
        <v>0</v>
      </c>
      <c r="V60" s="580">
        <f t="shared" si="77"/>
        <v>17352</v>
      </c>
      <c r="W60" s="580">
        <f t="shared" si="77"/>
        <v>0</v>
      </c>
      <c r="X60" s="580">
        <f t="shared" si="77"/>
        <v>0</v>
      </c>
      <c r="Y60" s="580">
        <f t="shared" si="77"/>
        <v>0</v>
      </c>
      <c r="Z60" s="580">
        <f t="shared" si="77"/>
        <v>0</v>
      </c>
      <c r="AA60" s="580">
        <f t="shared" si="77"/>
        <v>17352</v>
      </c>
      <c r="AB60" s="580">
        <f t="shared" si="77"/>
        <v>5865</v>
      </c>
      <c r="AC60" s="580">
        <f t="shared" si="77"/>
        <v>347</v>
      </c>
      <c r="AD60" s="580">
        <f t="shared" si="77"/>
        <v>700</v>
      </c>
      <c r="AE60" s="580">
        <f t="shared" si="77"/>
        <v>0</v>
      </c>
      <c r="AF60" s="580">
        <f t="shared" si="77"/>
        <v>700</v>
      </c>
      <c r="AG60" s="580">
        <f t="shared" si="77"/>
        <v>24264</v>
      </c>
      <c r="AH60" s="581">
        <f t="shared" si="77"/>
        <v>0</v>
      </c>
      <c r="AI60" s="581">
        <f t="shared" si="77"/>
        <v>0</v>
      </c>
      <c r="AJ60" s="581">
        <f t="shared" si="77"/>
        <v>0.04</v>
      </c>
      <c r="AK60" s="581">
        <f t="shared" si="77"/>
        <v>0</v>
      </c>
      <c r="AL60" s="581">
        <f t="shared" si="77"/>
        <v>0</v>
      </c>
      <c r="AM60" s="581">
        <f t="shared" si="77"/>
        <v>0</v>
      </c>
      <c r="AN60" s="581">
        <f t="shared" si="77"/>
        <v>0</v>
      </c>
      <c r="AO60" s="581">
        <f t="shared" si="77"/>
        <v>0.04</v>
      </c>
      <c r="AP60" s="581">
        <f t="shared" si="77"/>
        <v>0</v>
      </c>
      <c r="AQ60" s="312">
        <f t="shared" si="77"/>
        <v>0.04</v>
      </c>
      <c r="AR60" s="588">
        <f t="shared" si="77"/>
        <v>25001749</v>
      </c>
      <c r="AS60" s="580">
        <f t="shared" si="77"/>
        <v>18175396</v>
      </c>
      <c r="AT60" s="580">
        <f t="shared" si="77"/>
        <v>45500</v>
      </c>
      <c r="AU60" s="580">
        <f t="shared" si="77"/>
        <v>6158664</v>
      </c>
      <c r="AV60" s="580">
        <f t="shared" si="77"/>
        <v>363508</v>
      </c>
      <c r="AW60" s="580">
        <f t="shared" si="77"/>
        <v>258681</v>
      </c>
      <c r="AX60" s="581">
        <f t="shared" si="77"/>
        <v>37.024600000000007</v>
      </c>
      <c r="AY60" s="581">
        <f t="shared" si="77"/>
        <v>26.368000000000002</v>
      </c>
      <c r="AZ60" s="312">
        <f t="shared" si="77"/>
        <v>10.656600000000001</v>
      </c>
    </row>
    <row r="61" spans="1:52" ht="12.95" customHeight="1" x14ac:dyDescent="0.25">
      <c r="A61" s="314">
        <v>10</v>
      </c>
      <c r="B61" s="354">
        <v>5414</v>
      </c>
      <c r="C61" s="355">
        <v>600099008</v>
      </c>
      <c r="D61" s="314">
        <v>70695555</v>
      </c>
      <c r="E61" s="382" t="s">
        <v>450</v>
      </c>
      <c r="F61" s="354">
        <v>3111</v>
      </c>
      <c r="G61" s="378" t="s">
        <v>326</v>
      </c>
      <c r="H61" s="317" t="s">
        <v>278</v>
      </c>
      <c r="I61" s="494">
        <v>1878831</v>
      </c>
      <c r="J61" s="489">
        <v>1375575</v>
      </c>
      <c r="K61" s="489">
        <v>0</v>
      </c>
      <c r="L61" s="489">
        <v>464944</v>
      </c>
      <c r="M61" s="489">
        <v>27512</v>
      </c>
      <c r="N61" s="489">
        <v>10800</v>
      </c>
      <c r="O61" s="490">
        <v>2.83</v>
      </c>
      <c r="P61" s="491">
        <v>2</v>
      </c>
      <c r="Q61" s="500">
        <v>0.83</v>
      </c>
      <c r="R61" s="502">
        <f t="shared" si="2"/>
        <v>0</v>
      </c>
      <c r="S61" s="492">
        <v>0</v>
      </c>
      <c r="T61" s="492">
        <v>0</v>
      </c>
      <c r="U61" s="492">
        <v>0</v>
      </c>
      <c r="V61" s="492">
        <f t="shared" si="3"/>
        <v>0</v>
      </c>
      <c r="W61" s="492">
        <v>0</v>
      </c>
      <c r="X61" s="492">
        <v>0</v>
      </c>
      <c r="Y61" s="492">
        <v>0</v>
      </c>
      <c r="Z61" s="492">
        <f>SUM(W61:Y61)</f>
        <v>0</v>
      </c>
      <c r="AA61" s="492">
        <f>V61+Z61</f>
        <v>0</v>
      </c>
      <c r="AB61" s="74">
        <f>ROUND((V61+W61+X61)*33.8%,0)</f>
        <v>0</v>
      </c>
      <c r="AC61" s="74">
        <f>ROUND(V61*2%,0)</f>
        <v>0</v>
      </c>
      <c r="AD61" s="492">
        <v>0</v>
      </c>
      <c r="AE61" s="492">
        <v>0</v>
      </c>
      <c r="AF61" s="492">
        <f t="shared" si="4"/>
        <v>0</v>
      </c>
      <c r="AG61" s="492">
        <f t="shared" si="5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ref="AO61:AO62" si="78">AH61+AJ61+AK61+AM61</f>
        <v>0</v>
      </c>
      <c r="AP61" s="493">
        <f t="shared" ref="AP61:AP62" si="79">AI61+AN61+AL61</f>
        <v>0</v>
      </c>
      <c r="AQ61" s="495">
        <f t="shared" si="8"/>
        <v>0</v>
      </c>
      <c r="AR61" s="501">
        <f>I61+AG61</f>
        <v>1878831</v>
      </c>
      <c r="AS61" s="492">
        <f>J61+V61</f>
        <v>1375575</v>
      </c>
      <c r="AT61" s="492">
        <f t="shared" ref="AT61:AT62" si="80">K61+Z61</f>
        <v>0</v>
      </c>
      <c r="AU61" s="492">
        <f>L61+AB61</f>
        <v>464944</v>
      </c>
      <c r="AV61" s="492">
        <f>M61+AC61</f>
        <v>27512</v>
      </c>
      <c r="AW61" s="492">
        <f>N61+AF61</f>
        <v>10800</v>
      </c>
      <c r="AX61" s="493">
        <f>O61+AQ61</f>
        <v>2.83</v>
      </c>
      <c r="AY61" s="493">
        <f>P61+AO61</f>
        <v>2</v>
      </c>
      <c r="AZ61" s="495">
        <f>Q61+AP61</f>
        <v>0.83</v>
      </c>
    </row>
    <row r="62" spans="1:52" ht="12.95" customHeight="1" x14ac:dyDescent="0.25">
      <c r="A62" s="314">
        <v>10</v>
      </c>
      <c r="B62" s="354">
        <v>5414</v>
      </c>
      <c r="C62" s="355">
        <v>600099008</v>
      </c>
      <c r="D62" s="314">
        <v>70695555</v>
      </c>
      <c r="E62" s="382" t="s">
        <v>450</v>
      </c>
      <c r="F62" s="354">
        <v>3141</v>
      </c>
      <c r="G62" s="378" t="s">
        <v>316</v>
      </c>
      <c r="H62" s="317" t="s">
        <v>279</v>
      </c>
      <c r="I62" s="494">
        <v>162257</v>
      </c>
      <c r="J62" s="489">
        <v>118811</v>
      </c>
      <c r="K62" s="489">
        <v>0</v>
      </c>
      <c r="L62" s="489">
        <v>40158</v>
      </c>
      <c r="M62" s="489">
        <v>2376</v>
      </c>
      <c r="N62" s="489">
        <v>912</v>
      </c>
      <c r="O62" s="490">
        <v>0.37</v>
      </c>
      <c r="P62" s="491">
        <v>0</v>
      </c>
      <c r="Q62" s="500">
        <v>0.37</v>
      </c>
      <c r="R62" s="502">
        <f t="shared" si="2"/>
        <v>0</v>
      </c>
      <c r="S62" s="492">
        <v>0</v>
      </c>
      <c r="T62" s="492">
        <v>0</v>
      </c>
      <c r="U62" s="492">
        <v>0</v>
      </c>
      <c r="V62" s="492">
        <f t="shared" si="3"/>
        <v>0</v>
      </c>
      <c r="W62" s="492">
        <v>0</v>
      </c>
      <c r="X62" s="492">
        <v>0</v>
      </c>
      <c r="Y62" s="492">
        <v>0</v>
      </c>
      <c r="Z62" s="492">
        <f>SUM(W62:Y62)</f>
        <v>0</v>
      </c>
      <c r="AA62" s="492">
        <f>V62+Z62</f>
        <v>0</v>
      </c>
      <c r="AB62" s="74">
        <f>ROUND((V62+W62+X62)*33.8%,0)</f>
        <v>0</v>
      </c>
      <c r="AC62" s="74">
        <f>ROUND(V62*2%,0)</f>
        <v>0</v>
      </c>
      <c r="AD62" s="492">
        <v>0</v>
      </c>
      <c r="AE62" s="492">
        <v>0</v>
      </c>
      <c r="AF62" s="492">
        <f t="shared" si="4"/>
        <v>0</v>
      </c>
      <c r="AG62" s="492">
        <f t="shared" si="5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78"/>
        <v>0</v>
      </c>
      <c r="AP62" s="493">
        <f t="shared" si="79"/>
        <v>0</v>
      </c>
      <c r="AQ62" s="495">
        <f t="shared" si="8"/>
        <v>0</v>
      </c>
      <c r="AR62" s="501">
        <f>I62+AG62</f>
        <v>162257</v>
      </c>
      <c r="AS62" s="492">
        <f>J62+V62</f>
        <v>118811</v>
      </c>
      <c r="AT62" s="492">
        <f t="shared" si="80"/>
        <v>0</v>
      </c>
      <c r="AU62" s="492">
        <f>L62+AB62</f>
        <v>40158</v>
      </c>
      <c r="AV62" s="492">
        <f>M62+AC62</f>
        <v>2376</v>
      </c>
      <c r="AW62" s="492">
        <f>N62+AF62</f>
        <v>912</v>
      </c>
      <c r="AX62" s="493">
        <f>O62+AQ62</f>
        <v>0.37</v>
      </c>
      <c r="AY62" s="493">
        <f>P62+AO62</f>
        <v>0</v>
      </c>
      <c r="AZ62" s="495">
        <f>Q62+AP62</f>
        <v>0.37</v>
      </c>
    </row>
    <row r="63" spans="1:52" ht="12.95" customHeight="1" x14ac:dyDescent="0.25">
      <c r="A63" s="387">
        <v>10</v>
      </c>
      <c r="B63" s="358">
        <v>5414</v>
      </c>
      <c r="C63" s="359">
        <v>600099008</v>
      </c>
      <c r="D63" s="358">
        <v>70695555</v>
      </c>
      <c r="E63" s="383" t="s">
        <v>451</v>
      </c>
      <c r="F63" s="358"/>
      <c r="G63" s="384"/>
      <c r="H63" s="385"/>
      <c r="I63" s="584">
        <v>2041088</v>
      </c>
      <c r="J63" s="580">
        <v>1494386</v>
      </c>
      <c r="K63" s="580">
        <v>0</v>
      </c>
      <c r="L63" s="580">
        <v>505102</v>
      </c>
      <c r="M63" s="580">
        <v>29888</v>
      </c>
      <c r="N63" s="580">
        <v>11712</v>
      </c>
      <c r="O63" s="581">
        <v>3.2</v>
      </c>
      <c r="P63" s="581">
        <v>2</v>
      </c>
      <c r="Q63" s="586">
        <v>1.2</v>
      </c>
      <c r="R63" s="584">
        <f t="shared" ref="R63:AZ63" si="81">SUM(R61:R62)</f>
        <v>0</v>
      </c>
      <c r="S63" s="580">
        <f t="shared" si="81"/>
        <v>0</v>
      </c>
      <c r="T63" s="580">
        <f t="shared" si="81"/>
        <v>0</v>
      </c>
      <c r="U63" s="580">
        <f t="shared" si="81"/>
        <v>0</v>
      </c>
      <c r="V63" s="580">
        <f t="shared" si="81"/>
        <v>0</v>
      </c>
      <c r="W63" s="580">
        <f t="shared" si="81"/>
        <v>0</v>
      </c>
      <c r="X63" s="580">
        <f t="shared" si="81"/>
        <v>0</v>
      </c>
      <c r="Y63" s="580">
        <f t="shared" si="81"/>
        <v>0</v>
      </c>
      <c r="Z63" s="580">
        <f t="shared" si="81"/>
        <v>0</v>
      </c>
      <c r="AA63" s="580">
        <f t="shared" si="81"/>
        <v>0</v>
      </c>
      <c r="AB63" s="580">
        <f t="shared" si="81"/>
        <v>0</v>
      </c>
      <c r="AC63" s="580">
        <f t="shared" si="81"/>
        <v>0</v>
      </c>
      <c r="AD63" s="580">
        <f t="shared" si="81"/>
        <v>0</v>
      </c>
      <c r="AE63" s="580">
        <f t="shared" si="81"/>
        <v>0</v>
      </c>
      <c r="AF63" s="580">
        <f t="shared" si="81"/>
        <v>0</v>
      </c>
      <c r="AG63" s="580">
        <f t="shared" si="81"/>
        <v>0</v>
      </c>
      <c r="AH63" s="581">
        <f t="shared" si="81"/>
        <v>0</v>
      </c>
      <c r="AI63" s="581">
        <f t="shared" si="81"/>
        <v>0</v>
      </c>
      <c r="AJ63" s="581">
        <f t="shared" si="81"/>
        <v>0</v>
      </c>
      <c r="AK63" s="581">
        <f t="shared" si="81"/>
        <v>0</v>
      </c>
      <c r="AL63" s="581">
        <f t="shared" si="81"/>
        <v>0</v>
      </c>
      <c r="AM63" s="581">
        <f t="shared" si="81"/>
        <v>0</v>
      </c>
      <c r="AN63" s="581">
        <f t="shared" si="81"/>
        <v>0</v>
      </c>
      <c r="AO63" s="581">
        <f t="shared" si="81"/>
        <v>0</v>
      </c>
      <c r="AP63" s="581">
        <f t="shared" si="81"/>
        <v>0</v>
      </c>
      <c r="AQ63" s="312">
        <f t="shared" si="81"/>
        <v>0</v>
      </c>
      <c r="AR63" s="588">
        <f t="shared" si="81"/>
        <v>2041088</v>
      </c>
      <c r="AS63" s="580">
        <f t="shared" si="81"/>
        <v>1494386</v>
      </c>
      <c r="AT63" s="580">
        <f t="shared" si="81"/>
        <v>0</v>
      </c>
      <c r="AU63" s="580">
        <f t="shared" si="81"/>
        <v>505102</v>
      </c>
      <c r="AV63" s="580">
        <f t="shared" si="81"/>
        <v>29888</v>
      </c>
      <c r="AW63" s="580">
        <f t="shared" si="81"/>
        <v>11712</v>
      </c>
      <c r="AX63" s="581">
        <f t="shared" si="81"/>
        <v>3.2</v>
      </c>
      <c r="AY63" s="581">
        <f t="shared" si="81"/>
        <v>2</v>
      </c>
      <c r="AZ63" s="312">
        <f t="shared" si="81"/>
        <v>1.2</v>
      </c>
    </row>
    <row r="64" spans="1:52" ht="12.95" customHeight="1" x14ac:dyDescent="0.25">
      <c r="A64" s="314">
        <v>11</v>
      </c>
      <c r="B64" s="354">
        <v>5483</v>
      </c>
      <c r="C64" s="355">
        <v>600098460</v>
      </c>
      <c r="D64" s="314">
        <v>72745207</v>
      </c>
      <c r="E64" s="382" t="s">
        <v>452</v>
      </c>
      <c r="F64" s="354">
        <v>3111</v>
      </c>
      <c r="G64" s="378" t="s">
        <v>326</v>
      </c>
      <c r="H64" s="317" t="s">
        <v>278</v>
      </c>
      <c r="I64" s="494">
        <v>1903837</v>
      </c>
      <c r="J64" s="489">
        <v>1354689</v>
      </c>
      <c r="K64" s="489">
        <v>40560</v>
      </c>
      <c r="L64" s="489">
        <v>471594</v>
      </c>
      <c r="M64" s="489">
        <v>27094</v>
      </c>
      <c r="N64" s="489">
        <v>9900</v>
      </c>
      <c r="O64" s="490">
        <v>2.9618000000000002</v>
      </c>
      <c r="P64" s="491">
        <v>2.1718000000000002</v>
      </c>
      <c r="Q64" s="500">
        <v>0.78999999999999992</v>
      </c>
      <c r="R64" s="502">
        <f t="shared" si="2"/>
        <v>0</v>
      </c>
      <c r="S64" s="492">
        <v>0</v>
      </c>
      <c r="T64" s="492">
        <v>0</v>
      </c>
      <c r="U64" s="492">
        <v>0</v>
      </c>
      <c r="V64" s="492">
        <f t="shared" si="3"/>
        <v>0</v>
      </c>
      <c r="W64" s="713">
        <v>0</v>
      </c>
      <c r="X64" s="492">
        <v>0</v>
      </c>
      <c r="Y64" s="492">
        <v>0</v>
      </c>
      <c r="Z64" s="492">
        <f>SUM(W64:Y64)</f>
        <v>0</v>
      </c>
      <c r="AA64" s="492">
        <f>V64+Z64</f>
        <v>0</v>
      </c>
      <c r="AB64" s="74">
        <f>ROUND((V64+W64+X64)*33.8%,0)</f>
        <v>0</v>
      </c>
      <c r="AC64" s="74">
        <f>ROUND(V64*2%,0)</f>
        <v>0</v>
      </c>
      <c r="AD64" s="492">
        <v>0</v>
      </c>
      <c r="AE64" s="492">
        <v>0</v>
      </c>
      <c r="AF64" s="492">
        <f t="shared" si="4"/>
        <v>0</v>
      </c>
      <c r="AG64" s="492">
        <f t="shared" si="5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ref="AO64:AO66" si="82">AH64+AJ64+AK64+AM64</f>
        <v>0</v>
      </c>
      <c r="AP64" s="493">
        <f t="shared" ref="AP64:AP66" si="83">AI64+AN64+AL64</f>
        <v>0</v>
      </c>
      <c r="AQ64" s="495">
        <f t="shared" si="8"/>
        <v>0</v>
      </c>
      <c r="AR64" s="501">
        <f>I64+AG64</f>
        <v>1903837</v>
      </c>
      <c r="AS64" s="492">
        <f>J64+V64</f>
        <v>1354689</v>
      </c>
      <c r="AT64" s="492">
        <f t="shared" ref="AT64:AT66" si="84">K64+Z64</f>
        <v>40560</v>
      </c>
      <c r="AU64" s="492">
        <f t="shared" ref="AU64:AV66" si="85">L64+AB64</f>
        <v>471594</v>
      </c>
      <c r="AV64" s="492">
        <f t="shared" si="85"/>
        <v>27094</v>
      </c>
      <c r="AW64" s="492">
        <f>N64+AF64</f>
        <v>9900</v>
      </c>
      <c r="AX64" s="493">
        <f>O64+AQ64</f>
        <v>2.9618000000000002</v>
      </c>
      <c r="AY64" s="493">
        <f t="shared" ref="AY64:AZ66" si="86">P64+AO64</f>
        <v>2.1718000000000002</v>
      </c>
      <c r="AZ64" s="495">
        <f t="shared" si="86"/>
        <v>0.78999999999999992</v>
      </c>
    </row>
    <row r="65" spans="1:52" ht="12.95" customHeight="1" x14ac:dyDescent="0.25">
      <c r="A65" s="314">
        <v>11</v>
      </c>
      <c r="B65" s="354">
        <v>5483</v>
      </c>
      <c r="C65" s="355">
        <v>600098460</v>
      </c>
      <c r="D65" s="314">
        <v>72745207</v>
      </c>
      <c r="E65" s="382" t="s">
        <v>452</v>
      </c>
      <c r="F65" s="354">
        <v>3111</v>
      </c>
      <c r="G65" s="317" t="s">
        <v>313</v>
      </c>
      <c r="H65" s="317" t="s">
        <v>279</v>
      </c>
      <c r="I65" s="494">
        <v>0</v>
      </c>
      <c r="J65" s="489">
        <v>0</v>
      </c>
      <c r="K65" s="489">
        <v>0</v>
      </c>
      <c r="L65" s="489">
        <v>0</v>
      </c>
      <c r="M65" s="489">
        <v>0</v>
      </c>
      <c r="N65" s="489">
        <v>0</v>
      </c>
      <c r="O65" s="490">
        <v>0</v>
      </c>
      <c r="P65" s="491">
        <v>0</v>
      </c>
      <c r="Q65" s="500">
        <v>0</v>
      </c>
      <c r="R65" s="502">
        <f t="shared" si="2"/>
        <v>0</v>
      </c>
      <c r="S65" s="492">
        <v>0</v>
      </c>
      <c r="T65" s="492">
        <v>0</v>
      </c>
      <c r="U65" s="492">
        <v>0</v>
      </c>
      <c r="V65" s="492">
        <f t="shared" si="3"/>
        <v>0</v>
      </c>
      <c r="W65" s="713">
        <v>0</v>
      </c>
      <c r="X65" s="492">
        <v>0</v>
      </c>
      <c r="Y65" s="492">
        <v>0</v>
      </c>
      <c r="Z65" s="492">
        <f>SUM(W65:Y65)</f>
        <v>0</v>
      </c>
      <c r="AA65" s="492">
        <f>V65+Z65</f>
        <v>0</v>
      </c>
      <c r="AB65" s="74">
        <f>ROUND((V65+W65+X65)*33.8%,0)</f>
        <v>0</v>
      </c>
      <c r="AC65" s="74">
        <f>ROUND(V65*2%,0)</f>
        <v>0</v>
      </c>
      <c r="AD65" s="492">
        <v>0</v>
      </c>
      <c r="AE65" s="492">
        <v>0</v>
      </c>
      <c r="AF65" s="492">
        <f t="shared" si="4"/>
        <v>0</v>
      </c>
      <c r="AG65" s="492">
        <f t="shared" si="5"/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si="82"/>
        <v>0</v>
      </c>
      <c r="AP65" s="493">
        <f t="shared" si="83"/>
        <v>0</v>
      </c>
      <c r="AQ65" s="495">
        <f t="shared" si="8"/>
        <v>0</v>
      </c>
      <c r="AR65" s="501">
        <f>I65+AG65</f>
        <v>0</v>
      </c>
      <c r="AS65" s="492">
        <f>J65+V65</f>
        <v>0</v>
      </c>
      <c r="AT65" s="492">
        <f t="shared" si="84"/>
        <v>0</v>
      </c>
      <c r="AU65" s="492">
        <f t="shared" si="85"/>
        <v>0</v>
      </c>
      <c r="AV65" s="492">
        <f t="shared" si="85"/>
        <v>0</v>
      </c>
      <c r="AW65" s="492">
        <f>N65+AF65</f>
        <v>0</v>
      </c>
      <c r="AX65" s="493">
        <f>O65+AQ65</f>
        <v>0</v>
      </c>
      <c r="AY65" s="493">
        <f t="shared" si="86"/>
        <v>0</v>
      </c>
      <c r="AZ65" s="495">
        <f t="shared" si="86"/>
        <v>0</v>
      </c>
    </row>
    <row r="66" spans="1:52" ht="12.95" customHeight="1" x14ac:dyDescent="0.25">
      <c r="A66" s="314">
        <v>11</v>
      </c>
      <c r="B66" s="354">
        <v>5483</v>
      </c>
      <c r="C66" s="355">
        <v>600098460</v>
      </c>
      <c r="D66" s="314">
        <v>72745207</v>
      </c>
      <c r="E66" s="382" t="s">
        <v>452</v>
      </c>
      <c r="F66" s="354">
        <v>3141</v>
      </c>
      <c r="G66" s="378" t="s">
        <v>316</v>
      </c>
      <c r="H66" s="317" t="s">
        <v>279</v>
      </c>
      <c r="I66" s="494">
        <v>364820</v>
      </c>
      <c r="J66" s="489">
        <v>267748</v>
      </c>
      <c r="K66" s="489">
        <v>0</v>
      </c>
      <c r="L66" s="489">
        <v>90499</v>
      </c>
      <c r="M66" s="489">
        <v>5355</v>
      </c>
      <c r="N66" s="489">
        <v>1218</v>
      </c>
      <c r="O66" s="490">
        <v>0.84</v>
      </c>
      <c r="P66" s="491">
        <v>0</v>
      </c>
      <c r="Q66" s="500">
        <v>0.84</v>
      </c>
      <c r="R66" s="502">
        <f t="shared" si="2"/>
        <v>0</v>
      </c>
      <c r="S66" s="492">
        <v>0</v>
      </c>
      <c r="T66" s="492">
        <v>0</v>
      </c>
      <c r="U66" s="492">
        <v>0</v>
      </c>
      <c r="V66" s="492">
        <f t="shared" si="3"/>
        <v>0</v>
      </c>
      <c r="W66" s="713">
        <v>0</v>
      </c>
      <c r="X66" s="492">
        <v>0</v>
      </c>
      <c r="Y66" s="492">
        <v>0</v>
      </c>
      <c r="Z66" s="492">
        <f>SUM(W66:Y66)</f>
        <v>0</v>
      </c>
      <c r="AA66" s="492">
        <f>V66+Z66</f>
        <v>0</v>
      </c>
      <c r="AB66" s="74">
        <f>ROUND((V66+W66+X66)*33.8%,0)</f>
        <v>0</v>
      </c>
      <c r="AC66" s="74">
        <f>ROUND(V66*2%,0)</f>
        <v>0</v>
      </c>
      <c r="AD66" s="492">
        <v>0</v>
      </c>
      <c r="AE66" s="492">
        <v>0</v>
      </c>
      <c r="AF66" s="492">
        <f t="shared" si="4"/>
        <v>0</v>
      </c>
      <c r="AG66" s="492">
        <f t="shared" si="5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82"/>
        <v>0</v>
      </c>
      <c r="AP66" s="493">
        <f t="shared" si="83"/>
        <v>0</v>
      </c>
      <c r="AQ66" s="495">
        <f t="shared" si="8"/>
        <v>0</v>
      </c>
      <c r="AR66" s="501">
        <f>I66+AG66</f>
        <v>364820</v>
      </c>
      <c r="AS66" s="492">
        <f>J66+V66</f>
        <v>267748</v>
      </c>
      <c r="AT66" s="492">
        <f t="shared" si="84"/>
        <v>0</v>
      </c>
      <c r="AU66" s="492">
        <f t="shared" si="85"/>
        <v>90499</v>
      </c>
      <c r="AV66" s="492">
        <f t="shared" si="85"/>
        <v>5355</v>
      </c>
      <c r="AW66" s="492">
        <f>N66+AF66</f>
        <v>1218</v>
      </c>
      <c r="AX66" s="493">
        <f>O66+AQ66</f>
        <v>0.84</v>
      </c>
      <c r="AY66" s="493">
        <f t="shared" si="86"/>
        <v>0</v>
      </c>
      <c r="AZ66" s="495">
        <f t="shared" si="86"/>
        <v>0.84</v>
      </c>
    </row>
    <row r="67" spans="1:52" ht="12.95" customHeight="1" x14ac:dyDescent="0.25">
      <c r="A67" s="324">
        <v>11</v>
      </c>
      <c r="B67" s="358">
        <v>5483</v>
      </c>
      <c r="C67" s="359">
        <v>600098460</v>
      </c>
      <c r="D67" s="358">
        <v>72745207</v>
      </c>
      <c r="E67" s="383" t="s">
        <v>453</v>
      </c>
      <c r="F67" s="358"/>
      <c r="G67" s="384"/>
      <c r="H67" s="385"/>
      <c r="I67" s="584">
        <v>2268657</v>
      </c>
      <c r="J67" s="580">
        <v>1622437</v>
      </c>
      <c r="K67" s="580">
        <v>40560</v>
      </c>
      <c r="L67" s="580">
        <v>562093</v>
      </c>
      <c r="M67" s="580">
        <v>32449</v>
      </c>
      <c r="N67" s="580">
        <v>11118</v>
      </c>
      <c r="O67" s="581">
        <v>3.8018000000000001</v>
      </c>
      <c r="P67" s="581">
        <v>2.1718000000000002</v>
      </c>
      <c r="Q67" s="586">
        <v>1.63</v>
      </c>
      <c r="R67" s="584">
        <f t="shared" ref="R67:AZ67" si="87">SUM(R64:R66)</f>
        <v>0</v>
      </c>
      <c r="S67" s="580">
        <f t="shared" si="87"/>
        <v>0</v>
      </c>
      <c r="T67" s="580">
        <f t="shared" si="87"/>
        <v>0</v>
      </c>
      <c r="U67" s="580">
        <f t="shared" si="87"/>
        <v>0</v>
      </c>
      <c r="V67" s="580">
        <f t="shared" si="87"/>
        <v>0</v>
      </c>
      <c r="W67" s="580">
        <f t="shared" si="87"/>
        <v>0</v>
      </c>
      <c r="X67" s="580">
        <f t="shared" si="87"/>
        <v>0</v>
      </c>
      <c r="Y67" s="580">
        <f t="shared" si="87"/>
        <v>0</v>
      </c>
      <c r="Z67" s="580">
        <f t="shared" si="87"/>
        <v>0</v>
      </c>
      <c r="AA67" s="580">
        <f t="shared" si="87"/>
        <v>0</v>
      </c>
      <c r="AB67" s="580">
        <f t="shared" si="87"/>
        <v>0</v>
      </c>
      <c r="AC67" s="580">
        <f t="shared" si="87"/>
        <v>0</v>
      </c>
      <c r="AD67" s="580">
        <f t="shared" si="87"/>
        <v>0</v>
      </c>
      <c r="AE67" s="580">
        <f t="shared" si="87"/>
        <v>0</v>
      </c>
      <c r="AF67" s="580">
        <f t="shared" si="87"/>
        <v>0</v>
      </c>
      <c r="AG67" s="580">
        <f t="shared" si="87"/>
        <v>0</v>
      </c>
      <c r="AH67" s="581">
        <f t="shared" si="87"/>
        <v>0</v>
      </c>
      <c r="AI67" s="581">
        <f t="shared" si="87"/>
        <v>0</v>
      </c>
      <c r="AJ67" s="581">
        <f t="shared" si="87"/>
        <v>0</v>
      </c>
      <c r="AK67" s="581">
        <f t="shared" si="87"/>
        <v>0</v>
      </c>
      <c r="AL67" s="581">
        <f t="shared" si="87"/>
        <v>0</v>
      </c>
      <c r="AM67" s="581">
        <f t="shared" si="87"/>
        <v>0</v>
      </c>
      <c r="AN67" s="581">
        <f t="shared" si="87"/>
        <v>0</v>
      </c>
      <c r="AO67" s="581">
        <f t="shared" si="87"/>
        <v>0</v>
      </c>
      <c r="AP67" s="581">
        <f t="shared" si="87"/>
        <v>0</v>
      </c>
      <c r="AQ67" s="312">
        <f t="shared" si="87"/>
        <v>0</v>
      </c>
      <c r="AR67" s="588">
        <f t="shared" si="87"/>
        <v>2268657</v>
      </c>
      <c r="AS67" s="580">
        <f t="shared" si="87"/>
        <v>1622437</v>
      </c>
      <c r="AT67" s="580">
        <f t="shared" si="87"/>
        <v>40560</v>
      </c>
      <c r="AU67" s="580">
        <f t="shared" si="87"/>
        <v>562093</v>
      </c>
      <c r="AV67" s="580">
        <f t="shared" si="87"/>
        <v>32449</v>
      </c>
      <c r="AW67" s="580">
        <f t="shared" si="87"/>
        <v>11118</v>
      </c>
      <c r="AX67" s="581">
        <f t="shared" si="87"/>
        <v>3.8018000000000001</v>
      </c>
      <c r="AY67" s="581">
        <f t="shared" si="87"/>
        <v>2.1718000000000002</v>
      </c>
      <c r="AZ67" s="312">
        <f t="shared" si="87"/>
        <v>1.63</v>
      </c>
    </row>
    <row r="68" spans="1:52" ht="12.95" customHeight="1" x14ac:dyDescent="0.25">
      <c r="A68" s="314">
        <v>12</v>
      </c>
      <c r="B68" s="354">
        <v>5430</v>
      </c>
      <c r="C68" s="355">
        <v>650026144</v>
      </c>
      <c r="D68" s="314">
        <v>70695148</v>
      </c>
      <c r="E68" s="382" t="s">
        <v>454</v>
      </c>
      <c r="F68" s="354">
        <v>3111</v>
      </c>
      <c r="G68" s="378" t="s">
        <v>326</v>
      </c>
      <c r="H68" s="317" t="s">
        <v>278</v>
      </c>
      <c r="I68" s="494">
        <v>2220142</v>
      </c>
      <c r="J68" s="489">
        <v>1625252</v>
      </c>
      <c r="K68" s="489">
        <v>0</v>
      </c>
      <c r="L68" s="489">
        <v>549335</v>
      </c>
      <c r="M68" s="489">
        <v>32505</v>
      </c>
      <c r="N68" s="489">
        <v>13050</v>
      </c>
      <c r="O68" s="490">
        <v>3.9218000000000002</v>
      </c>
      <c r="P68" s="491">
        <v>3</v>
      </c>
      <c r="Q68" s="500">
        <v>0.92179999999999995</v>
      </c>
      <c r="R68" s="502">
        <f t="shared" si="2"/>
        <v>0</v>
      </c>
      <c r="S68" s="492">
        <v>0</v>
      </c>
      <c r="T68" s="492">
        <v>0</v>
      </c>
      <c r="U68" s="492">
        <v>0</v>
      </c>
      <c r="V68" s="492">
        <f t="shared" si="3"/>
        <v>0</v>
      </c>
      <c r="W68" s="713">
        <v>0</v>
      </c>
      <c r="X68" s="492">
        <v>0</v>
      </c>
      <c r="Y68" s="492">
        <v>0</v>
      </c>
      <c r="Z68" s="492">
        <f t="shared" ref="Z68:Z73" si="88">SUM(W68:Y68)</f>
        <v>0</v>
      </c>
      <c r="AA68" s="492">
        <f t="shared" ref="AA68:AA73" si="89">V68+Z68</f>
        <v>0</v>
      </c>
      <c r="AB68" s="74">
        <f t="shared" ref="AB68:AB73" si="90">ROUND((V68+W68+X68)*33.8%,0)</f>
        <v>0</v>
      </c>
      <c r="AC68" s="74">
        <f t="shared" ref="AC68:AC73" si="91">ROUND(V68*2%,0)</f>
        <v>0</v>
      </c>
      <c r="AD68" s="492">
        <v>0</v>
      </c>
      <c r="AE68" s="492">
        <v>0</v>
      </c>
      <c r="AF68" s="492">
        <f t="shared" si="4"/>
        <v>0</v>
      </c>
      <c r="AG68" s="492">
        <f t="shared" si="5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ref="AO68:AO73" si="92">AH68+AJ68+AK68+AM68</f>
        <v>0</v>
      </c>
      <c r="AP68" s="493">
        <f t="shared" ref="AP68:AP73" si="93">AI68+AN68+AL68</f>
        <v>0</v>
      </c>
      <c r="AQ68" s="495">
        <f t="shared" si="8"/>
        <v>0</v>
      </c>
      <c r="AR68" s="501">
        <f t="shared" ref="AR68:AR73" si="94">I68+AG68</f>
        <v>2220142</v>
      </c>
      <c r="AS68" s="492">
        <f t="shared" ref="AS68:AS73" si="95">J68+V68</f>
        <v>1625252</v>
      </c>
      <c r="AT68" s="492">
        <f t="shared" ref="AT68:AT73" si="96">K68+Z68</f>
        <v>0</v>
      </c>
      <c r="AU68" s="492">
        <f t="shared" ref="AU68:AV73" si="97">L68+AB68</f>
        <v>549335</v>
      </c>
      <c r="AV68" s="492">
        <f t="shared" si="97"/>
        <v>32505</v>
      </c>
      <c r="AW68" s="492">
        <f t="shared" ref="AW68:AW73" si="98">N68+AF68</f>
        <v>13050</v>
      </c>
      <c r="AX68" s="493">
        <f t="shared" ref="AX68:AX73" si="99">O68+AQ68</f>
        <v>3.9218000000000002</v>
      </c>
      <c r="AY68" s="493">
        <f t="shared" ref="AY68:AZ73" si="100">P68+AO68</f>
        <v>3</v>
      </c>
      <c r="AZ68" s="495">
        <f t="shared" si="100"/>
        <v>0.92179999999999995</v>
      </c>
    </row>
    <row r="69" spans="1:52" ht="12.95" customHeight="1" x14ac:dyDescent="0.25">
      <c r="A69" s="314">
        <v>12</v>
      </c>
      <c r="B69" s="354">
        <v>5430</v>
      </c>
      <c r="C69" s="355">
        <v>650026144</v>
      </c>
      <c r="D69" s="314">
        <v>70695148</v>
      </c>
      <c r="E69" s="382" t="s">
        <v>454</v>
      </c>
      <c r="F69" s="354">
        <v>3117</v>
      </c>
      <c r="G69" s="378" t="s">
        <v>330</v>
      </c>
      <c r="H69" s="317" t="s">
        <v>278</v>
      </c>
      <c r="I69" s="494">
        <v>3274072</v>
      </c>
      <c r="J69" s="489">
        <v>2363844</v>
      </c>
      <c r="K69" s="489">
        <v>15860</v>
      </c>
      <c r="L69" s="489">
        <v>804341</v>
      </c>
      <c r="M69" s="489">
        <v>47277</v>
      </c>
      <c r="N69" s="489">
        <v>42750</v>
      </c>
      <c r="O69" s="490">
        <v>4.5117000000000003</v>
      </c>
      <c r="P69" s="491">
        <v>2.8561999999999999</v>
      </c>
      <c r="Q69" s="500">
        <v>1.6555</v>
      </c>
      <c r="R69" s="502">
        <f t="shared" si="2"/>
        <v>0</v>
      </c>
      <c r="S69" s="492">
        <v>0</v>
      </c>
      <c r="T69" s="492">
        <v>0</v>
      </c>
      <c r="U69" s="492">
        <v>0</v>
      </c>
      <c r="V69" s="492">
        <f t="shared" si="3"/>
        <v>0</v>
      </c>
      <c r="W69" s="713">
        <v>0</v>
      </c>
      <c r="X69" s="492">
        <v>0</v>
      </c>
      <c r="Y69" s="492">
        <v>0</v>
      </c>
      <c r="Z69" s="492">
        <f t="shared" si="88"/>
        <v>0</v>
      </c>
      <c r="AA69" s="492">
        <f t="shared" si="89"/>
        <v>0</v>
      </c>
      <c r="AB69" s="74">
        <f t="shared" si="90"/>
        <v>0</v>
      </c>
      <c r="AC69" s="74">
        <f t="shared" si="91"/>
        <v>0</v>
      </c>
      <c r="AD69" s="492">
        <v>0</v>
      </c>
      <c r="AE69" s="492">
        <v>0</v>
      </c>
      <c r="AF69" s="492">
        <f t="shared" si="4"/>
        <v>0</v>
      </c>
      <c r="AG69" s="492">
        <f t="shared" si="5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92"/>
        <v>0</v>
      </c>
      <c r="AP69" s="493">
        <f t="shared" si="93"/>
        <v>0</v>
      </c>
      <c r="AQ69" s="495">
        <f t="shared" si="8"/>
        <v>0</v>
      </c>
      <c r="AR69" s="501">
        <f t="shared" si="94"/>
        <v>3274072</v>
      </c>
      <c r="AS69" s="492">
        <f t="shared" si="95"/>
        <v>2363844</v>
      </c>
      <c r="AT69" s="492">
        <f t="shared" si="96"/>
        <v>15860</v>
      </c>
      <c r="AU69" s="492">
        <f t="shared" si="97"/>
        <v>804341</v>
      </c>
      <c r="AV69" s="492">
        <f t="shared" si="97"/>
        <v>47277</v>
      </c>
      <c r="AW69" s="492">
        <f t="shared" si="98"/>
        <v>42750</v>
      </c>
      <c r="AX69" s="493">
        <f t="shared" si="99"/>
        <v>4.5117000000000003</v>
      </c>
      <c r="AY69" s="493">
        <f t="shared" si="100"/>
        <v>2.8561999999999999</v>
      </c>
      <c r="AZ69" s="495">
        <f t="shared" si="100"/>
        <v>1.6555</v>
      </c>
    </row>
    <row r="70" spans="1:52" ht="12.95" customHeight="1" x14ac:dyDescent="0.25">
      <c r="A70" s="314">
        <v>12</v>
      </c>
      <c r="B70" s="354">
        <v>5430</v>
      </c>
      <c r="C70" s="355">
        <v>650026144</v>
      </c>
      <c r="D70" s="314">
        <v>70695148</v>
      </c>
      <c r="E70" s="382" t="s">
        <v>454</v>
      </c>
      <c r="F70" s="354">
        <v>3117</v>
      </c>
      <c r="G70" s="317" t="s">
        <v>313</v>
      </c>
      <c r="H70" s="317" t="s">
        <v>279</v>
      </c>
      <c r="I70" s="494">
        <v>332002</v>
      </c>
      <c r="J70" s="489">
        <v>244478</v>
      </c>
      <c r="K70" s="489">
        <v>0</v>
      </c>
      <c r="L70" s="489">
        <v>82634</v>
      </c>
      <c r="M70" s="489">
        <v>4890</v>
      </c>
      <c r="N70" s="489">
        <v>0</v>
      </c>
      <c r="O70" s="490">
        <v>0.69</v>
      </c>
      <c r="P70" s="491">
        <v>0.69</v>
      </c>
      <c r="Q70" s="500">
        <v>0</v>
      </c>
      <c r="R70" s="502">
        <f t="shared" si="2"/>
        <v>0</v>
      </c>
      <c r="S70" s="492">
        <v>0</v>
      </c>
      <c r="T70" s="492">
        <v>0</v>
      </c>
      <c r="U70" s="492">
        <v>0</v>
      </c>
      <c r="V70" s="492">
        <f t="shared" si="3"/>
        <v>0</v>
      </c>
      <c r="W70" s="713">
        <v>0</v>
      </c>
      <c r="X70" s="492">
        <v>0</v>
      </c>
      <c r="Y70" s="492">
        <v>0</v>
      </c>
      <c r="Z70" s="492">
        <f t="shared" si="88"/>
        <v>0</v>
      </c>
      <c r="AA70" s="492">
        <f t="shared" si="89"/>
        <v>0</v>
      </c>
      <c r="AB70" s="74">
        <f t="shared" si="90"/>
        <v>0</v>
      </c>
      <c r="AC70" s="74">
        <f t="shared" si="91"/>
        <v>0</v>
      </c>
      <c r="AD70" s="492">
        <v>0</v>
      </c>
      <c r="AE70" s="492">
        <v>0</v>
      </c>
      <c r="AF70" s="492">
        <f t="shared" si="4"/>
        <v>0</v>
      </c>
      <c r="AG70" s="492">
        <f t="shared" si="5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92"/>
        <v>0</v>
      </c>
      <c r="AP70" s="493">
        <f t="shared" si="93"/>
        <v>0</v>
      </c>
      <c r="AQ70" s="495">
        <f t="shared" si="8"/>
        <v>0</v>
      </c>
      <c r="AR70" s="501">
        <f t="shared" si="94"/>
        <v>332002</v>
      </c>
      <c r="AS70" s="492">
        <f t="shared" si="95"/>
        <v>244478</v>
      </c>
      <c r="AT70" s="492">
        <f t="shared" si="96"/>
        <v>0</v>
      </c>
      <c r="AU70" s="492">
        <f t="shared" si="97"/>
        <v>82634</v>
      </c>
      <c r="AV70" s="492">
        <f t="shared" si="97"/>
        <v>4890</v>
      </c>
      <c r="AW70" s="492">
        <f t="shared" si="98"/>
        <v>0</v>
      </c>
      <c r="AX70" s="493">
        <f t="shared" si="99"/>
        <v>0.69</v>
      </c>
      <c r="AY70" s="493">
        <f t="shared" si="100"/>
        <v>0.69</v>
      </c>
      <c r="AZ70" s="495">
        <f t="shared" si="100"/>
        <v>0</v>
      </c>
    </row>
    <row r="71" spans="1:52" ht="12.95" customHeight="1" x14ac:dyDescent="0.25">
      <c r="A71" s="314">
        <v>12</v>
      </c>
      <c r="B71" s="314">
        <v>5430</v>
      </c>
      <c r="C71" s="363">
        <v>650026144</v>
      </c>
      <c r="D71" s="314">
        <v>70695148</v>
      </c>
      <c r="E71" s="316" t="s">
        <v>454</v>
      </c>
      <c r="F71" s="314">
        <v>3141</v>
      </c>
      <c r="G71" s="378" t="s">
        <v>316</v>
      </c>
      <c r="H71" s="317" t="s">
        <v>279</v>
      </c>
      <c r="I71" s="494">
        <v>793628</v>
      </c>
      <c r="J71" s="489">
        <v>578816</v>
      </c>
      <c r="K71" s="489">
        <v>3250</v>
      </c>
      <c r="L71" s="489">
        <v>196738</v>
      </c>
      <c r="M71" s="489">
        <v>11576</v>
      </c>
      <c r="N71" s="489">
        <v>3248</v>
      </c>
      <c r="O71" s="490">
        <v>1.93</v>
      </c>
      <c r="P71" s="491">
        <v>0</v>
      </c>
      <c r="Q71" s="500">
        <v>1.93</v>
      </c>
      <c r="R71" s="502">
        <f t="shared" si="2"/>
        <v>0</v>
      </c>
      <c r="S71" s="492">
        <v>0</v>
      </c>
      <c r="T71" s="492">
        <v>0</v>
      </c>
      <c r="U71" s="492">
        <v>0</v>
      </c>
      <c r="V71" s="492">
        <f t="shared" si="3"/>
        <v>0</v>
      </c>
      <c r="W71" s="713">
        <v>0</v>
      </c>
      <c r="X71" s="492">
        <v>0</v>
      </c>
      <c r="Y71" s="492">
        <v>0</v>
      </c>
      <c r="Z71" s="492">
        <f t="shared" si="88"/>
        <v>0</v>
      </c>
      <c r="AA71" s="492">
        <f t="shared" si="89"/>
        <v>0</v>
      </c>
      <c r="AB71" s="74">
        <f t="shared" si="90"/>
        <v>0</v>
      </c>
      <c r="AC71" s="74">
        <f t="shared" si="91"/>
        <v>0</v>
      </c>
      <c r="AD71" s="492">
        <v>0</v>
      </c>
      <c r="AE71" s="492">
        <v>0</v>
      </c>
      <c r="AF71" s="492">
        <f t="shared" si="4"/>
        <v>0</v>
      </c>
      <c r="AG71" s="492">
        <f t="shared" si="5"/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92"/>
        <v>0</v>
      </c>
      <c r="AP71" s="493">
        <f t="shared" si="93"/>
        <v>0</v>
      </c>
      <c r="AQ71" s="495">
        <f t="shared" si="8"/>
        <v>0</v>
      </c>
      <c r="AR71" s="501">
        <f t="shared" si="94"/>
        <v>793628</v>
      </c>
      <c r="AS71" s="492">
        <f t="shared" si="95"/>
        <v>578816</v>
      </c>
      <c r="AT71" s="492">
        <f t="shared" si="96"/>
        <v>3250</v>
      </c>
      <c r="AU71" s="492">
        <f t="shared" si="97"/>
        <v>196738</v>
      </c>
      <c r="AV71" s="492">
        <f t="shared" si="97"/>
        <v>11576</v>
      </c>
      <c r="AW71" s="492">
        <f t="shared" si="98"/>
        <v>3248</v>
      </c>
      <c r="AX71" s="493">
        <f t="shared" si="99"/>
        <v>1.93</v>
      </c>
      <c r="AY71" s="493">
        <f t="shared" si="100"/>
        <v>0</v>
      </c>
      <c r="AZ71" s="495">
        <f t="shared" si="100"/>
        <v>1.93</v>
      </c>
    </row>
    <row r="72" spans="1:52" ht="12.95" customHeight="1" x14ac:dyDescent="0.25">
      <c r="A72" s="314">
        <v>12</v>
      </c>
      <c r="B72" s="354">
        <v>5430</v>
      </c>
      <c r="C72" s="355">
        <v>650026144</v>
      </c>
      <c r="D72" s="314">
        <v>70695148</v>
      </c>
      <c r="E72" s="382" t="s">
        <v>454</v>
      </c>
      <c r="F72" s="354">
        <v>3143</v>
      </c>
      <c r="G72" s="317" t="s">
        <v>629</v>
      </c>
      <c r="H72" s="317" t="s">
        <v>278</v>
      </c>
      <c r="I72" s="494">
        <v>625003</v>
      </c>
      <c r="J72" s="489">
        <v>460238</v>
      </c>
      <c r="K72" s="489">
        <v>0</v>
      </c>
      <c r="L72" s="489">
        <v>155560</v>
      </c>
      <c r="M72" s="489">
        <v>9205</v>
      </c>
      <c r="N72" s="489">
        <v>0</v>
      </c>
      <c r="O72" s="490">
        <v>0.88070000000000004</v>
      </c>
      <c r="P72" s="491">
        <v>0.88070000000000004</v>
      </c>
      <c r="Q72" s="500">
        <v>0</v>
      </c>
      <c r="R72" s="502">
        <f t="shared" si="2"/>
        <v>0</v>
      </c>
      <c r="S72" s="492">
        <v>0</v>
      </c>
      <c r="T72" s="492">
        <v>0</v>
      </c>
      <c r="U72" s="492">
        <v>0</v>
      </c>
      <c r="V72" s="492">
        <f t="shared" si="3"/>
        <v>0</v>
      </c>
      <c r="W72" s="713">
        <v>0</v>
      </c>
      <c r="X72" s="492">
        <v>0</v>
      </c>
      <c r="Y72" s="492">
        <v>0</v>
      </c>
      <c r="Z72" s="492">
        <f t="shared" si="88"/>
        <v>0</v>
      </c>
      <c r="AA72" s="492">
        <f t="shared" si="89"/>
        <v>0</v>
      </c>
      <c r="AB72" s="74">
        <f t="shared" si="90"/>
        <v>0</v>
      </c>
      <c r="AC72" s="74">
        <f t="shared" si="91"/>
        <v>0</v>
      </c>
      <c r="AD72" s="492">
        <v>0</v>
      </c>
      <c r="AE72" s="492">
        <v>0</v>
      </c>
      <c r="AF72" s="492">
        <f t="shared" si="4"/>
        <v>0</v>
      </c>
      <c r="AG72" s="492">
        <f t="shared" si="5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92"/>
        <v>0</v>
      </c>
      <c r="AP72" s="493">
        <f t="shared" si="93"/>
        <v>0</v>
      </c>
      <c r="AQ72" s="495">
        <f t="shared" si="8"/>
        <v>0</v>
      </c>
      <c r="AR72" s="501">
        <f t="shared" si="94"/>
        <v>625003</v>
      </c>
      <c r="AS72" s="492">
        <f t="shared" si="95"/>
        <v>460238</v>
      </c>
      <c r="AT72" s="492">
        <f t="shared" si="96"/>
        <v>0</v>
      </c>
      <c r="AU72" s="492">
        <f t="shared" si="97"/>
        <v>155560</v>
      </c>
      <c r="AV72" s="492">
        <f t="shared" si="97"/>
        <v>9205</v>
      </c>
      <c r="AW72" s="492">
        <f t="shared" si="98"/>
        <v>0</v>
      </c>
      <c r="AX72" s="493">
        <f t="shared" si="99"/>
        <v>0.88070000000000004</v>
      </c>
      <c r="AY72" s="493">
        <f t="shared" si="100"/>
        <v>0.88070000000000004</v>
      </c>
      <c r="AZ72" s="495">
        <f t="shared" si="100"/>
        <v>0</v>
      </c>
    </row>
    <row r="73" spans="1:52" ht="12.95" customHeight="1" x14ac:dyDescent="0.25">
      <c r="A73" s="314">
        <v>12</v>
      </c>
      <c r="B73" s="354">
        <v>5430</v>
      </c>
      <c r="C73" s="355">
        <v>650026144</v>
      </c>
      <c r="D73" s="314">
        <v>70695148</v>
      </c>
      <c r="E73" s="382" t="s">
        <v>454</v>
      </c>
      <c r="F73" s="354">
        <v>3143</v>
      </c>
      <c r="G73" s="317" t="s">
        <v>630</v>
      </c>
      <c r="H73" s="317" t="s">
        <v>279</v>
      </c>
      <c r="I73" s="494">
        <v>19656</v>
      </c>
      <c r="J73" s="489">
        <v>13900</v>
      </c>
      <c r="K73" s="489">
        <v>0</v>
      </c>
      <c r="L73" s="489">
        <v>4698</v>
      </c>
      <c r="M73" s="489">
        <v>278</v>
      </c>
      <c r="N73" s="489">
        <v>780</v>
      </c>
      <c r="O73" s="490">
        <v>0.05</v>
      </c>
      <c r="P73" s="491">
        <v>0</v>
      </c>
      <c r="Q73" s="500">
        <v>0.05</v>
      </c>
      <c r="R73" s="502">
        <f t="shared" si="2"/>
        <v>0</v>
      </c>
      <c r="S73" s="492">
        <v>0</v>
      </c>
      <c r="T73" s="492">
        <v>0</v>
      </c>
      <c r="U73" s="492">
        <v>0</v>
      </c>
      <c r="V73" s="492">
        <f t="shared" si="3"/>
        <v>0</v>
      </c>
      <c r="W73" s="713">
        <v>0</v>
      </c>
      <c r="X73" s="492">
        <v>0</v>
      </c>
      <c r="Y73" s="492">
        <v>0</v>
      </c>
      <c r="Z73" s="492">
        <f t="shared" si="88"/>
        <v>0</v>
      </c>
      <c r="AA73" s="492">
        <f t="shared" si="89"/>
        <v>0</v>
      </c>
      <c r="AB73" s="74">
        <f t="shared" si="90"/>
        <v>0</v>
      </c>
      <c r="AC73" s="74">
        <f t="shared" si="91"/>
        <v>0</v>
      </c>
      <c r="AD73" s="492">
        <v>0</v>
      </c>
      <c r="AE73" s="492">
        <v>0</v>
      </c>
      <c r="AF73" s="492">
        <f t="shared" si="4"/>
        <v>0</v>
      </c>
      <c r="AG73" s="492">
        <f t="shared" si="5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92"/>
        <v>0</v>
      </c>
      <c r="AP73" s="493">
        <f t="shared" si="93"/>
        <v>0</v>
      </c>
      <c r="AQ73" s="495">
        <f t="shared" si="8"/>
        <v>0</v>
      </c>
      <c r="AR73" s="501">
        <f t="shared" si="94"/>
        <v>19656</v>
      </c>
      <c r="AS73" s="492">
        <f t="shared" si="95"/>
        <v>13900</v>
      </c>
      <c r="AT73" s="492">
        <f t="shared" si="96"/>
        <v>0</v>
      </c>
      <c r="AU73" s="492">
        <f t="shared" si="97"/>
        <v>4698</v>
      </c>
      <c r="AV73" s="492">
        <f t="shared" si="97"/>
        <v>278</v>
      </c>
      <c r="AW73" s="492">
        <f t="shared" si="98"/>
        <v>780</v>
      </c>
      <c r="AX73" s="493">
        <f t="shared" si="99"/>
        <v>0.05</v>
      </c>
      <c r="AY73" s="493">
        <f t="shared" si="100"/>
        <v>0</v>
      </c>
      <c r="AZ73" s="495">
        <f t="shared" si="100"/>
        <v>0.05</v>
      </c>
    </row>
    <row r="74" spans="1:52" ht="12.95" customHeight="1" x14ac:dyDescent="0.25">
      <c r="A74" s="324">
        <v>12</v>
      </c>
      <c r="B74" s="358">
        <v>5430</v>
      </c>
      <c r="C74" s="359">
        <v>650026144</v>
      </c>
      <c r="D74" s="358">
        <v>70695148</v>
      </c>
      <c r="E74" s="383" t="s">
        <v>455</v>
      </c>
      <c r="F74" s="358"/>
      <c r="G74" s="384"/>
      <c r="H74" s="385"/>
      <c r="I74" s="584">
        <v>7264503</v>
      </c>
      <c r="J74" s="580">
        <v>5286528</v>
      </c>
      <c r="K74" s="580">
        <v>19110</v>
      </c>
      <c r="L74" s="580">
        <v>1793306</v>
      </c>
      <c r="M74" s="580">
        <v>105731</v>
      </c>
      <c r="N74" s="580">
        <v>59828</v>
      </c>
      <c r="O74" s="581">
        <v>11.984200000000001</v>
      </c>
      <c r="P74" s="581">
        <v>7.4268999999999989</v>
      </c>
      <c r="Q74" s="586">
        <v>4.5572999999999997</v>
      </c>
      <c r="R74" s="584">
        <f t="shared" ref="R74:AZ74" si="101">SUM(R68:R73)</f>
        <v>0</v>
      </c>
      <c r="S74" s="580">
        <f t="shared" si="101"/>
        <v>0</v>
      </c>
      <c r="T74" s="580">
        <f t="shared" si="101"/>
        <v>0</v>
      </c>
      <c r="U74" s="580">
        <f t="shared" si="101"/>
        <v>0</v>
      </c>
      <c r="V74" s="580">
        <f t="shared" si="101"/>
        <v>0</v>
      </c>
      <c r="W74" s="580">
        <f t="shared" si="101"/>
        <v>0</v>
      </c>
      <c r="X74" s="580">
        <f t="shared" si="101"/>
        <v>0</v>
      </c>
      <c r="Y74" s="580">
        <f t="shared" si="101"/>
        <v>0</v>
      </c>
      <c r="Z74" s="580">
        <f t="shared" si="101"/>
        <v>0</v>
      </c>
      <c r="AA74" s="580">
        <f t="shared" si="101"/>
        <v>0</v>
      </c>
      <c r="AB74" s="580">
        <f t="shared" si="101"/>
        <v>0</v>
      </c>
      <c r="AC74" s="580">
        <f t="shared" si="101"/>
        <v>0</v>
      </c>
      <c r="AD74" s="580">
        <f t="shared" si="101"/>
        <v>0</v>
      </c>
      <c r="AE74" s="580">
        <f t="shared" si="101"/>
        <v>0</v>
      </c>
      <c r="AF74" s="580">
        <f t="shared" si="101"/>
        <v>0</v>
      </c>
      <c r="AG74" s="580">
        <f t="shared" si="101"/>
        <v>0</v>
      </c>
      <c r="AH74" s="581">
        <f t="shared" si="101"/>
        <v>0</v>
      </c>
      <c r="AI74" s="581">
        <f t="shared" si="101"/>
        <v>0</v>
      </c>
      <c r="AJ74" s="581">
        <f>SUM(AJ68:AJ73)</f>
        <v>0</v>
      </c>
      <c r="AK74" s="581">
        <f t="shared" ref="AK74:AL74" si="102">SUM(AK68:AK73)</f>
        <v>0</v>
      </c>
      <c r="AL74" s="581">
        <f t="shared" si="102"/>
        <v>0</v>
      </c>
      <c r="AM74" s="581">
        <f t="shared" si="101"/>
        <v>0</v>
      </c>
      <c r="AN74" s="581">
        <f t="shared" si="101"/>
        <v>0</v>
      </c>
      <c r="AO74" s="581">
        <f t="shared" si="101"/>
        <v>0</v>
      </c>
      <c r="AP74" s="581">
        <f t="shared" si="101"/>
        <v>0</v>
      </c>
      <c r="AQ74" s="312">
        <f t="shared" si="101"/>
        <v>0</v>
      </c>
      <c r="AR74" s="588">
        <f t="shared" si="101"/>
        <v>7264503</v>
      </c>
      <c r="AS74" s="580">
        <f t="shared" si="101"/>
        <v>5286528</v>
      </c>
      <c r="AT74" s="580">
        <f t="shared" si="101"/>
        <v>19110</v>
      </c>
      <c r="AU74" s="580">
        <f t="shared" si="101"/>
        <v>1793306</v>
      </c>
      <c r="AV74" s="580">
        <f t="shared" si="101"/>
        <v>105731</v>
      </c>
      <c r="AW74" s="580">
        <f t="shared" si="101"/>
        <v>59828</v>
      </c>
      <c r="AX74" s="581">
        <f t="shared" si="101"/>
        <v>11.984200000000001</v>
      </c>
      <c r="AY74" s="581">
        <f t="shared" si="101"/>
        <v>7.4268999999999989</v>
      </c>
      <c r="AZ74" s="312">
        <f t="shared" si="101"/>
        <v>4.5572999999999997</v>
      </c>
    </row>
    <row r="75" spans="1:52" ht="12.95" customHeight="1" x14ac:dyDescent="0.25">
      <c r="A75" s="314">
        <v>13</v>
      </c>
      <c r="B75" s="354">
        <v>5431</v>
      </c>
      <c r="C75" s="355">
        <v>600099016</v>
      </c>
      <c r="D75" s="314">
        <v>70698112</v>
      </c>
      <c r="E75" s="382" t="s">
        <v>456</v>
      </c>
      <c r="F75" s="354">
        <v>3111</v>
      </c>
      <c r="G75" s="378" t="s">
        <v>326</v>
      </c>
      <c r="H75" s="317" t="s">
        <v>278</v>
      </c>
      <c r="I75" s="494">
        <v>1614027</v>
      </c>
      <c r="J75" s="489">
        <v>1167771</v>
      </c>
      <c r="K75" s="489">
        <v>13000</v>
      </c>
      <c r="L75" s="489">
        <v>399101</v>
      </c>
      <c r="M75" s="489">
        <v>23355</v>
      </c>
      <c r="N75" s="489">
        <v>10800</v>
      </c>
      <c r="O75" s="490">
        <v>2.5108999999999999</v>
      </c>
      <c r="P75" s="491">
        <v>2</v>
      </c>
      <c r="Q75" s="500">
        <v>0.51090000000000002</v>
      </c>
      <c r="R75" s="502">
        <f t="shared" si="2"/>
        <v>0</v>
      </c>
      <c r="S75" s="492">
        <v>0</v>
      </c>
      <c r="T75" s="492">
        <v>0</v>
      </c>
      <c r="U75" s="492">
        <v>0</v>
      </c>
      <c r="V75" s="492">
        <f t="shared" si="3"/>
        <v>0</v>
      </c>
      <c r="W75" s="713">
        <v>0</v>
      </c>
      <c r="X75" s="492">
        <v>0</v>
      </c>
      <c r="Y75" s="492">
        <v>0</v>
      </c>
      <c r="Z75" s="492">
        <f t="shared" ref="Z75:Z80" si="103">SUM(W75:Y75)</f>
        <v>0</v>
      </c>
      <c r="AA75" s="492">
        <f t="shared" ref="AA75:AA80" si="104">V75+Z75</f>
        <v>0</v>
      </c>
      <c r="AB75" s="74">
        <f t="shared" ref="AB75:AB80" si="105">ROUND((V75+W75+X75)*33.8%,0)</f>
        <v>0</v>
      </c>
      <c r="AC75" s="74">
        <f t="shared" ref="AC75:AC80" si="106">ROUND(V75*2%,0)</f>
        <v>0</v>
      </c>
      <c r="AD75" s="492">
        <v>0</v>
      </c>
      <c r="AE75" s="492">
        <v>0</v>
      </c>
      <c r="AF75" s="492">
        <f t="shared" si="4"/>
        <v>0</v>
      </c>
      <c r="AG75" s="492">
        <f t="shared" si="5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ref="AO75:AO80" si="107">AH75+AJ75+AK75+AM75</f>
        <v>0</v>
      </c>
      <c r="AP75" s="493">
        <f t="shared" ref="AP75:AP80" si="108">AI75+AN75+AL75</f>
        <v>0</v>
      </c>
      <c r="AQ75" s="495">
        <f t="shared" si="8"/>
        <v>0</v>
      </c>
      <c r="AR75" s="501">
        <f t="shared" ref="AR75:AR80" si="109">I75+AG75</f>
        <v>1614027</v>
      </c>
      <c r="AS75" s="492">
        <f t="shared" ref="AS75:AS80" si="110">J75+V75</f>
        <v>1167771</v>
      </c>
      <c r="AT75" s="492">
        <f t="shared" ref="AT75:AT80" si="111">K75+Z75</f>
        <v>13000</v>
      </c>
      <c r="AU75" s="492">
        <f t="shared" ref="AU75:AV80" si="112">L75+AB75</f>
        <v>399101</v>
      </c>
      <c r="AV75" s="492">
        <f t="shared" si="112"/>
        <v>23355</v>
      </c>
      <c r="AW75" s="492">
        <f t="shared" ref="AW75:AW80" si="113">N75+AF75</f>
        <v>10800</v>
      </c>
      <c r="AX75" s="493">
        <f t="shared" ref="AX75:AX80" si="114">O75+AQ75</f>
        <v>2.5108999999999999</v>
      </c>
      <c r="AY75" s="493">
        <f t="shared" ref="AY75:AZ80" si="115">P75+AO75</f>
        <v>2</v>
      </c>
      <c r="AZ75" s="495">
        <f t="shared" si="115"/>
        <v>0.51090000000000002</v>
      </c>
    </row>
    <row r="76" spans="1:52" ht="12.95" customHeight="1" x14ac:dyDescent="0.25">
      <c r="A76" s="314">
        <v>13</v>
      </c>
      <c r="B76" s="354">
        <v>5431</v>
      </c>
      <c r="C76" s="355">
        <v>600099016</v>
      </c>
      <c r="D76" s="314">
        <v>70698112</v>
      </c>
      <c r="E76" s="382" t="s">
        <v>456</v>
      </c>
      <c r="F76" s="354">
        <v>3117</v>
      </c>
      <c r="G76" s="378" t="s">
        <v>330</v>
      </c>
      <c r="H76" s="317" t="s">
        <v>278</v>
      </c>
      <c r="I76" s="494">
        <v>3399720</v>
      </c>
      <c r="J76" s="489">
        <v>2468218</v>
      </c>
      <c r="K76" s="489">
        <v>0</v>
      </c>
      <c r="L76" s="489">
        <v>834258</v>
      </c>
      <c r="M76" s="489">
        <v>49364</v>
      </c>
      <c r="N76" s="489">
        <v>47880</v>
      </c>
      <c r="O76" s="490">
        <v>5.0830000000000002</v>
      </c>
      <c r="P76" s="491">
        <v>3.6816</v>
      </c>
      <c r="Q76" s="500">
        <v>1.4014000000000002</v>
      </c>
      <c r="R76" s="502">
        <f t="shared" si="2"/>
        <v>0</v>
      </c>
      <c r="S76" s="492">
        <v>0</v>
      </c>
      <c r="T76" s="492">
        <v>0</v>
      </c>
      <c r="U76" s="492">
        <v>0</v>
      </c>
      <c r="V76" s="492">
        <f t="shared" si="3"/>
        <v>0</v>
      </c>
      <c r="W76" s="713">
        <v>0</v>
      </c>
      <c r="X76" s="492">
        <v>0</v>
      </c>
      <c r="Y76" s="492">
        <v>0</v>
      </c>
      <c r="Z76" s="492">
        <f t="shared" si="103"/>
        <v>0</v>
      </c>
      <c r="AA76" s="492">
        <f t="shared" si="104"/>
        <v>0</v>
      </c>
      <c r="AB76" s="74">
        <f t="shared" si="105"/>
        <v>0</v>
      </c>
      <c r="AC76" s="74">
        <f t="shared" si="106"/>
        <v>0</v>
      </c>
      <c r="AD76" s="492">
        <v>0</v>
      </c>
      <c r="AE76" s="492">
        <v>0</v>
      </c>
      <c r="AF76" s="492">
        <f t="shared" si="4"/>
        <v>0</v>
      </c>
      <c r="AG76" s="492">
        <f t="shared" si="5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107"/>
        <v>0</v>
      </c>
      <c r="AP76" s="493">
        <f t="shared" si="108"/>
        <v>0</v>
      </c>
      <c r="AQ76" s="495">
        <f t="shared" si="8"/>
        <v>0</v>
      </c>
      <c r="AR76" s="501">
        <f t="shared" si="109"/>
        <v>3399720</v>
      </c>
      <c r="AS76" s="492">
        <f t="shared" si="110"/>
        <v>2468218</v>
      </c>
      <c r="AT76" s="492">
        <f t="shared" si="111"/>
        <v>0</v>
      </c>
      <c r="AU76" s="492">
        <f t="shared" si="112"/>
        <v>834258</v>
      </c>
      <c r="AV76" s="492">
        <f t="shared" si="112"/>
        <v>49364</v>
      </c>
      <c r="AW76" s="492">
        <f t="shared" si="113"/>
        <v>47880</v>
      </c>
      <c r="AX76" s="493">
        <f t="shared" si="114"/>
        <v>5.0830000000000002</v>
      </c>
      <c r="AY76" s="493">
        <f t="shared" si="115"/>
        <v>3.6816</v>
      </c>
      <c r="AZ76" s="495">
        <f t="shared" si="115"/>
        <v>1.4014000000000002</v>
      </c>
    </row>
    <row r="77" spans="1:52" ht="12.95" customHeight="1" x14ac:dyDescent="0.25">
      <c r="A77" s="314">
        <v>13</v>
      </c>
      <c r="B77" s="354">
        <v>5431</v>
      </c>
      <c r="C77" s="355">
        <v>600099016</v>
      </c>
      <c r="D77" s="314">
        <v>70698112</v>
      </c>
      <c r="E77" s="382" t="s">
        <v>456</v>
      </c>
      <c r="F77" s="354">
        <v>3117</v>
      </c>
      <c r="G77" s="317" t="s">
        <v>313</v>
      </c>
      <c r="H77" s="317" t="s">
        <v>279</v>
      </c>
      <c r="I77" s="494">
        <v>111579</v>
      </c>
      <c r="J77" s="489">
        <v>81796</v>
      </c>
      <c r="K77" s="489">
        <v>0</v>
      </c>
      <c r="L77" s="489">
        <v>27647</v>
      </c>
      <c r="M77" s="489">
        <v>1636</v>
      </c>
      <c r="N77" s="489">
        <v>500</v>
      </c>
      <c r="O77" s="490">
        <v>0.29000000000000004</v>
      </c>
      <c r="P77" s="491">
        <v>0.29000000000000004</v>
      </c>
      <c r="Q77" s="500">
        <v>0</v>
      </c>
      <c r="R77" s="502">
        <f t="shared" ref="R77:R140" si="116">W77*-1</f>
        <v>0</v>
      </c>
      <c r="S77" s="492">
        <v>0</v>
      </c>
      <c r="T77" s="492">
        <v>0</v>
      </c>
      <c r="U77" s="492">
        <v>0</v>
      </c>
      <c r="V77" s="492">
        <f t="shared" ref="V77:V140" si="117">SUM(R77:U77)</f>
        <v>0</v>
      </c>
      <c r="W77" s="713">
        <v>0</v>
      </c>
      <c r="X77" s="492">
        <v>0</v>
      </c>
      <c r="Y77" s="492">
        <v>0</v>
      </c>
      <c r="Z77" s="492">
        <f t="shared" si="103"/>
        <v>0</v>
      </c>
      <c r="AA77" s="492">
        <f t="shared" si="104"/>
        <v>0</v>
      </c>
      <c r="AB77" s="74">
        <f t="shared" si="105"/>
        <v>0</v>
      </c>
      <c r="AC77" s="74">
        <f t="shared" si="106"/>
        <v>0</v>
      </c>
      <c r="AD77" s="492">
        <v>0</v>
      </c>
      <c r="AE77" s="492">
        <v>0</v>
      </c>
      <c r="AF77" s="492">
        <f t="shared" ref="AF77:AF140" si="118">SUM(AD77:AE77)</f>
        <v>0</v>
      </c>
      <c r="AG77" s="492">
        <f t="shared" ref="AG77:AG140" si="119">AA77+AB77+AC77+AF77</f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si="107"/>
        <v>0</v>
      </c>
      <c r="AP77" s="493">
        <f t="shared" si="108"/>
        <v>0</v>
      </c>
      <c r="AQ77" s="495">
        <f t="shared" ref="AQ77:AQ140" si="120">SUM(AO77:AP77)</f>
        <v>0</v>
      </c>
      <c r="AR77" s="501">
        <f t="shared" si="109"/>
        <v>111579</v>
      </c>
      <c r="AS77" s="492">
        <f t="shared" si="110"/>
        <v>81796</v>
      </c>
      <c r="AT77" s="492">
        <f t="shared" si="111"/>
        <v>0</v>
      </c>
      <c r="AU77" s="492">
        <f t="shared" si="112"/>
        <v>27647</v>
      </c>
      <c r="AV77" s="492">
        <f t="shared" si="112"/>
        <v>1636</v>
      </c>
      <c r="AW77" s="492">
        <f t="shared" si="113"/>
        <v>500</v>
      </c>
      <c r="AX77" s="493">
        <f t="shared" si="114"/>
        <v>0.29000000000000004</v>
      </c>
      <c r="AY77" s="493">
        <f t="shared" si="115"/>
        <v>0.29000000000000004</v>
      </c>
      <c r="AZ77" s="495">
        <f t="shared" si="115"/>
        <v>0</v>
      </c>
    </row>
    <row r="78" spans="1:52" ht="12.95" customHeight="1" x14ac:dyDescent="0.25">
      <c r="A78" s="314">
        <v>13</v>
      </c>
      <c r="B78" s="354">
        <v>5431</v>
      </c>
      <c r="C78" s="355">
        <v>600099016</v>
      </c>
      <c r="D78" s="314">
        <v>70698112</v>
      </c>
      <c r="E78" s="382" t="s">
        <v>456</v>
      </c>
      <c r="F78" s="354">
        <v>3141</v>
      </c>
      <c r="G78" s="378" t="s">
        <v>316</v>
      </c>
      <c r="H78" s="317" t="s">
        <v>279</v>
      </c>
      <c r="I78" s="494">
        <v>743777</v>
      </c>
      <c r="J78" s="489">
        <v>545479</v>
      </c>
      <c r="K78" s="489">
        <v>0</v>
      </c>
      <c r="L78" s="489">
        <v>184372</v>
      </c>
      <c r="M78" s="489">
        <v>10910</v>
      </c>
      <c r="N78" s="489">
        <v>3016</v>
      </c>
      <c r="O78" s="490">
        <v>1.72</v>
      </c>
      <c r="P78" s="491">
        <v>0</v>
      </c>
      <c r="Q78" s="500">
        <v>1.72</v>
      </c>
      <c r="R78" s="502">
        <f t="shared" si="116"/>
        <v>0</v>
      </c>
      <c r="S78" s="492">
        <v>0</v>
      </c>
      <c r="T78" s="492">
        <v>0</v>
      </c>
      <c r="U78" s="492">
        <v>0</v>
      </c>
      <c r="V78" s="492">
        <f t="shared" si="117"/>
        <v>0</v>
      </c>
      <c r="W78" s="713">
        <v>0</v>
      </c>
      <c r="X78" s="492">
        <v>0</v>
      </c>
      <c r="Y78" s="492">
        <v>0</v>
      </c>
      <c r="Z78" s="492">
        <f t="shared" si="103"/>
        <v>0</v>
      </c>
      <c r="AA78" s="492">
        <f t="shared" si="104"/>
        <v>0</v>
      </c>
      <c r="AB78" s="74">
        <f t="shared" si="105"/>
        <v>0</v>
      </c>
      <c r="AC78" s="74">
        <f t="shared" si="106"/>
        <v>0</v>
      </c>
      <c r="AD78" s="492">
        <v>0</v>
      </c>
      <c r="AE78" s="492">
        <v>0</v>
      </c>
      <c r="AF78" s="492">
        <f t="shared" si="118"/>
        <v>0</v>
      </c>
      <c r="AG78" s="492">
        <f t="shared" si="119"/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107"/>
        <v>0</v>
      </c>
      <c r="AP78" s="493">
        <f t="shared" si="108"/>
        <v>0</v>
      </c>
      <c r="AQ78" s="495">
        <f t="shared" si="120"/>
        <v>0</v>
      </c>
      <c r="AR78" s="501">
        <f t="shared" si="109"/>
        <v>743777</v>
      </c>
      <c r="AS78" s="492">
        <f t="shared" si="110"/>
        <v>545479</v>
      </c>
      <c r="AT78" s="492">
        <f t="shared" si="111"/>
        <v>0</v>
      </c>
      <c r="AU78" s="492">
        <f t="shared" si="112"/>
        <v>184372</v>
      </c>
      <c r="AV78" s="492">
        <f t="shared" si="112"/>
        <v>10910</v>
      </c>
      <c r="AW78" s="492">
        <f t="shared" si="113"/>
        <v>3016</v>
      </c>
      <c r="AX78" s="493">
        <f t="shared" si="114"/>
        <v>1.72</v>
      </c>
      <c r="AY78" s="493">
        <f t="shared" si="115"/>
        <v>0</v>
      </c>
      <c r="AZ78" s="495">
        <f t="shared" si="115"/>
        <v>1.72</v>
      </c>
    </row>
    <row r="79" spans="1:52" ht="12.95" customHeight="1" x14ac:dyDescent="0.25">
      <c r="A79" s="314">
        <v>13</v>
      </c>
      <c r="B79" s="354">
        <v>5431</v>
      </c>
      <c r="C79" s="355">
        <v>600099016</v>
      </c>
      <c r="D79" s="314">
        <v>70698112</v>
      </c>
      <c r="E79" s="382" t="s">
        <v>456</v>
      </c>
      <c r="F79" s="354">
        <v>3143</v>
      </c>
      <c r="G79" s="317" t="s">
        <v>629</v>
      </c>
      <c r="H79" s="317" t="s">
        <v>278</v>
      </c>
      <c r="I79" s="494">
        <v>447425</v>
      </c>
      <c r="J79" s="489">
        <v>329474</v>
      </c>
      <c r="K79" s="489">
        <v>0</v>
      </c>
      <c r="L79" s="489">
        <v>111362</v>
      </c>
      <c r="M79" s="489">
        <v>6589</v>
      </c>
      <c r="N79" s="489">
        <v>0</v>
      </c>
      <c r="O79" s="490">
        <v>0.67800000000000005</v>
      </c>
      <c r="P79" s="491">
        <v>0.67800000000000005</v>
      </c>
      <c r="Q79" s="500">
        <v>0</v>
      </c>
      <c r="R79" s="502">
        <f t="shared" si="116"/>
        <v>0</v>
      </c>
      <c r="S79" s="492">
        <v>0</v>
      </c>
      <c r="T79" s="492">
        <v>0</v>
      </c>
      <c r="U79" s="492">
        <v>0</v>
      </c>
      <c r="V79" s="492">
        <f t="shared" si="117"/>
        <v>0</v>
      </c>
      <c r="W79" s="713">
        <v>0</v>
      </c>
      <c r="X79" s="492">
        <v>0</v>
      </c>
      <c r="Y79" s="492">
        <v>0</v>
      </c>
      <c r="Z79" s="492">
        <f t="shared" si="103"/>
        <v>0</v>
      </c>
      <c r="AA79" s="492">
        <f t="shared" si="104"/>
        <v>0</v>
      </c>
      <c r="AB79" s="74">
        <f t="shared" si="105"/>
        <v>0</v>
      </c>
      <c r="AC79" s="74">
        <f t="shared" si="106"/>
        <v>0</v>
      </c>
      <c r="AD79" s="492">
        <v>0</v>
      </c>
      <c r="AE79" s="492">
        <v>0</v>
      </c>
      <c r="AF79" s="492">
        <f t="shared" si="118"/>
        <v>0</v>
      </c>
      <c r="AG79" s="492">
        <f t="shared" si="119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107"/>
        <v>0</v>
      </c>
      <c r="AP79" s="493">
        <f t="shared" si="108"/>
        <v>0</v>
      </c>
      <c r="AQ79" s="495">
        <f t="shared" si="120"/>
        <v>0</v>
      </c>
      <c r="AR79" s="501">
        <f t="shared" si="109"/>
        <v>447425</v>
      </c>
      <c r="AS79" s="492">
        <f t="shared" si="110"/>
        <v>329474</v>
      </c>
      <c r="AT79" s="492">
        <f t="shared" si="111"/>
        <v>0</v>
      </c>
      <c r="AU79" s="492">
        <f t="shared" si="112"/>
        <v>111362</v>
      </c>
      <c r="AV79" s="492">
        <f t="shared" si="112"/>
        <v>6589</v>
      </c>
      <c r="AW79" s="492">
        <f t="shared" si="113"/>
        <v>0</v>
      </c>
      <c r="AX79" s="493">
        <f t="shared" si="114"/>
        <v>0.67800000000000005</v>
      </c>
      <c r="AY79" s="493">
        <f t="shared" si="115"/>
        <v>0.67800000000000005</v>
      </c>
      <c r="AZ79" s="495">
        <f t="shared" si="115"/>
        <v>0</v>
      </c>
    </row>
    <row r="80" spans="1:52" ht="12.95" customHeight="1" x14ac:dyDescent="0.25">
      <c r="A80" s="314">
        <v>13</v>
      </c>
      <c r="B80" s="354">
        <v>5431</v>
      </c>
      <c r="C80" s="355">
        <v>600099016</v>
      </c>
      <c r="D80" s="314">
        <v>70698112</v>
      </c>
      <c r="E80" s="382" t="s">
        <v>456</v>
      </c>
      <c r="F80" s="354">
        <v>3143</v>
      </c>
      <c r="G80" s="317" t="s">
        <v>630</v>
      </c>
      <c r="H80" s="317" t="s">
        <v>279</v>
      </c>
      <c r="I80" s="494">
        <v>15120</v>
      </c>
      <c r="J80" s="489">
        <v>10692</v>
      </c>
      <c r="K80" s="489">
        <v>0</v>
      </c>
      <c r="L80" s="489">
        <v>3614</v>
      </c>
      <c r="M80" s="489">
        <v>214</v>
      </c>
      <c r="N80" s="489">
        <v>600</v>
      </c>
      <c r="O80" s="490">
        <v>0.04</v>
      </c>
      <c r="P80" s="491">
        <v>0</v>
      </c>
      <c r="Q80" s="500">
        <v>0.04</v>
      </c>
      <c r="R80" s="502">
        <f t="shared" si="116"/>
        <v>0</v>
      </c>
      <c r="S80" s="492">
        <v>0</v>
      </c>
      <c r="T80" s="492">
        <v>0</v>
      </c>
      <c r="U80" s="492">
        <v>0</v>
      </c>
      <c r="V80" s="492">
        <f t="shared" si="117"/>
        <v>0</v>
      </c>
      <c r="W80" s="713">
        <v>0</v>
      </c>
      <c r="X80" s="492">
        <v>0</v>
      </c>
      <c r="Y80" s="492">
        <v>0</v>
      </c>
      <c r="Z80" s="492">
        <f t="shared" si="103"/>
        <v>0</v>
      </c>
      <c r="AA80" s="492">
        <f t="shared" si="104"/>
        <v>0</v>
      </c>
      <c r="AB80" s="74">
        <f t="shared" si="105"/>
        <v>0</v>
      </c>
      <c r="AC80" s="74">
        <f t="shared" si="106"/>
        <v>0</v>
      </c>
      <c r="AD80" s="492">
        <v>0</v>
      </c>
      <c r="AE80" s="492">
        <v>0</v>
      </c>
      <c r="AF80" s="492">
        <f t="shared" si="118"/>
        <v>0</v>
      </c>
      <c r="AG80" s="492">
        <f t="shared" si="119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107"/>
        <v>0</v>
      </c>
      <c r="AP80" s="493">
        <f t="shared" si="108"/>
        <v>0</v>
      </c>
      <c r="AQ80" s="495">
        <f t="shared" si="120"/>
        <v>0</v>
      </c>
      <c r="AR80" s="501">
        <f t="shared" si="109"/>
        <v>15120</v>
      </c>
      <c r="AS80" s="492">
        <f t="shared" si="110"/>
        <v>10692</v>
      </c>
      <c r="AT80" s="492">
        <f t="shared" si="111"/>
        <v>0</v>
      </c>
      <c r="AU80" s="492">
        <f t="shared" si="112"/>
        <v>3614</v>
      </c>
      <c r="AV80" s="492">
        <f t="shared" si="112"/>
        <v>214</v>
      </c>
      <c r="AW80" s="492">
        <f t="shared" si="113"/>
        <v>600</v>
      </c>
      <c r="AX80" s="493">
        <f t="shared" si="114"/>
        <v>0.04</v>
      </c>
      <c r="AY80" s="493">
        <f t="shared" si="115"/>
        <v>0</v>
      </c>
      <c r="AZ80" s="495">
        <f t="shared" si="115"/>
        <v>0.04</v>
      </c>
    </row>
    <row r="81" spans="1:52" ht="12.95" customHeight="1" x14ac:dyDescent="0.25">
      <c r="A81" s="324">
        <v>13</v>
      </c>
      <c r="B81" s="358">
        <v>5431</v>
      </c>
      <c r="C81" s="359">
        <v>600099016</v>
      </c>
      <c r="D81" s="358">
        <v>70698112</v>
      </c>
      <c r="E81" s="383" t="s">
        <v>457</v>
      </c>
      <c r="F81" s="387"/>
      <c r="G81" s="388"/>
      <c r="H81" s="389"/>
      <c r="I81" s="616">
        <v>6331648</v>
      </c>
      <c r="J81" s="614">
        <v>4603430</v>
      </c>
      <c r="K81" s="614">
        <v>13000</v>
      </c>
      <c r="L81" s="614">
        <v>1560354</v>
      </c>
      <c r="M81" s="614">
        <v>92068</v>
      </c>
      <c r="N81" s="614">
        <v>62796</v>
      </c>
      <c r="O81" s="615">
        <v>10.321899999999999</v>
      </c>
      <c r="P81" s="615">
        <v>6.6495999999999995</v>
      </c>
      <c r="Q81" s="617">
        <v>3.6722999999999999</v>
      </c>
      <c r="R81" s="616">
        <f t="shared" ref="R81:AZ81" si="121">SUM(R75:R80)</f>
        <v>0</v>
      </c>
      <c r="S81" s="614">
        <f t="shared" si="121"/>
        <v>0</v>
      </c>
      <c r="T81" s="614">
        <f t="shared" si="121"/>
        <v>0</v>
      </c>
      <c r="U81" s="614">
        <f t="shared" si="121"/>
        <v>0</v>
      </c>
      <c r="V81" s="614">
        <f t="shared" si="121"/>
        <v>0</v>
      </c>
      <c r="W81" s="614">
        <f t="shared" si="121"/>
        <v>0</v>
      </c>
      <c r="X81" s="614">
        <f t="shared" si="121"/>
        <v>0</v>
      </c>
      <c r="Y81" s="614">
        <f t="shared" si="121"/>
        <v>0</v>
      </c>
      <c r="Z81" s="614">
        <f t="shared" si="121"/>
        <v>0</v>
      </c>
      <c r="AA81" s="614">
        <f t="shared" si="121"/>
        <v>0</v>
      </c>
      <c r="AB81" s="614">
        <f t="shared" si="121"/>
        <v>0</v>
      </c>
      <c r="AC81" s="614">
        <f t="shared" si="121"/>
        <v>0</v>
      </c>
      <c r="AD81" s="614">
        <f t="shared" si="121"/>
        <v>0</v>
      </c>
      <c r="AE81" s="614">
        <f t="shared" si="121"/>
        <v>0</v>
      </c>
      <c r="AF81" s="614">
        <f t="shared" si="121"/>
        <v>0</v>
      </c>
      <c r="AG81" s="614">
        <f t="shared" si="121"/>
        <v>0</v>
      </c>
      <c r="AH81" s="615">
        <f t="shared" si="121"/>
        <v>0</v>
      </c>
      <c r="AI81" s="615">
        <f t="shared" si="121"/>
        <v>0</v>
      </c>
      <c r="AJ81" s="615">
        <f t="shared" si="121"/>
        <v>0</v>
      </c>
      <c r="AK81" s="615">
        <f t="shared" si="121"/>
        <v>0</v>
      </c>
      <c r="AL81" s="615">
        <f t="shared" si="121"/>
        <v>0</v>
      </c>
      <c r="AM81" s="615">
        <f t="shared" si="121"/>
        <v>0</v>
      </c>
      <c r="AN81" s="615">
        <f t="shared" si="121"/>
        <v>0</v>
      </c>
      <c r="AO81" s="615">
        <f t="shared" si="121"/>
        <v>0</v>
      </c>
      <c r="AP81" s="615">
        <f t="shared" si="121"/>
        <v>0</v>
      </c>
      <c r="AQ81" s="386">
        <f t="shared" si="121"/>
        <v>0</v>
      </c>
      <c r="AR81" s="618">
        <f t="shared" si="121"/>
        <v>6331648</v>
      </c>
      <c r="AS81" s="614">
        <f t="shared" si="121"/>
        <v>4603430</v>
      </c>
      <c r="AT81" s="614">
        <f t="shared" si="121"/>
        <v>13000</v>
      </c>
      <c r="AU81" s="614">
        <f t="shared" si="121"/>
        <v>1560354</v>
      </c>
      <c r="AV81" s="614">
        <f t="shared" si="121"/>
        <v>92068</v>
      </c>
      <c r="AW81" s="614">
        <f t="shared" si="121"/>
        <v>62796</v>
      </c>
      <c r="AX81" s="615">
        <f t="shared" si="121"/>
        <v>10.321899999999999</v>
      </c>
      <c r="AY81" s="615">
        <f t="shared" si="121"/>
        <v>6.6495999999999995</v>
      </c>
      <c r="AZ81" s="386">
        <f t="shared" si="121"/>
        <v>3.6722999999999999</v>
      </c>
    </row>
    <row r="82" spans="1:52" ht="12.95" customHeight="1" x14ac:dyDescent="0.25">
      <c r="A82" s="314">
        <v>14</v>
      </c>
      <c r="B82" s="354">
        <v>5487</v>
      </c>
      <c r="C82" s="355">
        <v>600098796</v>
      </c>
      <c r="D82" s="314">
        <v>71006753</v>
      </c>
      <c r="E82" s="382" t="s">
        <v>458</v>
      </c>
      <c r="F82" s="354">
        <v>3111</v>
      </c>
      <c r="G82" s="378" t="s">
        <v>326</v>
      </c>
      <c r="H82" s="317" t="s">
        <v>278</v>
      </c>
      <c r="I82" s="494">
        <v>1414137</v>
      </c>
      <c r="J82" s="489">
        <v>1005340</v>
      </c>
      <c r="K82" s="489">
        <v>32500</v>
      </c>
      <c r="L82" s="489">
        <v>350790</v>
      </c>
      <c r="M82" s="489">
        <v>20107</v>
      </c>
      <c r="N82" s="489">
        <v>5400</v>
      </c>
      <c r="O82" s="490">
        <v>2.4264000000000001</v>
      </c>
      <c r="P82" s="491">
        <v>1.8064</v>
      </c>
      <c r="Q82" s="500">
        <v>0.62</v>
      </c>
      <c r="R82" s="502">
        <f t="shared" si="116"/>
        <v>0</v>
      </c>
      <c r="S82" s="492">
        <v>0</v>
      </c>
      <c r="T82" s="492">
        <v>0</v>
      </c>
      <c r="U82" s="492">
        <v>0</v>
      </c>
      <c r="V82" s="492">
        <f t="shared" si="117"/>
        <v>0</v>
      </c>
      <c r="W82" s="713">
        <v>0</v>
      </c>
      <c r="X82" s="492">
        <v>0</v>
      </c>
      <c r="Y82" s="492">
        <v>0</v>
      </c>
      <c r="Z82" s="492">
        <f>SUM(W82:Y82)</f>
        <v>0</v>
      </c>
      <c r="AA82" s="492">
        <f>V82+Z82</f>
        <v>0</v>
      </c>
      <c r="AB82" s="74">
        <f>ROUND((V82+W82+X82)*33.8%,0)</f>
        <v>0</v>
      </c>
      <c r="AC82" s="74">
        <f>ROUND(V82*2%,0)</f>
        <v>0</v>
      </c>
      <c r="AD82" s="492">
        <v>0</v>
      </c>
      <c r="AE82" s="492">
        <v>0</v>
      </c>
      <c r="AF82" s="492">
        <f t="shared" si="118"/>
        <v>0</v>
      </c>
      <c r="AG82" s="492">
        <f t="shared" si="119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ref="AO82:AO84" si="122">AH82+AJ82+AK82+AM82</f>
        <v>0</v>
      </c>
      <c r="AP82" s="493">
        <f t="shared" ref="AP82:AP84" si="123">AI82+AN82+AL82</f>
        <v>0</v>
      </c>
      <c r="AQ82" s="495">
        <f t="shared" si="120"/>
        <v>0</v>
      </c>
      <c r="AR82" s="501">
        <f>I82+AG82</f>
        <v>1414137</v>
      </c>
      <c r="AS82" s="492">
        <f>J82+V82</f>
        <v>1005340</v>
      </c>
      <c r="AT82" s="492">
        <f t="shared" ref="AT82:AT84" si="124">K82+Z82</f>
        <v>32500</v>
      </c>
      <c r="AU82" s="492">
        <f t="shared" ref="AU82:AV84" si="125">L82+AB82</f>
        <v>350790</v>
      </c>
      <c r="AV82" s="492">
        <f t="shared" si="125"/>
        <v>20107</v>
      </c>
      <c r="AW82" s="492">
        <f>N82+AF82</f>
        <v>5400</v>
      </c>
      <c r="AX82" s="493">
        <f>O82+AQ82</f>
        <v>2.4264000000000001</v>
      </c>
      <c r="AY82" s="493">
        <f t="shared" ref="AY82:AZ84" si="126">P82+AO82</f>
        <v>1.8064</v>
      </c>
      <c r="AZ82" s="495">
        <f t="shared" si="126"/>
        <v>0.62</v>
      </c>
    </row>
    <row r="83" spans="1:52" ht="12.95" customHeight="1" x14ac:dyDescent="0.25">
      <c r="A83" s="314">
        <v>14</v>
      </c>
      <c r="B83" s="354">
        <v>5487</v>
      </c>
      <c r="C83" s="355">
        <v>600098796</v>
      </c>
      <c r="D83" s="314">
        <v>71006753</v>
      </c>
      <c r="E83" s="382" t="s">
        <v>458</v>
      </c>
      <c r="F83" s="354">
        <v>3111</v>
      </c>
      <c r="G83" s="317" t="s">
        <v>313</v>
      </c>
      <c r="H83" s="317" t="s">
        <v>279</v>
      </c>
      <c r="I83" s="494">
        <v>235235</v>
      </c>
      <c r="J83" s="489">
        <v>173222</v>
      </c>
      <c r="K83" s="489">
        <v>0</v>
      </c>
      <c r="L83" s="489">
        <v>58549</v>
      </c>
      <c r="M83" s="489">
        <v>3464</v>
      </c>
      <c r="N83" s="489">
        <v>0</v>
      </c>
      <c r="O83" s="490">
        <v>0.5</v>
      </c>
      <c r="P83" s="491">
        <v>0.5</v>
      </c>
      <c r="Q83" s="500">
        <v>0</v>
      </c>
      <c r="R83" s="502">
        <f t="shared" si="116"/>
        <v>0</v>
      </c>
      <c r="S83" s="492">
        <v>0</v>
      </c>
      <c r="T83" s="492">
        <v>0</v>
      </c>
      <c r="U83" s="492">
        <v>0</v>
      </c>
      <c r="V83" s="492">
        <f t="shared" si="117"/>
        <v>0</v>
      </c>
      <c r="W83" s="713">
        <v>0</v>
      </c>
      <c r="X83" s="492">
        <v>0</v>
      </c>
      <c r="Y83" s="492">
        <v>0</v>
      </c>
      <c r="Z83" s="492">
        <f>SUM(W83:Y83)</f>
        <v>0</v>
      </c>
      <c r="AA83" s="492">
        <f>V83+Z83</f>
        <v>0</v>
      </c>
      <c r="AB83" s="74">
        <f>ROUND((V83+W83+X83)*33.8%,0)</f>
        <v>0</v>
      </c>
      <c r="AC83" s="74">
        <f>ROUND(V83*2%,0)</f>
        <v>0</v>
      </c>
      <c r="AD83" s="492">
        <v>0</v>
      </c>
      <c r="AE83" s="492">
        <v>0</v>
      </c>
      <c r="AF83" s="492">
        <f t="shared" si="118"/>
        <v>0</v>
      </c>
      <c r="AG83" s="492">
        <f t="shared" si="119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122"/>
        <v>0</v>
      </c>
      <c r="AP83" s="493">
        <f t="shared" si="123"/>
        <v>0</v>
      </c>
      <c r="AQ83" s="495">
        <f t="shared" si="120"/>
        <v>0</v>
      </c>
      <c r="AR83" s="501">
        <f>I83+AG83</f>
        <v>235235</v>
      </c>
      <c r="AS83" s="492">
        <f>J83+V83</f>
        <v>173222</v>
      </c>
      <c r="AT83" s="492">
        <f t="shared" si="124"/>
        <v>0</v>
      </c>
      <c r="AU83" s="492">
        <f t="shared" si="125"/>
        <v>58549</v>
      </c>
      <c r="AV83" s="492">
        <f t="shared" si="125"/>
        <v>3464</v>
      </c>
      <c r="AW83" s="492">
        <f>N83+AF83</f>
        <v>0</v>
      </c>
      <c r="AX83" s="493">
        <f>O83+AQ83</f>
        <v>0.5</v>
      </c>
      <c r="AY83" s="493">
        <f t="shared" si="126"/>
        <v>0.5</v>
      </c>
      <c r="AZ83" s="495">
        <f t="shared" si="126"/>
        <v>0</v>
      </c>
    </row>
    <row r="84" spans="1:52" ht="12.95" customHeight="1" x14ac:dyDescent="0.25">
      <c r="A84" s="314">
        <v>14</v>
      </c>
      <c r="B84" s="354">
        <v>5487</v>
      </c>
      <c r="C84" s="355">
        <v>600098796</v>
      </c>
      <c r="D84" s="314">
        <v>71006753</v>
      </c>
      <c r="E84" s="382" t="s">
        <v>458</v>
      </c>
      <c r="F84" s="354">
        <v>3141</v>
      </c>
      <c r="G84" s="378" t="s">
        <v>316</v>
      </c>
      <c r="H84" s="317" t="s">
        <v>279</v>
      </c>
      <c r="I84" s="494">
        <v>225461</v>
      </c>
      <c r="J84" s="489">
        <v>165512</v>
      </c>
      <c r="K84" s="489">
        <v>0</v>
      </c>
      <c r="L84" s="489">
        <v>55943</v>
      </c>
      <c r="M84" s="489">
        <v>3310</v>
      </c>
      <c r="N84" s="489">
        <v>696</v>
      </c>
      <c r="O84" s="490">
        <v>0.52</v>
      </c>
      <c r="P84" s="491">
        <v>0</v>
      </c>
      <c r="Q84" s="500">
        <v>0.52</v>
      </c>
      <c r="R84" s="502">
        <f t="shared" si="116"/>
        <v>0</v>
      </c>
      <c r="S84" s="492">
        <v>0</v>
      </c>
      <c r="T84" s="492">
        <v>0</v>
      </c>
      <c r="U84" s="492">
        <v>0</v>
      </c>
      <c r="V84" s="492">
        <f t="shared" si="117"/>
        <v>0</v>
      </c>
      <c r="W84" s="713">
        <v>0</v>
      </c>
      <c r="X84" s="492">
        <v>0</v>
      </c>
      <c r="Y84" s="492">
        <v>0</v>
      </c>
      <c r="Z84" s="492">
        <f>SUM(W84:Y84)</f>
        <v>0</v>
      </c>
      <c r="AA84" s="492">
        <f>V84+Z84</f>
        <v>0</v>
      </c>
      <c r="AB84" s="74">
        <f>ROUND((V84+W84+X84)*33.8%,0)</f>
        <v>0</v>
      </c>
      <c r="AC84" s="74">
        <f>ROUND(V84*2%,0)</f>
        <v>0</v>
      </c>
      <c r="AD84" s="492">
        <v>0</v>
      </c>
      <c r="AE84" s="492">
        <v>0</v>
      </c>
      <c r="AF84" s="492">
        <f t="shared" si="118"/>
        <v>0</v>
      </c>
      <c r="AG84" s="492">
        <f t="shared" si="119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122"/>
        <v>0</v>
      </c>
      <c r="AP84" s="493">
        <f t="shared" si="123"/>
        <v>0</v>
      </c>
      <c r="AQ84" s="495">
        <f t="shared" si="120"/>
        <v>0</v>
      </c>
      <c r="AR84" s="501">
        <f>I84+AG84</f>
        <v>225461</v>
      </c>
      <c r="AS84" s="492">
        <f>J84+V84</f>
        <v>165512</v>
      </c>
      <c r="AT84" s="492">
        <f t="shared" si="124"/>
        <v>0</v>
      </c>
      <c r="AU84" s="492">
        <f t="shared" si="125"/>
        <v>55943</v>
      </c>
      <c r="AV84" s="492">
        <f t="shared" si="125"/>
        <v>3310</v>
      </c>
      <c r="AW84" s="492">
        <f>N84+AF84</f>
        <v>696</v>
      </c>
      <c r="AX84" s="493">
        <f>O84+AQ84</f>
        <v>0.52</v>
      </c>
      <c r="AY84" s="493">
        <f t="shared" si="126"/>
        <v>0</v>
      </c>
      <c r="AZ84" s="495">
        <f t="shared" si="126"/>
        <v>0.52</v>
      </c>
    </row>
    <row r="85" spans="1:52" ht="12.95" customHeight="1" x14ac:dyDescent="0.25">
      <c r="A85" s="324">
        <v>14</v>
      </c>
      <c r="B85" s="358">
        <v>5487</v>
      </c>
      <c r="C85" s="359">
        <v>600098796</v>
      </c>
      <c r="D85" s="358">
        <v>71006753</v>
      </c>
      <c r="E85" s="383" t="s">
        <v>459</v>
      </c>
      <c r="F85" s="358"/>
      <c r="G85" s="384"/>
      <c r="H85" s="385"/>
      <c r="I85" s="584">
        <v>1874833</v>
      </c>
      <c r="J85" s="580">
        <v>1344074</v>
      </c>
      <c r="K85" s="580">
        <v>32500</v>
      </c>
      <c r="L85" s="580">
        <v>465282</v>
      </c>
      <c r="M85" s="580">
        <v>26881</v>
      </c>
      <c r="N85" s="580">
        <v>6096</v>
      </c>
      <c r="O85" s="581">
        <v>3.4464000000000001</v>
      </c>
      <c r="P85" s="581">
        <v>2.3064</v>
      </c>
      <c r="Q85" s="586">
        <v>1.1400000000000001</v>
      </c>
      <c r="R85" s="584">
        <f t="shared" ref="R85:AZ85" si="127">SUM(R82:R84)</f>
        <v>0</v>
      </c>
      <c r="S85" s="580">
        <f t="shared" si="127"/>
        <v>0</v>
      </c>
      <c r="T85" s="580">
        <f t="shared" si="127"/>
        <v>0</v>
      </c>
      <c r="U85" s="580">
        <f t="shared" si="127"/>
        <v>0</v>
      </c>
      <c r="V85" s="580">
        <f t="shared" si="127"/>
        <v>0</v>
      </c>
      <c r="W85" s="580">
        <f t="shared" si="127"/>
        <v>0</v>
      </c>
      <c r="X85" s="580">
        <f t="shared" si="127"/>
        <v>0</v>
      </c>
      <c r="Y85" s="580">
        <f t="shared" si="127"/>
        <v>0</v>
      </c>
      <c r="Z85" s="580">
        <f t="shared" si="127"/>
        <v>0</v>
      </c>
      <c r="AA85" s="580">
        <f t="shared" si="127"/>
        <v>0</v>
      </c>
      <c r="AB85" s="580">
        <f t="shared" si="127"/>
        <v>0</v>
      </c>
      <c r="AC85" s="580">
        <f t="shared" si="127"/>
        <v>0</v>
      </c>
      <c r="AD85" s="580">
        <f t="shared" si="127"/>
        <v>0</v>
      </c>
      <c r="AE85" s="580">
        <f t="shared" si="127"/>
        <v>0</v>
      </c>
      <c r="AF85" s="580">
        <f t="shared" si="127"/>
        <v>0</v>
      </c>
      <c r="AG85" s="580">
        <f t="shared" si="127"/>
        <v>0</v>
      </c>
      <c r="AH85" s="581">
        <f t="shared" si="127"/>
        <v>0</v>
      </c>
      <c r="AI85" s="581">
        <f t="shared" si="127"/>
        <v>0</v>
      </c>
      <c r="AJ85" s="581">
        <f t="shared" si="127"/>
        <v>0</v>
      </c>
      <c r="AK85" s="581">
        <f t="shared" si="127"/>
        <v>0</v>
      </c>
      <c r="AL85" s="581">
        <f t="shared" si="127"/>
        <v>0</v>
      </c>
      <c r="AM85" s="581">
        <f t="shared" si="127"/>
        <v>0</v>
      </c>
      <c r="AN85" s="581">
        <f t="shared" si="127"/>
        <v>0</v>
      </c>
      <c r="AO85" s="581">
        <f t="shared" si="127"/>
        <v>0</v>
      </c>
      <c r="AP85" s="581">
        <f t="shared" si="127"/>
        <v>0</v>
      </c>
      <c r="AQ85" s="312">
        <f t="shared" si="127"/>
        <v>0</v>
      </c>
      <c r="AR85" s="588">
        <f t="shared" si="127"/>
        <v>1874833</v>
      </c>
      <c r="AS85" s="580">
        <f t="shared" si="127"/>
        <v>1344074</v>
      </c>
      <c r="AT85" s="580">
        <f t="shared" si="127"/>
        <v>32500</v>
      </c>
      <c r="AU85" s="580">
        <f t="shared" si="127"/>
        <v>465282</v>
      </c>
      <c r="AV85" s="580">
        <f t="shared" si="127"/>
        <v>26881</v>
      </c>
      <c r="AW85" s="580">
        <f t="shared" si="127"/>
        <v>6096</v>
      </c>
      <c r="AX85" s="581">
        <f t="shared" si="127"/>
        <v>3.4464000000000001</v>
      </c>
      <c r="AY85" s="581">
        <f t="shared" si="127"/>
        <v>2.3064</v>
      </c>
      <c r="AZ85" s="312">
        <f t="shared" si="127"/>
        <v>1.1400000000000001</v>
      </c>
    </row>
    <row r="86" spans="1:52" ht="12.95" customHeight="1" x14ac:dyDescent="0.25">
      <c r="A86" s="314">
        <v>15</v>
      </c>
      <c r="B86" s="354">
        <v>5436</v>
      </c>
      <c r="C86" s="355">
        <v>600098800</v>
      </c>
      <c r="D86" s="314">
        <v>72742992</v>
      </c>
      <c r="E86" s="382" t="s">
        <v>460</v>
      </c>
      <c r="F86" s="354">
        <v>3111</v>
      </c>
      <c r="G86" s="378" t="s">
        <v>326</v>
      </c>
      <c r="H86" s="317" t="s">
        <v>278</v>
      </c>
      <c r="I86" s="494">
        <v>3676598</v>
      </c>
      <c r="J86" s="489">
        <v>2654643</v>
      </c>
      <c r="K86" s="489">
        <v>37700</v>
      </c>
      <c r="L86" s="489">
        <v>910012</v>
      </c>
      <c r="M86" s="489">
        <v>53093</v>
      </c>
      <c r="N86" s="489">
        <v>21150</v>
      </c>
      <c r="O86" s="490">
        <v>5.5235000000000003</v>
      </c>
      <c r="P86" s="491">
        <v>4.1935000000000002</v>
      </c>
      <c r="Q86" s="500">
        <v>1.33</v>
      </c>
      <c r="R86" s="502">
        <f t="shared" si="116"/>
        <v>0</v>
      </c>
      <c r="S86" s="492">
        <v>0</v>
      </c>
      <c r="T86" s="492">
        <v>0</v>
      </c>
      <c r="U86" s="492">
        <v>0</v>
      </c>
      <c r="V86" s="492">
        <f t="shared" si="117"/>
        <v>0</v>
      </c>
      <c r="W86" s="713">
        <v>0</v>
      </c>
      <c r="X86" s="492">
        <v>0</v>
      </c>
      <c r="Y86" s="492">
        <v>0</v>
      </c>
      <c r="Z86" s="492">
        <f>SUM(W86:Y86)</f>
        <v>0</v>
      </c>
      <c r="AA86" s="492">
        <f>V86+Z86</f>
        <v>0</v>
      </c>
      <c r="AB86" s="74">
        <f>ROUND((V86+W86+X86)*33.8%,0)</f>
        <v>0</v>
      </c>
      <c r="AC86" s="74">
        <f>ROUND(V86*2%,0)</f>
        <v>0</v>
      </c>
      <c r="AD86" s="492">
        <v>0</v>
      </c>
      <c r="AE86" s="492">
        <v>0</v>
      </c>
      <c r="AF86" s="492">
        <f t="shared" si="118"/>
        <v>0</v>
      </c>
      <c r="AG86" s="492">
        <f t="shared" si="119"/>
        <v>0</v>
      </c>
      <c r="AH86" s="493">
        <v>0</v>
      </c>
      <c r="AI86" s="493">
        <v>0</v>
      </c>
      <c r="AJ86" s="493">
        <v>0</v>
      </c>
      <c r="AK86" s="493">
        <v>0</v>
      </c>
      <c r="AL86" s="493">
        <v>0</v>
      </c>
      <c r="AM86" s="493">
        <v>0</v>
      </c>
      <c r="AN86" s="493">
        <v>0</v>
      </c>
      <c r="AO86" s="493">
        <f t="shared" ref="AO86:AO88" si="128">AH86+AJ86+AK86+AM86</f>
        <v>0</v>
      </c>
      <c r="AP86" s="493">
        <f t="shared" ref="AP86:AP88" si="129">AI86+AN86+AL86</f>
        <v>0</v>
      </c>
      <c r="AQ86" s="495">
        <f t="shared" si="120"/>
        <v>0</v>
      </c>
      <c r="AR86" s="501">
        <f>I86+AG86</f>
        <v>3676598</v>
      </c>
      <c r="AS86" s="492">
        <f>J86+V86</f>
        <v>2654643</v>
      </c>
      <c r="AT86" s="492">
        <f t="shared" ref="AT86:AT88" si="130">K86+Z86</f>
        <v>37700</v>
      </c>
      <c r="AU86" s="492">
        <f t="shared" ref="AU86:AV88" si="131">L86+AB86</f>
        <v>910012</v>
      </c>
      <c r="AV86" s="492">
        <f t="shared" si="131"/>
        <v>53093</v>
      </c>
      <c r="AW86" s="492">
        <f>N86+AF86</f>
        <v>21150</v>
      </c>
      <c r="AX86" s="493">
        <f>O86+AQ86</f>
        <v>5.5235000000000003</v>
      </c>
      <c r="AY86" s="493">
        <f t="shared" ref="AY86:AZ88" si="132">P86+AO86</f>
        <v>4.1935000000000002</v>
      </c>
      <c r="AZ86" s="495">
        <f t="shared" si="132"/>
        <v>1.33</v>
      </c>
    </row>
    <row r="87" spans="1:52" ht="12.95" customHeight="1" x14ac:dyDescent="0.25">
      <c r="A87" s="314">
        <v>15</v>
      </c>
      <c r="B87" s="354">
        <v>5436</v>
      </c>
      <c r="C87" s="355">
        <v>600098800</v>
      </c>
      <c r="D87" s="314">
        <v>72742992</v>
      </c>
      <c r="E87" s="382" t="s">
        <v>460</v>
      </c>
      <c r="F87" s="354">
        <v>3111</v>
      </c>
      <c r="G87" s="378" t="s">
        <v>313</v>
      </c>
      <c r="H87" s="317" t="s">
        <v>279</v>
      </c>
      <c r="I87" s="494">
        <v>117618</v>
      </c>
      <c r="J87" s="489">
        <v>86611</v>
      </c>
      <c r="K87" s="489">
        <v>0</v>
      </c>
      <c r="L87" s="489">
        <v>29275</v>
      </c>
      <c r="M87" s="489">
        <v>1732</v>
      </c>
      <c r="N87" s="489">
        <v>0</v>
      </c>
      <c r="O87" s="490">
        <v>0.25</v>
      </c>
      <c r="P87" s="491">
        <v>0.25</v>
      </c>
      <c r="Q87" s="500">
        <v>0</v>
      </c>
      <c r="R87" s="502">
        <f t="shared" si="116"/>
        <v>0</v>
      </c>
      <c r="S87" s="492">
        <v>0</v>
      </c>
      <c r="T87" s="492">
        <v>0</v>
      </c>
      <c r="U87" s="492">
        <v>0</v>
      </c>
      <c r="V87" s="492">
        <f t="shared" si="117"/>
        <v>0</v>
      </c>
      <c r="W87" s="713">
        <v>0</v>
      </c>
      <c r="X87" s="492">
        <v>0</v>
      </c>
      <c r="Y87" s="492">
        <v>0</v>
      </c>
      <c r="Z87" s="492">
        <f>SUM(W87:Y87)</f>
        <v>0</v>
      </c>
      <c r="AA87" s="492">
        <f>V87+Z87</f>
        <v>0</v>
      </c>
      <c r="AB87" s="74">
        <f>ROUND((V87+W87+X87)*33.8%,0)</f>
        <v>0</v>
      </c>
      <c r="AC87" s="74">
        <f>ROUND(V87*2%,0)</f>
        <v>0</v>
      </c>
      <c r="AD87" s="492">
        <v>0</v>
      </c>
      <c r="AE87" s="492">
        <v>0</v>
      </c>
      <c r="AF87" s="492">
        <f t="shared" si="118"/>
        <v>0</v>
      </c>
      <c r="AG87" s="492">
        <f t="shared" si="119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128"/>
        <v>0</v>
      </c>
      <c r="AP87" s="493">
        <f t="shared" si="129"/>
        <v>0</v>
      </c>
      <c r="AQ87" s="495">
        <f t="shared" si="120"/>
        <v>0</v>
      </c>
      <c r="AR87" s="501">
        <f>I87+AG87</f>
        <v>117618</v>
      </c>
      <c r="AS87" s="492">
        <f>J87+V87</f>
        <v>86611</v>
      </c>
      <c r="AT87" s="492">
        <f t="shared" si="130"/>
        <v>0</v>
      </c>
      <c r="AU87" s="492">
        <f t="shared" si="131"/>
        <v>29275</v>
      </c>
      <c r="AV87" s="492">
        <f t="shared" si="131"/>
        <v>1732</v>
      </c>
      <c r="AW87" s="492">
        <f>N87+AF87</f>
        <v>0</v>
      </c>
      <c r="AX87" s="493">
        <f>O87+AQ87</f>
        <v>0.25</v>
      </c>
      <c r="AY87" s="493">
        <f t="shared" si="132"/>
        <v>0.25</v>
      </c>
      <c r="AZ87" s="495">
        <f t="shared" si="132"/>
        <v>0</v>
      </c>
    </row>
    <row r="88" spans="1:52" ht="12.95" customHeight="1" x14ac:dyDescent="0.25">
      <c r="A88" s="314">
        <v>15</v>
      </c>
      <c r="B88" s="314">
        <v>5436</v>
      </c>
      <c r="C88" s="363">
        <v>600098800</v>
      </c>
      <c r="D88" s="314">
        <v>72742992</v>
      </c>
      <c r="E88" s="316" t="s">
        <v>460</v>
      </c>
      <c r="F88" s="314">
        <v>3141</v>
      </c>
      <c r="G88" s="378" t="s">
        <v>316</v>
      </c>
      <c r="H88" s="317" t="s">
        <v>279</v>
      </c>
      <c r="I88" s="494">
        <v>668757</v>
      </c>
      <c r="J88" s="489">
        <v>490407</v>
      </c>
      <c r="K88" s="489">
        <v>0</v>
      </c>
      <c r="L88" s="489">
        <v>165758</v>
      </c>
      <c r="M88" s="489">
        <v>9808</v>
      </c>
      <c r="N88" s="489">
        <v>2784</v>
      </c>
      <c r="O88" s="490">
        <v>1.54</v>
      </c>
      <c r="P88" s="491">
        <v>0</v>
      </c>
      <c r="Q88" s="500">
        <v>1.54</v>
      </c>
      <c r="R88" s="502">
        <f t="shared" si="116"/>
        <v>0</v>
      </c>
      <c r="S88" s="492">
        <v>0</v>
      </c>
      <c r="T88" s="492">
        <v>0</v>
      </c>
      <c r="U88" s="492">
        <v>0</v>
      </c>
      <c r="V88" s="492">
        <f t="shared" si="117"/>
        <v>0</v>
      </c>
      <c r="W88" s="713">
        <v>0</v>
      </c>
      <c r="X88" s="492">
        <v>0</v>
      </c>
      <c r="Y88" s="492">
        <v>0</v>
      </c>
      <c r="Z88" s="492">
        <f>SUM(W88:Y88)</f>
        <v>0</v>
      </c>
      <c r="AA88" s="492">
        <f>V88+Z88</f>
        <v>0</v>
      </c>
      <c r="AB88" s="74">
        <f>ROUND((V88+W88+X88)*33.8%,0)</f>
        <v>0</v>
      </c>
      <c r="AC88" s="74">
        <f>ROUND(V88*2%,0)</f>
        <v>0</v>
      </c>
      <c r="AD88" s="492">
        <v>0</v>
      </c>
      <c r="AE88" s="492">
        <v>0</v>
      </c>
      <c r="AF88" s="492">
        <f t="shared" si="118"/>
        <v>0</v>
      </c>
      <c r="AG88" s="492">
        <f t="shared" si="119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28"/>
        <v>0</v>
      </c>
      <c r="AP88" s="493">
        <f t="shared" si="129"/>
        <v>0</v>
      </c>
      <c r="AQ88" s="495">
        <f t="shared" si="120"/>
        <v>0</v>
      </c>
      <c r="AR88" s="501">
        <f>I88+AG88</f>
        <v>668757</v>
      </c>
      <c r="AS88" s="492">
        <f>J88+V88</f>
        <v>490407</v>
      </c>
      <c r="AT88" s="492">
        <f t="shared" si="130"/>
        <v>0</v>
      </c>
      <c r="AU88" s="492">
        <f t="shared" si="131"/>
        <v>165758</v>
      </c>
      <c r="AV88" s="492">
        <f t="shared" si="131"/>
        <v>9808</v>
      </c>
      <c r="AW88" s="492">
        <f>N88+AF88</f>
        <v>2784</v>
      </c>
      <c r="AX88" s="493">
        <f>O88+AQ88</f>
        <v>1.54</v>
      </c>
      <c r="AY88" s="493">
        <f t="shared" si="132"/>
        <v>0</v>
      </c>
      <c r="AZ88" s="495">
        <f t="shared" si="132"/>
        <v>1.54</v>
      </c>
    </row>
    <row r="89" spans="1:52" ht="12.95" customHeight="1" x14ac:dyDescent="0.25">
      <c r="A89" s="324">
        <v>15</v>
      </c>
      <c r="B89" s="308">
        <v>5436</v>
      </c>
      <c r="C89" s="379">
        <v>600098800</v>
      </c>
      <c r="D89" s="308">
        <v>72742992</v>
      </c>
      <c r="E89" s="321" t="s">
        <v>461</v>
      </c>
      <c r="F89" s="308"/>
      <c r="G89" s="380"/>
      <c r="H89" s="381"/>
      <c r="I89" s="584">
        <v>4462973</v>
      </c>
      <c r="J89" s="580">
        <v>3231661</v>
      </c>
      <c r="K89" s="580">
        <v>37700</v>
      </c>
      <c r="L89" s="580">
        <v>1105045</v>
      </c>
      <c r="M89" s="580">
        <v>64633</v>
      </c>
      <c r="N89" s="580">
        <v>23934</v>
      </c>
      <c r="O89" s="581">
        <v>7.3135000000000003</v>
      </c>
      <c r="P89" s="581">
        <v>4.4435000000000002</v>
      </c>
      <c r="Q89" s="586">
        <v>2.87</v>
      </c>
      <c r="R89" s="584">
        <f t="shared" ref="R89:AZ89" si="133">SUM(R86:R88)</f>
        <v>0</v>
      </c>
      <c r="S89" s="580">
        <f t="shared" si="133"/>
        <v>0</v>
      </c>
      <c r="T89" s="580">
        <f t="shared" si="133"/>
        <v>0</v>
      </c>
      <c r="U89" s="580">
        <f t="shared" si="133"/>
        <v>0</v>
      </c>
      <c r="V89" s="580">
        <f t="shared" si="133"/>
        <v>0</v>
      </c>
      <c r="W89" s="580">
        <f t="shared" si="133"/>
        <v>0</v>
      </c>
      <c r="X89" s="580">
        <f t="shared" si="133"/>
        <v>0</v>
      </c>
      <c r="Y89" s="580">
        <f t="shared" si="133"/>
        <v>0</v>
      </c>
      <c r="Z89" s="580">
        <f t="shared" si="133"/>
        <v>0</v>
      </c>
      <c r="AA89" s="580">
        <f t="shared" si="133"/>
        <v>0</v>
      </c>
      <c r="AB89" s="580">
        <f t="shared" si="133"/>
        <v>0</v>
      </c>
      <c r="AC89" s="580">
        <f t="shared" si="133"/>
        <v>0</v>
      </c>
      <c r="AD89" s="580">
        <f t="shared" si="133"/>
        <v>0</v>
      </c>
      <c r="AE89" s="580">
        <f t="shared" si="133"/>
        <v>0</v>
      </c>
      <c r="AF89" s="580">
        <f t="shared" si="133"/>
        <v>0</v>
      </c>
      <c r="AG89" s="580">
        <f t="shared" si="133"/>
        <v>0</v>
      </c>
      <c r="AH89" s="581">
        <f t="shared" si="133"/>
        <v>0</v>
      </c>
      <c r="AI89" s="581">
        <f t="shared" si="133"/>
        <v>0</v>
      </c>
      <c r="AJ89" s="581">
        <f t="shared" si="133"/>
        <v>0</v>
      </c>
      <c r="AK89" s="581">
        <f t="shared" si="133"/>
        <v>0</v>
      </c>
      <c r="AL89" s="581">
        <f t="shared" si="133"/>
        <v>0</v>
      </c>
      <c r="AM89" s="581">
        <f t="shared" si="133"/>
        <v>0</v>
      </c>
      <c r="AN89" s="581">
        <f t="shared" si="133"/>
        <v>0</v>
      </c>
      <c r="AO89" s="581">
        <f t="shared" si="133"/>
        <v>0</v>
      </c>
      <c r="AP89" s="581">
        <f t="shared" si="133"/>
        <v>0</v>
      </c>
      <c r="AQ89" s="312">
        <f t="shared" si="133"/>
        <v>0</v>
      </c>
      <c r="AR89" s="588">
        <f t="shared" si="133"/>
        <v>4462973</v>
      </c>
      <c r="AS89" s="580">
        <f t="shared" si="133"/>
        <v>3231661</v>
      </c>
      <c r="AT89" s="580">
        <f t="shared" si="133"/>
        <v>37700</v>
      </c>
      <c r="AU89" s="580">
        <f t="shared" si="133"/>
        <v>1105045</v>
      </c>
      <c r="AV89" s="580">
        <f t="shared" si="133"/>
        <v>64633</v>
      </c>
      <c r="AW89" s="580">
        <f t="shared" si="133"/>
        <v>23934</v>
      </c>
      <c r="AX89" s="581">
        <f t="shared" si="133"/>
        <v>7.3135000000000003</v>
      </c>
      <c r="AY89" s="581">
        <f t="shared" si="133"/>
        <v>4.4435000000000002</v>
      </c>
      <c r="AZ89" s="312">
        <f t="shared" si="133"/>
        <v>2.87</v>
      </c>
    </row>
    <row r="90" spans="1:52" ht="12.95" customHeight="1" x14ac:dyDescent="0.25">
      <c r="A90" s="314">
        <v>16</v>
      </c>
      <c r="B90" s="354">
        <v>5435</v>
      </c>
      <c r="C90" s="355">
        <v>600099199</v>
      </c>
      <c r="D90" s="314">
        <v>72743077</v>
      </c>
      <c r="E90" s="382" t="s">
        <v>462</v>
      </c>
      <c r="F90" s="354">
        <v>3113</v>
      </c>
      <c r="G90" s="378" t="s">
        <v>330</v>
      </c>
      <c r="H90" s="317" t="s">
        <v>278</v>
      </c>
      <c r="I90" s="494">
        <v>9674748</v>
      </c>
      <c r="J90" s="489">
        <v>6894159</v>
      </c>
      <c r="K90" s="489">
        <v>107250</v>
      </c>
      <c r="L90" s="489">
        <v>2366476</v>
      </c>
      <c r="M90" s="489">
        <v>137883</v>
      </c>
      <c r="N90" s="489">
        <v>168980</v>
      </c>
      <c r="O90" s="490">
        <v>13.189299999999999</v>
      </c>
      <c r="P90" s="491">
        <v>10.0153</v>
      </c>
      <c r="Q90" s="500">
        <v>3.1739999999999999</v>
      </c>
      <c r="R90" s="502">
        <f t="shared" si="116"/>
        <v>0</v>
      </c>
      <c r="S90" s="492">
        <v>0</v>
      </c>
      <c r="T90" s="492">
        <v>0</v>
      </c>
      <c r="U90" s="492">
        <v>0</v>
      </c>
      <c r="V90" s="492">
        <f t="shared" si="117"/>
        <v>0</v>
      </c>
      <c r="W90" s="713">
        <v>0</v>
      </c>
      <c r="X90" s="492">
        <v>0</v>
      </c>
      <c r="Y90" s="492">
        <v>0</v>
      </c>
      <c r="Z90" s="492">
        <f>SUM(W90:Y90)</f>
        <v>0</v>
      </c>
      <c r="AA90" s="492">
        <f>V90+Z90</f>
        <v>0</v>
      </c>
      <c r="AB90" s="74">
        <f>ROUND((V90+W90+X90)*33.8%,0)</f>
        <v>0</v>
      </c>
      <c r="AC90" s="74">
        <f>ROUND(V90*2%,0)</f>
        <v>0</v>
      </c>
      <c r="AD90" s="492">
        <v>0</v>
      </c>
      <c r="AE90" s="492">
        <v>0</v>
      </c>
      <c r="AF90" s="492">
        <f t="shared" si="118"/>
        <v>0</v>
      </c>
      <c r="AG90" s="492">
        <f t="shared" si="119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ref="AO90:AO94" si="134">AH90+AJ90+AK90+AM90</f>
        <v>0</v>
      </c>
      <c r="AP90" s="493">
        <f t="shared" ref="AP90:AP94" si="135">AI90+AN90+AL90</f>
        <v>0</v>
      </c>
      <c r="AQ90" s="495">
        <f t="shared" si="120"/>
        <v>0</v>
      </c>
      <c r="AR90" s="501">
        <f>I90+AG90</f>
        <v>9674748</v>
      </c>
      <c r="AS90" s="492">
        <f>J90+V90</f>
        <v>6894159</v>
      </c>
      <c r="AT90" s="492">
        <f t="shared" ref="AT90:AT94" si="136">K90+Z90</f>
        <v>107250</v>
      </c>
      <c r="AU90" s="492">
        <f t="shared" ref="AU90:AV94" si="137">L90+AB90</f>
        <v>2366476</v>
      </c>
      <c r="AV90" s="492">
        <f t="shared" si="137"/>
        <v>137883</v>
      </c>
      <c r="AW90" s="492">
        <f>N90+AF90</f>
        <v>168980</v>
      </c>
      <c r="AX90" s="493">
        <f>O90+AQ90</f>
        <v>13.189299999999999</v>
      </c>
      <c r="AY90" s="493">
        <f t="shared" ref="AY90:AZ94" si="138">P90+AO90</f>
        <v>10.0153</v>
      </c>
      <c r="AZ90" s="495">
        <f t="shared" si="138"/>
        <v>3.1739999999999999</v>
      </c>
    </row>
    <row r="91" spans="1:52" ht="12.95" customHeight="1" x14ac:dyDescent="0.25">
      <c r="A91" s="314">
        <v>16</v>
      </c>
      <c r="B91" s="354">
        <v>5435</v>
      </c>
      <c r="C91" s="355">
        <v>600099199</v>
      </c>
      <c r="D91" s="314">
        <v>72743077</v>
      </c>
      <c r="E91" s="382" t="s">
        <v>462</v>
      </c>
      <c r="F91" s="354">
        <v>3113</v>
      </c>
      <c r="G91" s="317" t="s">
        <v>313</v>
      </c>
      <c r="H91" s="317" t="s">
        <v>279</v>
      </c>
      <c r="I91" s="494">
        <v>0</v>
      </c>
      <c r="J91" s="489">
        <v>0</v>
      </c>
      <c r="K91" s="489">
        <v>0</v>
      </c>
      <c r="L91" s="489">
        <v>0</v>
      </c>
      <c r="M91" s="489">
        <v>0</v>
      </c>
      <c r="N91" s="489">
        <v>0</v>
      </c>
      <c r="O91" s="490">
        <v>0</v>
      </c>
      <c r="P91" s="491">
        <v>0</v>
      </c>
      <c r="Q91" s="500">
        <v>0</v>
      </c>
      <c r="R91" s="502">
        <f t="shared" si="116"/>
        <v>0</v>
      </c>
      <c r="S91" s="492">
        <v>0</v>
      </c>
      <c r="T91" s="492">
        <v>0</v>
      </c>
      <c r="U91" s="492">
        <v>0</v>
      </c>
      <c r="V91" s="492">
        <f t="shared" si="117"/>
        <v>0</v>
      </c>
      <c r="W91" s="713">
        <v>0</v>
      </c>
      <c r="X91" s="492">
        <v>0</v>
      </c>
      <c r="Y91" s="492">
        <v>0</v>
      </c>
      <c r="Z91" s="492">
        <f>SUM(W91:Y91)</f>
        <v>0</v>
      </c>
      <c r="AA91" s="492">
        <f>V91+Z91</f>
        <v>0</v>
      </c>
      <c r="AB91" s="74">
        <f>ROUND((V91+W91+X91)*33.8%,0)</f>
        <v>0</v>
      </c>
      <c r="AC91" s="74">
        <f>ROUND(V91*2%,0)</f>
        <v>0</v>
      </c>
      <c r="AD91" s="492">
        <v>0</v>
      </c>
      <c r="AE91" s="492">
        <v>0</v>
      </c>
      <c r="AF91" s="492">
        <f t="shared" si="118"/>
        <v>0</v>
      </c>
      <c r="AG91" s="492">
        <f t="shared" si="119"/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si="134"/>
        <v>0</v>
      </c>
      <c r="AP91" s="493">
        <f t="shared" si="135"/>
        <v>0</v>
      </c>
      <c r="AQ91" s="495">
        <f t="shared" si="120"/>
        <v>0</v>
      </c>
      <c r="AR91" s="501">
        <f>I91+AG91</f>
        <v>0</v>
      </c>
      <c r="AS91" s="492">
        <f>J91+V91</f>
        <v>0</v>
      </c>
      <c r="AT91" s="492">
        <f t="shared" si="136"/>
        <v>0</v>
      </c>
      <c r="AU91" s="492">
        <f t="shared" si="137"/>
        <v>0</v>
      </c>
      <c r="AV91" s="492">
        <f t="shared" si="137"/>
        <v>0</v>
      </c>
      <c r="AW91" s="492">
        <f>N91+AF91</f>
        <v>0</v>
      </c>
      <c r="AX91" s="493">
        <f>O91+AQ91</f>
        <v>0</v>
      </c>
      <c r="AY91" s="493">
        <f t="shared" si="138"/>
        <v>0</v>
      </c>
      <c r="AZ91" s="495">
        <f t="shared" si="138"/>
        <v>0</v>
      </c>
    </row>
    <row r="92" spans="1:52" ht="12.95" customHeight="1" x14ac:dyDescent="0.25">
      <c r="A92" s="314">
        <v>16</v>
      </c>
      <c r="B92" s="354">
        <v>5435</v>
      </c>
      <c r="C92" s="355">
        <v>600099199</v>
      </c>
      <c r="D92" s="314">
        <v>72743077</v>
      </c>
      <c r="E92" s="382" t="s">
        <v>462</v>
      </c>
      <c r="F92" s="354">
        <v>3141</v>
      </c>
      <c r="G92" s="378" t="s">
        <v>316</v>
      </c>
      <c r="H92" s="317" t="s">
        <v>279</v>
      </c>
      <c r="I92" s="494">
        <v>963247</v>
      </c>
      <c r="J92" s="489">
        <v>704529</v>
      </c>
      <c r="K92" s="489">
        <v>0</v>
      </c>
      <c r="L92" s="489">
        <v>238131</v>
      </c>
      <c r="M92" s="489">
        <v>14091</v>
      </c>
      <c r="N92" s="489">
        <v>6496</v>
      </c>
      <c r="O92" s="490">
        <v>2.2200000000000002</v>
      </c>
      <c r="P92" s="491">
        <v>0</v>
      </c>
      <c r="Q92" s="500">
        <v>2.2200000000000002</v>
      </c>
      <c r="R92" s="502">
        <f t="shared" si="116"/>
        <v>0</v>
      </c>
      <c r="S92" s="492">
        <v>0</v>
      </c>
      <c r="T92" s="492">
        <v>0</v>
      </c>
      <c r="U92" s="492">
        <v>0</v>
      </c>
      <c r="V92" s="492">
        <f t="shared" si="117"/>
        <v>0</v>
      </c>
      <c r="W92" s="713">
        <v>0</v>
      </c>
      <c r="X92" s="492">
        <v>0</v>
      </c>
      <c r="Y92" s="492">
        <v>0</v>
      </c>
      <c r="Z92" s="492">
        <f>SUM(W92:Y92)</f>
        <v>0</v>
      </c>
      <c r="AA92" s="492">
        <f>V92+Z92</f>
        <v>0</v>
      </c>
      <c r="AB92" s="74">
        <f>ROUND((V92+W92+X92)*33.8%,0)</f>
        <v>0</v>
      </c>
      <c r="AC92" s="74">
        <f>ROUND(V92*2%,0)</f>
        <v>0</v>
      </c>
      <c r="AD92" s="492">
        <v>0</v>
      </c>
      <c r="AE92" s="492">
        <v>0</v>
      </c>
      <c r="AF92" s="492">
        <f t="shared" si="118"/>
        <v>0</v>
      </c>
      <c r="AG92" s="492">
        <f t="shared" si="119"/>
        <v>0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 t="shared" si="134"/>
        <v>0</v>
      </c>
      <c r="AP92" s="493">
        <f t="shared" si="135"/>
        <v>0</v>
      </c>
      <c r="AQ92" s="495">
        <f t="shared" si="120"/>
        <v>0</v>
      </c>
      <c r="AR92" s="501">
        <f>I92+AG92</f>
        <v>963247</v>
      </c>
      <c r="AS92" s="492">
        <f>J92+V92</f>
        <v>704529</v>
      </c>
      <c r="AT92" s="492">
        <f t="shared" si="136"/>
        <v>0</v>
      </c>
      <c r="AU92" s="492">
        <f t="shared" si="137"/>
        <v>238131</v>
      </c>
      <c r="AV92" s="492">
        <f t="shared" si="137"/>
        <v>14091</v>
      </c>
      <c r="AW92" s="492">
        <f>N92+AF92</f>
        <v>6496</v>
      </c>
      <c r="AX92" s="493">
        <f>O92+AQ92</f>
        <v>2.2200000000000002</v>
      </c>
      <c r="AY92" s="493">
        <f t="shared" si="138"/>
        <v>0</v>
      </c>
      <c r="AZ92" s="495">
        <f t="shared" si="138"/>
        <v>2.2200000000000002</v>
      </c>
    </row>
    <row r="93" spans="1:52" ht="12.95" customHeight="1" x14ac:dyDescent="0.25">
      <c r="A93" s="314">
        <v>16</v>
      </c>
      <c r="B93" s="354">
        <v>5435</v>
      </c>
      <c r="C93" s="355">
        <v>600099199</v>
      </c>
      <c r="D93" s="314">
        <v>72743077</v>
      </c>
      <c r="E93" s="382" t="s">
        <v>462</v>
      </c>
      <c r="F93" s="354">
        <v>3143</v>
      </c>
      <c r="G93" s="317" t="s">
        <v>629</v>
      </c>
      <c r="H93" s="317" t="s">
        <v>278</v>
      </c>
      <c r="I93" s="494">
        <v>653042</v>
      </c>
      <c r="J93" s="489">
        <v>480885</v>
      </c>
      <c r="K93" s="489">
        <v>0</v>
      </c>
      <c r="L93" s="489">
        <v>162539</v>
      </c>
      <c r="M93" s="489">
        <v>9618</v>
      </c>
      <c r="N93" s="489">
        <v>0</v>
      </c>
      <c r="O93" s="490">
        <v>0.96430000000000005</v>
      </c>
      <c r="P93" s="491">
        <v>0</v>
      </c>
      <c r="Q93" s="500">
        <v>0.96430000000000005</v>
      </c>
      <c r="R93" s="502">
        <f t="shared" si="116"/>
        <v>0</v>
      </c>
      <c r="S93" s="492">
        <v>0</v>
      </c>
      <c r="T93" s="492">
        <v>0</v>
      </c>
      <c r="U93" s="492">
        <v>0</v>
      </c>
      <c r="V93" s="492">
        <f t="shared" si="117"/>
        <v>0</v>
      </c>
      <c r="W93" s="713">
        <v>0</v>
      </c>
      <c r="X93" s="492">
        <v>0</v>
      </c>
      <c r="Y93" s="492">
        <v>0</v>
      </c>
      <c r="Z93" s="492">
        <f>SUM(W93:Y93)</f>
        <v>0</v>
      </c>
      <c r="AA93" s="492">
        <f>V93+Z93</f>
        <v>0</v>
      </c>
      <c r="AB93" s="74">
        <f>ROUND((V93+W93+X93)*33.8%,0)</f>
        <v>0</v>
      </c>
      <c r="AC93" s="74">
        <f>ROUND(V93*2%,0)</f>
        <v>0</v>
      </c>
      <c r="AD93" s="492">
        <v>0</v>
      </c>
      <c r="AE93" s="492">
        <v>0</v>
      </c>
      <c r="AF93" s="492">
        <f t="shared" si="118"/>
        <v>0</v>
      </c>
      <c r="AG93" s="492">
        <f t="shared" si="119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si="134"/>
        <v>0</v>
      </c>
      <c r="AP93" s="493">
        <f t="shared" si="135"/>
        <v>0</v>
      </c>
      <c r="AQ93" s="495">
        <f t="shared" si="120"/>
        <v>0</v>
      </c>
      <c r="AR93" s="501">
        <f>I93+AG93</f>
        <v>653042</v>
      </c>
      <c r="AS93" s="492">
        <f>J93+V93</f>
        <v>480885</v>
      </c>
      <c r="AT93" s="492">
        <f t="shared" si="136"/>
        <v>0</v>
      </c>
      <c r="AU93" s="492">
        <f t="shared" si="137"/>
        <v>162539</v>
      </c>
      <c r="AV93" s="492">
        <f t="shared" si="137"/>
        <v>9618</v>
      </c>
      <c r="AW93" s="492">
        <f>N93+AF93</f>
        <v>0</v>
      </c>
      <c r="AX93" s="493">
        <f>O93+AQ93</f>
        <v>0.96430000000000005</v>
      </c>
      <c r="AY93" s="493">
        <f t="shared" si="138"/>
        <v>0</v>
      </c>
      <c r="AZ93" s="495">
        <f t="shared" si="138"/>
        <v>0.96430000000000005</v>
      </c>
    </row>
    <row r="94" spans="1:52" ht="12.95" customHeight="1" x14ac:dyDescent="0.25">
      <c r="A94" s="314">
        <v>16</v>
      </c>
      <c r="B94" s="354">
        <v>5435</v>
      </c>
      <c r="C94" s="355">
        <v>600099199</v>
      </c>
      <c r="D94" s="314">
        <v>72743077</v>
      </c>
      <c r="E94" s="382" t="s">
        <v>462</v>
      </c>
      <c r="F94" s="354">
        <v>3143</v>
      </c>
      <c r="G94" s="317" t="s">
        <v>630</v>
      </c>
      <c r="H94" s="317" t="s">
        <v>279</v>
      </c>
      <c r="I94" s="494">
        <v>22680</v>
      </c>
      <c r="J94" s="489">
        <v>16038</v>
      </c>
      <c r="K94" s="489">
        <v>0</v>
      </c>
      <c r="L94" s="489">
        <v>5421</v>
      </c>
      <c r="M94" s="489">
        <v>321</v>
      </c>
      <c r="N94" s="489">
        <v>900</v>
      </c>
      <c r="O94" s="490">
        <v>0.06</v>
      </c>
      <c r="P94" s="491">
        <v>0</v>
      </c>
      <c r="Q94" s="500">
        <v>0.06</v>
      </c>
      <c r="R94" s="502">
        <f t="shared" si="116"/>
        <v>0</v>
      </c>
      <c r="S94" s="492">
        <v>0</v>
      </c>
      <c r="T94" s="492">
        <v>0</v>
      </c>
      <c r="U94" s="492">
        <v>0</v>
      </c>
      <c r="V94" s="492">
        <f t="shared" si="117"/>
        <v>0</v>
      </c>
      <c r="W94" s="713">
        <v>0</v>
      </c>
      <c r="X94" s="492">
        <v>0</v>
      </c>
      <c r="Y94" s="492">
        <v>0</v>
      </c>
      <c r="Z94" s="492">
        <f>SUM(W94:Y94)</f>
        <v>0</v>
      </c>
      <c r="AA94" s="492">
        <f>V94+Z94</f>
        <v>0</v>
      </c>
      <c r="AB94" s="74">
        <f>ROUND((V94+W94+X94)*33.8%,0)</f>
        <v>0</v>
      </c>
      <c r="AC94" s="74">
        <f>ROUND(V94*2%,0)</f>
        <v>0</v>
      </c>
      <c r="AD94" s="492">
        <v>0</v>
      </c>
      <c r="AE94" s="492">
        <v>0</v>
      </c>
      <c r="AF94" s="492">
        <f t="shared" si="118"/>
        <v>0</v>
      </c>
      <c r="AG94" s="492">
        <f t="shared" si="119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34"/>
        <v>0</v>
      </c>
      <c r="AP94" s="493">
        <f t="shared" si="135"/>
        <v>0</v>
      </c>
      <c r="AQ94" s="495">
        <f t="shared" si="120"/>
        <v>0</v>
      </c>
      <c r="AR94" s="501">
        <f>I94+AG94</f>
        <v>22680</v>
      </c>
      <c r="AS94" s="492">
        <f>J94+V94</f>
        <v>16038</v>
      </c>
      <c r="AT94" s="492">
        <f t="shared" si="136"/>
        <v>0</v>
      </c>
      <c r="AU94" s="492">
        <f t="shared" si="137"/>
        <v>5421</v>
      </c>
      <c r="AV94" s="492">
        <f t="shared" si="137"/>
        <v>321</v>
      </c>
      <c r="AW94" s="492">
        <f>N94+AF94</f>
        <v>900</v>
      </c>
      <c r="AX94" s="493">
        <f>O94+AQ94</f>
        <v>0.06</v>
      </c>
      <c r="AY94" s="493">
        <f t="shared" si="138"/>
        <v>0</v>
      </c>
      <c r="AZ94" s="495">
        <f t="shared" si="138"/>
        <v>0.06</v>
      </c>
    </row>
    <row r="95" spans="1:52" ht="12.95" customHeight="1" x14ac:dyDescent="0.25">
      <c r="A95" s="324">
        <v>16</v>
      </c>
      <c r="B95" s="358">
        <v>5435</v>
      </c>
      <c r="C95" s="359">
        <v>600099199</v>
      </c>
      <c r="D95" s="358">
        <v>72743077</v>
      </c>
      <c r="E95" s="383" t="s">
        <v>463</v>
      </c>
      <c r="F95" s="358"/>
      <c r="G95" s="384"/>
      <c r="H95" s="385"/>
      <c r="I95" s="584">
        <v>11313717</v>
      </c>
      <c r="J95" s="580">
        <v>8095611</v>
      </c>
      <c r="K95" s="580">
        <v>107250</v>
      </c>
      <c r="L95" s="580">
        <v>2772567</v>
      </c>
      <c r="M95" s="580">
        <v>161913</v>
      </c>
      <c r="N95" s="580">
        <v>176376</v>
      </c>
      <c r="O95" s="581">
        <v>16.433599999999998</v>
      </c>
      <c r="P95" s="581">
        <v>10.0153</v>
      </c>
      <c r="Q95" s="586">
        <v>6.4182999999999995</v>
      </c>
      <c r="R95" s="584">
        <f t="shared" ref="R95:AZ95" si="139">SUM(R90:R94)</f>
        <v>0</v>
      </c>
      <c r="S95" s="580">
        <f t="shared" si="139"/>
        <v>0</v>
      </c>
      <c r="T95" s="580">
        <f t="shared" si="139"/>
        <v>0</v>
      </c>
      <c r="U95" s="580">
        <f t="shared" si="139"/>
        <v>0</v>
      </c>
      <c r="V95" s="580">
        <f t="shared" si="139"/>
        <v>0</v>
      </c>
      <c r="W95" s="580">
        <f t="shared" si="139"/>
        <v>0</v>
      </c>
      <c r="X95" s="580">
        <f t="shared" si="139"/>
        <v>0</v>
      </c>
      <c r="Y95" s="580">
        <f t="shared" si="139"/>
        <v>0</v>
      </c>
      <c r="Z95" s="580">
        <f t="shared" si="139"/>
        <v>0</v>
      </c>
      <c r="AA95" s="580">
        <f t="shared" si="139"/>
        <v>0</v>
      </c>
      <c r="AB95" s="580">
        <f t="shared" si="139"/>
        <v>0</v>
      </c>
      <c r="AC95" s="580">
        <f t="shared" si="139"/>
        <v>0</v>
      </c>
      <c r="AD95" s="580">
        <f t="shared" si="139"/>
        <v>0</v>
      </c>
      <c r="AE95" s="580">
        <f t="shared" si="139"/>
        <v>0</v>
      </c>
      <c r="AF95" s="580">
        <f t="shared" si="139"/>
        <v>0</v>
      </c>
      <c r="AG95" s="580">
        <f t="shared" si="139"/>
        <v>0</v>
      </c>
      <c r="AH95" s="581">
        <f t="shared" si="139"/>
        <v>0</v>
      </c>
      <c r="AI95" s="581">
        <f t="shared" si="139"/>
        <v>0</v>
      </c>
      <c r="AJ95" s="581">
        <f t="shared" si="139"/>
        <v>0</v>
      </c>
      <c r="AK95" s="581">
        <f t="shared" si="139"/>
        <v>0</v>
      </c>
      <c r="AL95" s="581">
        <f t="shared" si="139"/>
        <v>0</v>
      </c>
      <c r="AM95" s="581">
        <f t="shared" si="139"/>
        <v>0</v>
      </c>
      <c r="AN95" s="581">
        <f t="shared" si="139"/>
        <v>0</v>
      </c>
      <c r="AO95" s="581">
        <f t="shared" si="139"/>
        <v>0</v>
      </c>
      <c r="AP95" s="581">
        <f t="shared" si="139"/>
        <v>0</v>
      </c>
      <c r="AQ95" s="312">
        <f t="shared" si="139"/>
        <v>0</v>
      </c>
      <c r="AR95" s="588">
        <f t="shared" si="139"/>
        <v>11313717</v>
      </c>
      <c r="AS95" s="580">
        <f t="shared" si="139"/>
        <v>8095611</v>
      </c>
      <c r="AT95" s="580">
        <f t="shared" si="139"/>
        <v>107250</v>
      </c>
      <c r="AU95" s="580">
        <f t="shared" si="139"/>
        <v>2772567</v>
      </c>
      <c r="AV95" s="580">
        <f t="shared" si="139"/>
        <v>161913</v>
      </c>
      <c r="AW95" s="580">
        <f t="shared" si="139"/>
        <v>176376</v>
      </c>
      <c r="AX95" s="581">
        <f t="shared" si="139"/>
        <v>16.433599999999998</v>
      </c>
      <c r="AY95" s="581">
        <f t="shared" si="139"/>
        <v>10.0153</v>
      </c>
      <c r="AZ95" s="312">
        <f t="shared" si="139"/>
        <v>6.4182999999999995</v>
      </c>
    </row>
    <row r="96" spans="1:52" ht="12.95" customHeight="1" x14ac:dyDescent="0.25">
      <c r="A96" s="314">
        <v>17</v>
      </c>
      <c r="B96" s="354">
        <v>5474</v>
      </c>
      <c r="C96" s="314">
        <v>600099539</v>
      </c>
      <c r="D96" s="314">
        <v>70151504</v>
      </c>
      <c r="E96" s="382" t="s">
        <v>464</v>
      </c>
      <c r="F96" s="354">
        <v>3233</v>
      </c>
      <c r="G96" s="378" t="s">
        <v>319</v>
      </c>
      <c r="H96" s="317" t="s">
        <v>279</v>
      </c>
      <c r="I96" s="494">
        <v>2616069</v>
      </c>
      <c r="J96" s="489">
        <v>1924764</v>
      </c>
      <c r="K96" s="489">
        <v>0</v>
      </c>
      <c r="L96" s="489">
        <v>650570</v>
      </c>
      <c r="M96" s="489">
        <v>38495</v>
      </c>
      <c r="N96" s="489">
        <v>2240</v>
      </c>
      <c r="O96" s="490">
        <v>4.1100000000000003</v>
      </c>
      <c r="P96" s="491">
        <v>2.93</v>
      </c>
      <c r="Q96" s="500">
        <v>1.18</v>
      </c>
      <c r="R96" s="502">
        <f t="shared" si="116"/>
        <v>0</v>
      </c>
      <c r="S96" s="492">
        <v>0</v>
      </c>
      <c r="T96" s="492">
        <v>0</v>
      </c>
      <c r="U96" s="492">
        <v>0</v>
      </c>
      <c r="V96" s="492">
        <f t="shared" si="117"/>
        <v>0</v>
      </c>
      <c r="W96" s="492">
        <v>0</v>
      </c>
      <c r="X96" s="492">
        <v>0</v>
      </c>
      <c r="Y96" s="492">
        <v>0</v>
      </c>
      <c r="Z96" s="492">
        <f>SUM(W96:Y96)</f>
        <v>0</v>
      </c>
      <c r="AA96" s="492">
        <f>V96+Z96</f>
        <v>0</v>
      </c>
      <c r="AB96" s="74">
        <f>ROUND((V96+W96+X96)*33.8%,0)</f>
        <v>0</v>
      </c>
      <c r="AC96" s="74">
        <f>ROUND(V96*2%,0)</f>
        <v>0</v>
      </c>
      <c r="AD96" s="492">
        <v>0</v>
      </c>
      <c r="AE96" s="492">
        <v>13160</v>
      </c>
      <c r="AF96" s="492">
        <f t="shared" si="118"/>
        <v>13160</v>
      </c>
      <c r="AG96" s="492">
        <f t="shared" si="119"/>
        <v>13160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ref="AO96" si="140">AH96+AJ96+AK96+AM96</f>
        <v>0</v>
      </c>
      <c r="AP96" s="493">
        <f t="shared" ref="AP96" si="141">AI96+AN96+AL96</f>
        <v>0</v>
      </c>
      <c r="AQ96" s="495">
        <f t="shared" si="120"/>
        <v>0</v>
      </c>
      <c r="AR96" s="501">
        <f>I96+AG96</f>
        <v>2629229</v>
      </c>
      <c r="AS96" s="492">
        <f>J96+V96</f>
        <v>1924764</v>
      </c>
      <c r="AT96" s="492">
        <f>K96+Z96</f>
        <v>0</v>
      </c>
      <c r="AU96" s="492">
        <f>L96+AB96</f>
        <v>650570</v>
      </c>
      <c r="AV96" s="492">
        <f>M96+AC96</f>
        <v>38495</v>
      </c>
      <c r="AW96" s="492">
        <f>N96+AF96</f>
        <v>15400</v>
      </c>
      <c r="AX96" s="493">
        <f>O96+AQ96</f>
        <v>4.1100000000000003</v>
      </c>
      <c r="AY96" s="493">
        <f>P96+AO96</f>
        <v>2.93</v>
      </c>
      <c r="AZ96" s="495">
        <f>Q96+AP96</f>
        <v>1.18</v>
      </c>
    </row>
    <row r="97" spans="1:52" ht="12.95" customHeight="1" x14ac:dyDescent="0.25">
      <c r="A97" s="324">
        <v>17</v>
      </c>
      <c r="B97" s="358">
        <v>5474</v>
      </c>
      <c r="C97" s="359">
        <v>600099539</v>
      </c>
      <c r="D97" s="358">
        <v>70151504</v>
      </c>
      <c r="E97" s="383" t="s">
        <v>465</v>
      </c>
      <c r="F97" s="358"/>
      <c r="G97" s="384"/>
      <c r="H97" s="385"/>
      <c r="I97" s="616">
        <v>2616069</v>
      </c>
      <c r="J97" s="614">
        <v>1924764</v>
      </c>
      <c r="K97" s="614">
        <v>0</v>
      </c>
      <c r="L97" s="614">
        <v>650570</v>
      </c>
      <c r="M97" s="614">
        <v>38495</v>
      </c>
      <c r="N97" s="614">
        <v>2240</v>
      </c>
      <c r="O97" s="615">
        <v>4.1100000000000003</v>
      </c>
      <c r="P97" s="615">
        <v>2.93</v>
      </c>
      <c r="Q97" s="617">
        <v>1.18</v>
      </c>
      <c r="R97" s="616">
        <f t="shared" ref="R97:AZ97" si="142">SUM(R96)</f>
        <v>0</v>
      </c>
      <c r="S97" s="614">
        <f t="shared" si="142"/>
        <v>0</v>
      </c>
      <c r="T97" s="614">
        <f t="shared" si="142"/>
        <v>0</v>
      </c>
      <c r="U97" s="614">
        <f t="shared" si="142"/>
        <v>0</v>
      </c>
      <c r="V97" s="614">
        <f t="shared" si="142"/>
        <v>0</v>
      </c>
      <c r="W97" s="614">
        <f t="shared" si="142"/>
        <v>0</v>
      </c>
      <c r="X97" s="614">
        <f t="shared" si="142"/>
        <v>0</v>
      </c>
      <c r="Y97" s="614">
        <f t="shared" si="142"/>
        <v>0</v>
      </c>
      <c r="Z97" s="614">
        <f t="shared" si="142"/>
        <v>0</v>
      </c>
      <c r="AA97" s="614">
        <f t="shared" si="142"/>
        <v>0</v>
      </c>
      <c r="AB97" s="614">
        <f t="shared" si="142"/>
        <v>0</v>
      </c>
      <c r="AC97" s="614">
        <f t="shared" si="142"/>
        <v>0</v>
      </c>
      <c r="AD97" s="614">
        <f t="shared" si="142"/>
        <v>0</v>
      </c>
      <c r="AE97" s="614">
        <f t="shared" si="142"/>
        <v>13160</v>
      </c>
      <c r="AF97" s="614">
        <f t="shared" si="142"/>
        <v>13160</v>
      </c>
      <c r="AG97" s="614">
        <f t="shared" si="142"/>
        <v>13160</v>
      </c>
      <c r="AH97" s="615">
        <f t="shared" si="142"/>
        <v>0</v>
      </c>
      <c r="AI97" s="615">
        <f t="shared" si="142"/>
        <v>0</v>
      </c>
      <c r="AJ97" s="615">
        <f t="shared" si="142"/>
        <v>0</v>
      </c>
      <c r="AK97" s="615">
        <f t="shared" si="142"/>
        <v>0</v>
      </c>
      <c r="AL97" s="615">
        <f t="shared" si="142"/>
        <v>0</v>
      </c>
      <c r="AM97" s="615">
        <f t="shared" si="142"/>
        <v>0</v>
      </c>
      <c r="AN97" s="615">
        <f t="shared" si="142"/>
        <v>0</v>
      </c>
      <c r="AO97" s="615">
        <f t="shared" si="142"/>
        <v>0</v>
      </c>
      <c r="AP97" s="615">
        <f t="shared" si="142"/>
        <v>0</v>
      </c>
      <c r="AQ97" s="386">
        <f t="shared" si="142"/>
        <v>0</v>
      </c>
      <c r="AR97" s="618">
        <f t="shared" si="142"/>
        <v>2629229</v>
      </c>
      <c r="AS97" s="614">
        <f t="shared" si="142"/>
        <v>1924764</v>
      </c>
      <c r="AT97" s="614">
        <f t="shared" si="142"/>
        <v>0</v>
      </c>
      <c r="AU97" s="614">
        <f t="shared" si="142"/>
        <v>650570</v>
      </c>
      <c r="AV97" s="614">
        <f t="shared" si="142"/>
        <v>38495</v>
      </c>
      <c r="AW97" s="614">
        <f t="shared" si="142"/>
        <v>15400</v>
      </c>
      <c r="AX97" s="615">
        <f t="shared" si="142"/>
        <v>4.1100000000000003</v>
      </c>
      <c r="AY97" s="615">
        <f t="shared" si="142"/>
        <v>2.93</v>
      </c>
      <c r="AZ97" s="386">
        <f t="shared" si="142"/>
        <v>1.18</v>
      </c>
    </row>
    <row r="98" spans="1:52" ht="12.95" customHeight="1" x14ac:dyDescent="0.25">
      <c r="A98" s="314">
        <v>18</v>
      </c>
      <c r="B98" s="354">
        <v>5477</v>
      </c>
      <c r="C98" s="355">
        <v>600098541</v>
      </c>
      <c r="D98" s="314">
        <v>70698040</v>
      </c>
      <c r="E98" s="382" t="s">
        <v>466</v>
      </c>
      <c r="F98" s="354">
        <v>3111</v>
      </c>
      <c r="G98" s="378" t="s">
        <v>326</v>
      </c>
      <c r="H98" s="317" t="s">
        <v>278</v>
      </c>
      <c r="I98" s="494">
        <v>4983728</v>
      </c>
      <c r="J98" s="489">
        <v>3646819</v>
      </c>
      <c r="K98" s="489">
        <v>3250</v>
      </c>
      <c r="L98" s="489">
        <v>1233723</v>
      </c>
      <c r="M98" s="489">
        <v>72936</v>
      </c>
      <c r="N98" s="489">
        <v>27000</v>
      </c>
      <c r="O98" s="490">
        <v>8.1193000000000008</v>
      </c>
      <c r="P98" s="491">
        <v>6.1451000000000002</v>
      </c>
      <c r="Q98" s="500">
        <v>1.9742</v>
      </c>
      <c r="R98" s="502">
        <f t="shared" si="116"/>
        <v>0</v>
      </c>
      <c r="S98" s="492">
        <v>0</v>
      </c>
      <c r="T98" s="492">
        <v>0</v>
      </c>
      <c r="U98" s="492">
        <v>0</v>
      </c>
      <c r="V98" s="492">
        <f t="shared" si="117"/>
        <v>0</v>
      </c>
      <c r="W98" s="713">
        <v>0</v>
      </c>
      <c r="X98" s="492">
        <v>0</v>
      </c>
      <c r="Y98" s="492">
        <v>0</v>
      </c>
      <c r="Z98" s="492">
        <f>SUM(W98:Y98)</f>
        <v>0</v>
      </c>
      <c r="AA98" s="492">
        <f>V98+Z98</f>
        <v>0</v>
      </c>
      <c r="AB98" s="74">
        <f>ROUND((V98+W98+X98)*33.8%,0)</f>
        <v>0</v>
      </c>
      <c r="AC98" s="74">
        <f>ROUND(V98*2%,0)</f>
        <v>0</v>
      </c>
      <c r="AD98" s="492">
        <v>0</v>
      </c>
      <c r="AE98" s="492">
        <v>0</v>
      </c>
      <c r="AF98" s="492">
        <f t="shared" si="118"/>
        <v>0</v>
      </c>
      <c r="AG98" s="492">
        <f t="shared" si="119"/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 t="shared" ref="AO98:AO100" si="143">AH98+AJ98+AK98+AM98</f>
        <v>0</v>
      </c>
      <c r="AP98" s="493">
        <f t="shared" ref="AP98:AP100" si="144">AI98+AN98+AL98</f>
        <v>0</v>
      </c>
      <c r="AQ98" s="495">
        <f t="shared" si="120"/>
        <v>0</v>
      </c>
      <c r="AR98" s="501">
        <f>I98+AG98</f>
        <v>4983728</v>
      </c>
      <c r="AS98" s="492">
        <f>J98+V98</f>
        <v>3646819</v>
      </c>
      <c r="AT98" s="492">
        <f t="shared" ref="AT98:AT100" si="145">K98+Z98</f>
        <v>3250</v>
      </c>
      <c r="AU98" s="492">
        <f t="shared" ref="AU98:AV100" si="146">L98+AB98</f>
        <v>1233723</v>
      </c>
      <c r="AV98" s="492">
        <f t="shared" si="146"/>
        <v>72936</v>
      </c>
      <c r="AW98" s="492">
        <f>N98+AF98</f>
        <v>27000</v>
      </c>
      <c r="AX98" s="493">
        <f>O98+AQ98</f>
        <v>8.1193000000000008</v>
      </c>
      <c r="AY98" s="493">
        <f t="shared" ref="AY98:AZ100" si="147">P98+AO98</f>
        <v>6.1451000000000002</v>
      </c>
      <c r="AZ98" s="495">
        <f t="shared" si="147"/>
        <v>1.9742</v>
      </c>
    </row>
    <row r="99" spans="1:52" ht="12.95" customHeight="1" x14ac:dyDescent="0.25">
      <c r="A99" s="314">
        <v>18</v>
      </c>
      <c r="B99" s="354">
        <v>5477</v>
      </c>
      <c r="C99" s="355">
        <v>600098541</v>
      </c>
      <c r="D99" s="314">
        <v>70698040</v>
      </c>
      <c r="E99" s="382" t="s">
        <v>466</v>
      </c>
      <c r="F99" s="354">
        <v>3111</v>
      </c>
      <c r="G99" s="378" t="s">
        <v>313</v>
      </c>
      <c r="H99" s="317" t="s">
        <v>279</v>
      </c>
      <c r="I99" s="494">
        <v>235235</v>
      </c>
      <c r="J99" s="489">
        <v>173222</v>
      </c>
      <c r="K99" s="489">
        <v>0</v>
      </c>
      <c r="L99" s="489">
        <v>58549</v>
      </c>
      <c r="M99" s="489">
        <v>3464</v>
      </c>
      <c r="N99" s="489">
        <v>0</v>
      </c>
      <c r="O99" s="490">
        <v>0.5</v>
      </c>
      <c r="P99" s="491">
        <v>0.5</v>
      </c>
      <c r="Q99" s="500">
        <v>0</v>
      </c>
      <c r="R99" s="502">
        <f t="shared" si="116"/>
        <v>0</v>
      </c>
      <c r="S99" s="492">
        <v>0</v>
      </c>
      <c r="T99" s="492">
        <v>0</v>
      </c>
      <c r="U99" s="492">
        <v>0</v>
      </c>
      <c r="V99" s="492">
        <f t="shared" si="117"/>
        <v>0</v>
      </c>
      <c r="W99" s="713">
        <v>0</v>
      </c>
      <c r="X99" s="492">
        <v>0</v>
      </c>
      <c r="Y99" s="492">
        <v>0</v>
      </c>
      <c r="Z99" s="492">
        <f>SUM(W99:Y99)</f>
        <v>0</v>
      </c>
      <c r="AA99" s="492">
        <f>V99+Z99</f>
        <v>0</v>
      </c>
      <c r="AB99" s="74">
        <f>ROUND((V99+W99+X99)*33.8%,0)</f>
        <v>0</v>
      </c>
      <c r="AC99" s="74">
        <f>ROUND(V99*2%,0)</f>
        <v>0</v>
      </c>
      <c r="AD99" s="492">
        <v>0</v>
      </c>
      <c r="AE99" s="492">
        <v>0</v>
      </c>
      <c r="AF99" s="492">
        <f t="shared" si="118"/>
        <v>0</v>
      </c>
      <c r="AG99" s="492">
        <f t="shared" si="119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si="143"/>
        <v>0</v>
      </c>
      <c r="AP99" s="493">
        <f t="shared" si="144"/>
        <v>0</v>
      </c>
      <c r="AQ99" s="495">
        <f t="shared" si="120"/>
        <v>0</v>
      </c>
      <c r="AR99" s="501">
        <f>I99+AG99</f>
        <v>235235</v>
      </c>
      <c r="AS99" s="492">
        <f>J99+V99</f>
        <v>173222</v>
      </c>
      <c r="AT99" s="492">
        <f t="shared" si="145"/>
        <v>0</v>
      </c>
      <c r="AU99" s="492">
        <f t="shared" si="146"/>
        <v>58549</v>
      </c>
      <c r="AV99" s="492">
        <f t="shared" si="146"/>
        <v>3464</v>
      </c>
      <c r="AW99" s="492">
        <f>N99+AF99</f>
        <v>0</v>
      </c>
      <c r="AX99" s="493">
        <f>O99+AQ99</f>
        <v>0.5</v>
      </c>
      <c r="AY99" s="493">
        <f t="shared" si="147"/>
        <v>0.5</v>
      </c>
      <c r="AZ99" s="495">
        <f t="shared" si="147"/>
        <v>0</v>
      </c>
    </row>
    <row r="100" spans="1:52" ht="12.95" customHeight="1" x14ac:dyDescent="0.25">
      <c r="A100" s="314">
        <v>18</v>
      </c>
      <c r="B100" s="354">
        <v>5477</v>
      </c>
      <c r="C100" s="355">
        <v>600098541</v>
      </c>
      <c r="D100" s="314">
        <v>70698040</v>
      </c>
      <c r="E100" s="382" t="s">
        <v>466</v>
      </c>
      <c r="F100" s="354">
        <v>3141</v>
      </c>
      <c r="G100" s="378" t="s">
        <v>316</v>
      </c>
      <c r="H100" s="317" t="s">
        <v>279</v>
      </c>
      <c r="I100" s="494">
        <v>778244</v>
      </c>
      <c r="J100" s="489">
        <v>570519</v>
      </c>
      <c r="K100" s="489">
        <v>0</v>
      </c>
      <c r="L100" s="489">
        <v>192835</v>
      </c>
      <c r="M100" s="489">
        <v>11410</v>
      </c>
      <c r="N100" s="489">
        <v>3480</v>
      </c>
      <c r="O100" s="490">
        <v>1.8</v>
      </c>
      <c r="P100" s="491">
        <v>0</v>
      </c>
      <c r="Q100" s="500">
        <v>1.8</v>
      </c>
      <c r="R100" s="502">
        <f t="shared" si="116"/>
        <v>0</v>
      </c>
      <c r="S100" s="492">
        <v>0</v>
      </c>
      <c r="T100" s="492">
        <v>0</v>
      </c>
      <c r="U100" s="492">
        <v>0</v>
      </c>
      <c r="V100" s="492">
        <f t="shared" si="117"/>
        <v>0</v>
      </c>
      <c r="W100" s="713">
        <v>0</v>
      </c>
      <c r="X100" s="492">
        <v>0</v>
      </c>
      <c r="Y100" s="492">
        <v>0</v>
      </c>
      <c r="Z100" s="492">
        <f>SUM(W100:Y100)</f>
        <v>0</v>
      </c>
      <c r="AA100" s="492">
        <f>V100+Z100</f>
        <v>0</v>
      </c>
      <c r="AB100" s="74">
        <f>ROUND((V100+W100+X100)*33.8%,0)</f>
        <v>0</v>
      </c>
      <c r="AC100" s="74">
        <f>ROUND(V100*2%,0)</f>
        <v>0</v>
      </c>
      <c r="AD100" s="492">
        <v>0</v>
      </c>
      <c r="AE100" s="492">
        <v>0</v>
      </c>
      <c r="AF100" s="492">
        <f t="shared" si="118"/>
        <v>0</v>
      </c>
      <c r="AG100" s="492">
        <f t="shared" si="119"/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143"/>
        <v>0</v>
      </c>
      <c r="AP100" s="493">
        <f t="shared" si="144"/>
        <v>0</v>
      </c>
      <c r="AQ100" s="495">
        <f t="shared" si="120"/>
        <v>0</v>
      </c>
      <c r="AR100" s="501">
        <f>I100+AG100</f>
        <v>778244</v>
      </c>
      <c r="AS100" s="492">
        <f>J100+V100</f>
        <v>570519</v>
      </c>
      <c r="AT100" s="492">
        <f t="shared" si="145"/>
        <v>0</v>
      </c>
      <c r="AU100" s="492">
        <f t="shared" si="146"/>
        <v>192835</v>
      </c>
      <c r="AV100" s="492">
        <f t="shared" si="146"/>
        <v>11410</v>
      </c>
      <c r="AW100" s="492">
        <f>N100+AF100</f>
        <v>3480</v>
      </c>
      <c r="AX100" s="493">
        <f>O100+AQ100</f>
        <v>1.8</v>
      </c>
      <c r="AY100" s="493">
        <f t="shared" si="147"/>
        <v>0</v>
      </c>
      <c r="AZ100" s="495">
        <f t="shared" si="147"/>
        <v>1.8</v>
      </c>
    </row>
    <row r="101" spans="1:52" ht="12.95" customHeight="1" x14ac:dyDescent="0.25">
      <c r="A101" s="324">
        <v>18</v>
      </c>
      <c r="B101" s="358">
        <v>5477</v>
      </c>
      <c r="C101" s="359">
        <v>600098541</v>
      </c>
      <c r="D101" s="358">
        <v>70698040</v>
      </c>
      <c r="E101" s="383" t="s">
        <v>467</v>
      </c>
      <c r="F101" s="358"/>
      <c r="G101" s="384"/>
      <c r="H101" s="385"/>
      <c r="I101" s="616">
        <v>5997207</v>
      </c>
      <c r="J101" s="614">
        <v>4390560</v>
      </c>
      <c r="K101" s="614">
        <v>3250</v>
      </c>
      <c r="L101" s="614">
        <v>1485107</v>
      </c>
      <c r="M101" s="614">
        <v>87810</v>
      </c>
      <c r="N101" s="614">
        <v>30480</v>
      </c>
      <c r="O101" s="615">
        <v>10.419300000000002</v>
      </c>
      <c r="P101" s="615">
        <v>6.6451000000000002</v>
      </c>
      <c r="Q101" s="617">
        <v>3.7742</v>
      </c>
      <c r="R101" s="616">
        <f t="shared" ref="R101:AZ101" si="148">SUM(R98:R100)</f>
        <v>0</v>
      </c>
      <c r="S101" s="614">
        <f t="shared" si="148"/>
        <v>0</v>
      </c>
      <c r="T101" s="614">
        <f t="shared" si="148"/>
        <v>0</v>
      </c>
      <c r="U101" s="614">
        <f t="shared" si="148"/>
        <v>0</v>
      </c>
      <c r="V101" s="614">
        <f t="shared" si="148"/>
        <v>0</v>
      </c>
      <c r="W101" s="614">
        <f t="shared" si="148"/>
        <v>0</v>
      </c>
      <c r="X101" s="614">
        <f t="shared" si="148"/>
        <v>0</v>
      </c>
      <c r="Y101" s="614">
        <f t="shared" si="148"/>
        <v>0</v>
      </c>
      <c r="Z101" s="614">
        <f t="shared" si="148"/>
        <v>0</v>
      </c>
      <c r="AA101" s="614">
        <f t="shared" si="148"/>
        <v>0</v>
      </c>
      <c r="AB101" s="614">
        <f t="shared" si="148"/>
        <v>0</v>
      </c>
      <c r="AC101" s="614">
        <f t="shared" si="148"/>
        <v>0</v>
      </c>
      <c r="AD101" s="614">
        <f t="shared" si="148"/>
        <v>0</v>
      </c>
      <c r="AE101" s="614">
        <f t="shared" si="148"/>
        <v>0</v>
      </c>
      <c r="AF101" s="614">
        <f t="shared" si="148"/>
        <v>0</v>
      </c>
      <c r="AG101" s="614">
        <f t="shared" si="148"/>
        <v>0</v>
      </c>
      <c r="AH101" s="615">
        <f t="shared" si="148"/>
        <v>0</v>
      </c>
      <c r="AI101" s="615">
        <f t="shared" si="148"/>
        <v>0</v>
      </c>
      <c r="AJ101" s="615">
        <f t="shared" si="148"/>
        <v>0</v>
      </c>
      <c r="AK101" s="615">
        <f t="shared" si="148"/>
        <v>0</v>
      </c>
      <c r="AL101" s="615">
        <f t="shared" si="148"/>
        <v>0</v>
      </c>
      <c r="AM101" s="615">
        <f t="shared" si="148"/>
        <v>0</v>
      </c>
      <c r="AN101" s="615">
        <f t="shared" si="148"/>
        <v>0</v>
      </c>
      <c r="AO101" s="615">
        <f t="shared" si="148"/>
        <v>0</v>
      </c>
      <c r="AP101" s="615">
        <f t="shared" si="148"/>
        <v>0</v>
      </c>
      <c r="AQ101" s="386">
        <f t="shared" si="148"/>
        <v>0</v>
      </c>
      <c r="AR101" s="618">
        <f t="shared" si="148"/>
        <v>5997207</v>
      </c>
      <c r="AS101" s="614">
        <f t="shared" si="148"/>
        <v>4390560</v>
      </c>
      <c r="AT101" s="614">
        <f t="shared" si="148"/>
        <v>3250</v>
      </c>
      <c r="AU101" s="614">
        <f t="shared" si="148"/>
        <v>1485107</v>
      </c>
      <c r="AV101" s="614">
        <f t="shared" si="148"/>
        <v>87810</v>
      </c>
      <c r="AW101" s="614">
        <f t="shared" si="148"/>
        <v>30480</v>
      </c>
      <c r="AX101" s="615">
        <f t="shared" si="148"/>
        <v>10.419300000000002</v>
      </c>
      <c r="AY101" s="615">
        <f t="shared" si="148"/>
        <v>6.6451000000000002</v>
      </c>
      <c r="AZ101" s="386">
        <f t="shared" si="148"/>
        <v>3.7742</v>
      </c>
    </row>
    <row r="102" spans="1:52" ht="12.95" customHeight="1" x14ac:dyDescent="0.25">
      <c r="A102" s="314">
        <v>19</v>
      </c>
      <c r="B102" s="354">
        <v>5478</v>
      </c>
      <c r="C102" s="355">
        <v>600098818</v>
      </c>
      <c r="D102" s="314">
        <v>70698031</v>
      </c>
      <c r="E102" s="382" t="s">
        <v>468</v>
      </c>
      <c r="F102" s="354">
        <v>3111</v>
      </c>
      <c r="G102" s="378" t="s">
        <v>326</v>
      </c>
      <c r="H102" s="317" t="s">
        <v>278</v>
      </c>
      <c r="I102" s="494">
        <v>3650674</v>
      </c>
      <c r="J102" s="489">
        <v>2671704</v>
      </c>
      <c r="K102" s="489">
        <v>0</v>
      </c>
      <c r="L102" s="489">
        <v>903036</v>
      </c>
      <c r="M102" s="489">
        <v>53434</v>
      </c>
      <c r="N102" s="489">
        <v>22500</v>
      </c>
      <c r="O102" s="490">
        <v>5.5221999999999998</v>
      </c>
      <c r="P102" s="491">
        <v>4.0321999999999996</v>
      </c>
      <c r="Q102" s="500">
        <v>1.49</v>
      </c>
      <c r="R102" s="502">
        <f t="shared" si="116"/>
        <v>0</v>
      </c>
      <c r="S102" s="492">
        <v>0</v>
      </c>
      <c r="T102" s="492">
        <v>0</v>
      </c>
      <c r="U102" s="492">
        <v>0</v>
      </c>
      <c r="V102" s="492">
        <f t="shared" si="117"/>
        <v>0</v>
      </c>
      <c r="W102" s="492">
        <v>0</v>
      </c>
      <c r="X102" s="492">
        <v>0</v>
      </c>
      <c r="Y102" s="492">
        <v>0</v>
      </c>
      <c r="Z102" s="492">
        <f>SUM(W102:Y102)</f>
        <v>0</v>
      </c>
      <c r="AA102" s="492">
        <f>V102+Z102</f>
        <v>0</v>
      </c>
      <c r="AB102" s="74">
        <f>ROUND((V102+W102+X102)*33.8%,0)</f>
        <v>0</v>
      </c>
      <c r="AC102" s="74">
        <f>ROUND(V102*2%,0)</f>
        <v>0</v>
      </c>
      <c r="AD102" s="492">
        <v>0</v>
      </c>
      <c r="AE102" s="492">
        <v>0</v>
      </c>
      <c r="AF102" s="492">
        <f t="shared" si="118"/>
        <v>0</v>
      </c>
      <c r="AG102" s="492">
        <f t="shared" si="119"/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 t="shared" ref="AO102:AO103" si="149">AH102+AJ102+AK102+AM102</f>
        <v>0</v>
      </c>
      <c r="AP102" s="493">
        <f t="shared" ref="AP102:AP103" si="150">AI102+AN102+AL102</f>
        <v>0</v>
      </c>
      <c r="AQ102" s="495">
        <f t="shared" si="120"/>
        <v>0</v>
      </c>
      <c r="AR102" s="501">
        <f>I102+AG102</f>
        <v>3650674</v>
      </c>
      <c r="AS102" s="492">
        <f>J102+V102</f>
        <v>2671704</v>
      </c>
      <c r="AT102" s="492">
        <f t="shared" ref="AT102:AT103" si="151">K102+Z102</f>
        <v>0</v>
      </c>
      <c r="AU102" s="492">
        <f>L102+AB102</f>
        <v>903036</v>
      </c>
      <c r="AV102" s="492">
        <f>M102+AC102</f>
        <v>53434</v>
      </c>
      <c r="AW102" s="492">
        <f>N102+AF102</f>
        <v>22500</v>
      </c>
      <c r="AX102" s="493">
        <f>O102+AQ102</f>
        <v>5.5221999999999998</v>
      </c>
      <c r="AY102" s="493">
        <f>P102+AO102</f>
        <v>4.0321999999999996</v>
      </c>
      <c r="AZ102" s="495">
        <f>Q102+AP102</f>
        <v>1.49</v>
      </c>
    </row>
    <row r="103" spans="1:52" ht="12.95" customHeight="1" x14ac:dyDescent="0.25">
      <c r="A103" s="314">
        <v>19</v>
      </c>
      <c r="B103" s="314">
        <v>5478</v>
      </c>
      <c r="C103" s="363">
        <v>600098818</v>
      </c>
      <c r="D103" s="314">
        <v>70698031</v>
      </c>
      <c r="E103" s="316" t="s">
        <v>468</v>
      </c>
      <c r="F103" s="314">
        <v>3141</v>
      </c>
      <c r="G103" s="378" t="s">
        <v>316</v>
      </c>
      <c r="H103" s="317" t="s">
        <v>279</v>
      </c>
      <c r="I103" s="494">
        <v>687718</v>
      </c>
      <c r="J103" s="489">
        <v>504284</v>
      </c>
      <c r="K103" s="489">
        <v>0</v>
      </c>
      <c r="L103" s="489">
        <v>170448</v>
      </c>
      <c r="M103" s="489">
        <v>10086</v>
      </c>
      <c r="N103" s="489">
        <v>2900</v>
      </c>
      <c r="O103" s="490">
        <v>1.59</v>
      </c>
      <c r="P103" s="491">
        <v>0</v>
      </c>
      <c r="Q103" s="500">
        <v>1.59</v>
      </c>
      <c r="R103" s="502">
        <f t="shared" si="116"/>
        <v>0</v>
      </c>
      <c r="S103" s="492">
        <v>0</v>
      </c>
      <c r="T103" s="492">
        <v>0</v>
      </c>
      <c r="U103" s="492">
        <v>0</v>
      </c>
      <c r="V103" s="492">
        <f t="shared" si="117"/>
        <v>0</v>
      </c>
      <c r="W103" s="492">
        <v>0</v>
      </c>
      <c r="X103" s="492">
        <v>0</v>
      </c>
      <c r="Y103" s="492">
        <v>0</v>
      </c>
      <c r="Z103" s="492">
        <f>SUM(W103:Y103)</f>
        <v>0</v>
      </c>
      <c r="AA103" s="492">
        <f>V103+Z103</f>
        <v>0</v>
      </c>
      <c r="AB103" s="74">
        <f>ROUND((V103+W103+X103)*33.8%,0)</f>
        <v>0</v>
      </c>
      <c r="AC103" s="74">
        <f>ROUND(V103*2%,0)</f>
        <v>0</v>
      </c>
      <c r="AD103" s="492">
        <v>0</v>
      </c>
      <c r="AE103" s="492">
        <v>0</v>
      </c>
      <c r="AF103" s="492">
        <f t="shared" si="118"/>
        <v>0</v>
      </c>
      <c r="AG103" s="492">
        <f t="shared" si="119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149"/>
        <v>0</v>
      </c>
      <c r="AP103" s="493">
        <f t="shared" si="150"/>
        <v>0</v>
      </c>
      <c r="AQ103" s="495">
        <f t="shared" si="120"/>
        <v>0</v>
      </c>
      <c r="AR103" s="501">
        <f>I103+AG103</f>
        <v>687718</v>
      </c>
      <c r="AS103" s="492">
        <f>J103+V103</f>
        <v>504284</v>
      </c>
      <c r="AT103" s="492">
        <f t="shared" si="151"/>
        <v>0</v>
      </c>
      <c r="AU103" s="492">
        <f>L103+AB103</f>
        <v>170448</v>
      </c>
      <c r="AV103" s="492">
        <f>M103+AC103</f>
        <v>10086</v>
      </c>
      <c r="AW103" s="492">
        <f>N103+AF103</f>
        <v>2900</v>
      </c>
      <c r="AX103" s="493">
        <f>O103+AQ103</f>
        <v>1.59</v>
      </c>
      <c r="AY103" s="493">
        <f>P103+AO103</f>
        <v>0</v>
      </c>
      <c r="AZ103" s="495">
        <f>Q103+AP103</f>
        <v>1.59</v>
      </c>
    </row>
    <row r="104" spans="1:52" ht="12.95" customHeight="1" x14ac:dyDescent="0.25">
      <c r="A104" s="324">
        <v>19</v>
      </c>
      <c r="B104" s="308">
        <v>5478</v>
      </c>
      <c r="C104" s="379">
        <v>600098818</v>
      </c>
      <c r="D104" s="308">
        <v>70698031</v>
      </c>
      <c r="E104" s="321" t="s">
        <v>469</v>
      </c>
      <c r="F104" s="308"/>
      <c r="G104" s="380"/>
      <c r="H104" s="381"/>
      <c r="I104" s="616">
        <v>4338392</v>
      </c>
      <c r="J104" s="614">
        <v>3175988</v>
      </c>
      <c r="K104" s="614">
        <v>0</v>
      </c>
      <c r="L104" s="614">
        <v>1073484</v>
      </c>
      <c r="M104" s="614">
        <v>63520</v>
      </c>
      <c r="N104" s="614">
        <v>25400</v>
      </c>
      <c r="O104" s="615">
        <v>7.1121999999999996</v>
      </c>
      <c r="P104" s="615">
        <v>4.0321999999999996</v>
      </c>
      <c r="Q104" s="617">
        <v>3.08</v>
      </c>
      <c r="R104" s="616">
        <f t="shared" ref="R104:AZ104" si="152">SUM(R102:R103)</f>
        <v>0</v>
      </c>
      <c r="S104" s="614">
        <f t="shared" si="152"/>
        <v>0</v>
      </c>
      <c r="T104" s="614">
        <f t="shared" si="152"/>
        <v>0</v>
      </c>
      <c r="U104" s="614">
        <f t="shared" si="152"/>
        <v>0</v>
      </c>
      <c r="V104" s="614">
        <f t="shared" si="152"/>
        <v>0</v>
      </c>
      <c r="W104" s="614">
        <f t="shared" si="152"/>
        <v>0</v>
      </c>
      <c r="X104" s="614">
        <f t="shared" si="152"/>
        <v>0</v>
      </c>
      <c r="Y104" s="614">
        <f t="shared" si="152"/>
        <v>0</v>
      </c>
      <c r="Z104" s="614">
        <f t="shared" si="152"/>
        <v>0</v>
      </c>
      <c r="AA104" s="614">
        <f t="shared" si="152"/>
        <v>0</v>
      </c>
      <c r="AB104" s="614">
        <f t="shared" si="152"/>
        <v>0</v>
      </c>
      <c r="AC104" s="614">
        <f t="shared" si="152"/>
        <v>0</v>
      </c>
      <c r="AD104" s="614">
        <f t="shared" si="152"/>
        <v>0</v>
      </c>
      <c r="AE104" s="614">
        <f t="shared" si="152"/>
        <v>0</v>
      </c>
      <c r="AF104" s="614">
        <f t="shared" si="152"/>
        <v>0</v>
      </c>
      <c r="AG104" s="614">
        <f t="shared" si="152"/>
        <v>0</v>
      </c>
      <c r="AH104" s="615">
        <f t="shared" si="152"/>
        <v>0</v>
      </c>
      <c r="AI104" s="615">
        <f t="shared" si="152"/>
        <v>0</v>
      </c>
      <c r="AJ104" s="615">
        <f t="shared" si="152"/>
        <v>0</v>
      </c>
      <c r="AK104" s="615">
        <f t="shared" si="152"/>
        <v>0</v>
      </c>
      <c r="AL104" s="615">
        <f t="shared" si="152"/>
        <v>0</v>
      </c>
      <c r="AM104" s="615">
        <f t="shared" si="152"/>
        <v>0</v>
      </c>
      <c r="AN104" s="615">
        <f t="shared" si="152"/>
        <v>0</v>
      </c>
      <c r="AO104" s="615">
        <f t="shared" si="152"/>
        <v>0</v>
      </c>
      <c r="AP104" s="615">
        <f t="shared" si="152"/>
        <v>0</v>
      </c>
      <c r="AQ104" s="386">
        <f t="shared" si="152"/>
        <v>0</v>
      </c>
      <c r="AR104" s="618">
        <f t="shared" si="152"/>
        <v>4338392</v>
      </c>
      <c r="AS104" s="614">
        <f t="shared" si="152"/>
        <v>3175988</v>
      </c>
      <c r="AT104" s="614">
        <f t="shared" si="152"/>
        <v>0</v>
      </c>
      <c r="AU104" s="614">
        <f t="shared" si="152"/>
        <v>1073484</v>
      </c>
      <c r="AV104" s="614">
        <f t="shared" si="152"/>
        <v>63520</v>
      </c>
      <c r="AW104" s="614">
        <f t="shared" si="152"/>
        <v>25400</v>
      </c>
      <c r="AX104" s="615">
        <f t="shared" si="152"/>
        <v>7.1121999999999996</v>
      </c>
      <c r="AY104" s="615">
        <f t="shared" si="152"/>
        <v>4.0321999999999996</v>
      </c>
      <c r="AZ104" s="386">
        <f t="shared" si="152"/>
        <v>3.08</v>
      </c>
    </row>
    <row r="105" spans="1:52" ht="12.95" customHeight="1" x14ac:dyDescent="0.25">
      <c r="A105" s="314">
        <v>20</v>
      </c>
      <c r="B105" s="354">
        <v>5479</v>
      </c>
      <c r="C105" s="355">
        <v>600099105</v>
      </c>
      <c r="D105" s="314">
        <v>70910600</v>
      </c>
      <c r="E105" s="382" t="s">
        <v>470</v>
      </c>
      <c r="F105" s="354">
        <v>3113</v>
      </c>
      <c r="G105" s="378" t="s">
        <v>330</v>
      </c>
      <c r="H105" s="317" t="s">
        <v>278</v>
      </c>
      <c r="I105" s="494">
        <v>15968408</v>
      </c>
      <c r="J105" s="489">
        <v>11529686</v>
      </c>
      <c r="K105" s="489">
        <v>3120</v>
      </c>
      <c r="L105" s="489">
        <v>3898088</v>
      </c>
      <c r="M105" s="489">
        <v>230594</v>
      </c>
      <c r="N105" s="489">
        <v>306920</v>
      </c>
      <c r="O105" s="490">
        <v>20.354900000000001</v>
      </c>
      <c r="P105" s="491">
        <v>15.3773</v>
      </c>
      <c r="Q105" s="500">
        <v>4.9776000000000007</v>
      </c>
      <c r="R105" s="502">
        <f t="shared" si="116"/>
        <v>0</v>
      </c>
      <c r="S105" s="492">
        <v>0</v>
      </c>
      <c r="T105" s="492">
        <v>0</v>
      </c>
      <c r="U105" s="492">
        <v>0</v>
      </c>
      <c r="V105" s="492">
        <f t="shared" si="117"/>
        <v>0</v>
      </c>
      <c r="W105" s="713">
        <v>0</v>
      </c>
      <c r="X105" s="492">
        <v>0</v>
      </c>
      <c r="Y105" s="492">
        <v>0</v>
      </c>
      <c r="Z105" s="492">
        <f t="shared" ref="Z105:Z110" si="153">SUM(W105:Y105)</f>
        <v>0</v>
      </c>
      <c r="AA105" s="492">
        <f t="shared" ref="AA105:AA110" si="154">V105+Z105</f>
        <v>0</v>
      </c>
      <c r="AB105" s="74">
        <f t="shared" ref="AB105:AB110" si="155">ROUND((V105+W105+X105)*33.8%,0)</f>
        <v>0</v>
      </c>
      <c r="AC105" s="74">
        <f t="shared" ref="AC105:AC110" si="156">ROUND(V105*2%,0)</f>
        <v>0</v>
      </c>
      <c r="AD105" s="492">
        <v>0</v>
      </c>
      <c r="AE105" s="492">
        <v>0</v>
      </c>
      <c r="AF105" s="492">
        <f t="shared" si="118"/>
        <v>0</v>
      </c>
      <c r="AG105" s="492">
        <f t="shared" si="119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 t="shared" ref="AO105:AO110" si="157">AH105+AJ105+AK105+AM105</f>
        <v>0</v>
      </c>
      <c r="AP105" s="493">
        <f t="shared" ref="AP105:AP110" si="158">AI105+AN105+AL105</f>
        <v>0</v>
      </c>
      <c r="AQ105" s="495">
        <f t="shared" si="120"/>
        <v>0</v>
      </c>
      <c r="AR105" s="501">
        <f t="shared" ref="AR105:AR110" si="159">I105+AG105</f>
        <v>15968408</v>
      </c>
      <c r="AS105" s="492">
        <f t="shared" ref="AS105:AS110" si="160">J105+V105</f>
        <v>11529686</v>
      </c>
      <c r="AT105" s="492">
        <f t="shared" ref="AT105:AT110" si="161">K105+Z105</f>
        <v>3120</v>
      </c>
      <c r="AU105" s="492">
        <f t="shared" ref="AU105:AV110" si="162">L105+AB105</f>
        <v>3898088</v>
      </c>
      <c r="AV105" s="492">
        <f t="shared" si="162"/>
        <v>230594</v>
      </c>
      <c r="AW105" s="492">
        <f t="shared" ref="AW105:AW110" si="163">N105+AF105</f>
        <v>306920</v>
      </c>
      <c r="AX105" s="493">
        <f t="shared" ref="AX105:AX110" si="164">O105+AQ105</f>
        <v>20.354900000000001</v>
      </c>
      <c r="AY105" s="493">
        <f t="shared" ref="AY105:AZ110" si="165">P105+AO105</f>
        <v>15.3773</v>
      </c>
      <c r="AZ105" s="495">
        <f t="shared" si="165"/>
        <v>4.9776000000000007</v>
      </c>
    </row>
    <row r="106" spans="1:52" ht="12.95" customHeight="1" x14ac:dyDescent="0.25">
      <c r="A106" s="314">
        <v>20</v>
      </c>
      <c r="B106" s="354">
        <v>5479</v>
      </c>
      <c r="C106" s="355">
        <v>600099105</v>
      </c>
      <c r="D106" s="314">
        <v>70910600</v>
      </c>
      <c r="E106" s="382" t="s">
        <v>470</v>
      </c>
      <c r="F106" s="354">
        <v>3113</v>
      </c>
      <c r="G106" s="319" t="s">
        <v>314</v>
      </c>
      <c r="H106" s="317" t="s">
        <v>278</v>
      </c>
      <c r="I106" s="494">
        <v>447117</v>
      </c>
      <c r="J106" s="489">
        <v>329247</v>
      </c>
      <c r="K106" s="489">
        <v>0</v>
      </c>
      <c r="L106" s="489">
        <v>111285</v>
      </c>
      <c r="M106" s="489">
        <v>6585</v>
      </c>
      <c r="N106" s="489">
        <v>0</v>
      </c>
      <c r="O106" s="490">
        <v>0.80559999999999998</v>
      </c>
      <c r="P106" s="491">
        <v>0.80559999999999998</v>
      </c>
      <c r="Q106" s="500">
        <v>0</v>
      </c>
      <c r="R106" s="502">
        <f t="shared" si="116"/>
        <v>0</v>
      </c>
      <c r="S106" s="492">
        <v>0</v>
      </c>
      <c r="T106" s="492">
        <v>0</v>
      </c>
      <c r="U106" s="492">
        <v>0</v>
      </c>
      <c r="V106" s="492">
        <f t="shared" si="117"/>
        <v>0</v>
      </c>
      <c r="W106" s="713">
        <v>0</v>
      </c>
      <c r="X106" s="492">
        <v>0</v>
      </c>
      <c r="Y106" s="492">
        <v>0</v>
      </c>
      <c r="Z106" s="492">
        <f t="shared" si="153"/>
        <v>0</v>
      </c>
      <c r="AA106" s="492">
        <f t="shared" si="154"/>
        <v>0</v>
      </c>
      <c r="AB106" s="74">
        <f t="shared" si="155"/>
        <v>0</v>
      </c>
      <c r="AC106" s="74">
        <f t="shared" si="156"/>
        <v>0</v>
      </c>
      <c r="AD106" s="492">
        <v>0</v>
      </c>
      <c r="AE106" s="492">
        <v>0</v>
      </c>
      <c r="AF106" s="492">
        <f t="shared" si="118"/>
        <v>0</v>
      </c>
      <c r="AG106" s="492">
        <f t="shared" si="119"/>
        <v>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157"/>
        <v>0</v>
      </c>
      <c r="AP106" s="493">
        <f t="shared" si="158"/>
        <v>0</v>
      </c>
      <c r="AQ106" s="495">
        <f t="shared" si="120"/>
        <v>0</v>
      </c>
      <c r="AR106" s="501">
        <f t="shared" si="159"/>
        <v>447117</v>
      </c>
      <c r="AS106" s="492">
        <f t="shared" si="160"/>
        <v>329247</v>
      </c>
      <c r="AT106" s="492">
        <f t="shared" si="161"/>
        <v>0</v>
      </c>
      <c r="AU106" s="492">
        <f t="shared" si="162"/>
        <v>111285</v>
      </c>
      <c r="AV106" s="492">
        <f t="shared" si="162"/>
        <v>6585</v>
      </c>
      <c r="AW106" s="492">
        <f t="shared" si="163"/>
        <v>0</v>
      </c>
      <c r="AX106" s="493">
        <f t="shared" si="164"/>
        <v>0.80559999999999998</v>
      </c>
      <c r="AY106" s="493">
        <f t="shared" si="165"/>
        <v>0.80559999999999998</v>
      </c>
      <c r="AZ106" s="495">
        <f t="shared" si="165"/>
        <v>0</v>
      </c>
    </row>
    <row r="107" spans="1:52" ht="12.95" customHeight="1" x14ac:dyDescent="0.25">
      <c r="A107" s="314">
        <v>20</v>
      </c>
      <c r="B107" s="354">
        <v>5479</v>
      </c>
      <c r="C107" s="355">
        <v>600099105</v>
      </c>
      <c r="D107" s="314">
        <v>70910600</v>
      </c>
      <c r="E107" s="382" t="s">
        <v>470</v>
      </c>
      <c r="F107" s="354">
        <v>3113</v>
      </c>
      <c r="G107" s="317" t="s">
        <v>313</v>
      </c>
      <c r="H107" s="317" t="s">
        <v>279</v>
      </c>
      <c r="I107" s="494">
        <v>1193608</v>
      </c>
      <c r="J107" s="489">
        <v>878577</v>
      </c>
      <c r="K107" s="489">
        <v>0</v>
      </c>
      <c r="L107" s="489">
        <v>296959</v>
      </c>
      <c r="M107" s="489">
        <v>17572</v>
      </c>
      <c r="N107" s="489">
        <v>500</v>
      </c>
      <c r="O107" s="490">
        <v>2.15</v>
      </c>
      <c r="P107" s="491">
        <v>2.15</v>
      </c>
      <c r="Q107" s="500">
        <v>0</v>
      </c>
      <c r="R107" s="502">
        <f t="shared" si="116"/>
        <v>0</v>
      </c>
      <c r="S107" s="492">
        <v>0</v>
      </c>
      <c r="T107" s="492">
        <v>0</v>
      </c>
      <c r="U107" s="492">
        <v>0</v>
      </c>
      <c r="V107" s="492">
        <f t="shared" si="117"/>
        <v>0</v>
      </c>
      <c r="W107" s="713">
        <v>0</v>
      </c>
      <c r="X107" s="492">
        <v>0</v>
      </c>
      <c r="Y107" s="492">
        <v>0</v>
      </c>
      <c r="Z107" s="492">
        <f t="shared" si="153"/>
        <v>0</v>
      </c>
      <c r="AA107" s="492">
        <f t="shared" si="154"/>
        <v>0</v>
      </c>
      <c r="AB107" s="74">
        <f t="shared" si="155"/>
        <v>0</v>
      </c>
      <c r="AC107" s="74">
        <f t="shared" si="156"/>
        <v>0</v>
      </c>
      <c r="AD107" s="492">
        <v>0</v>
      </c>
      <c r="AE107" s="492">
        <v>0</v>
      </c>
      <c r="AF107" s="492">
        <f t="shared" si="118"/>
        <v>0</v>
      </c>
      <c r="AG107" s="492">
        <f t="shared" si="119"/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 t="shared" si="157"/>
        <v>0</v>
      </c>
      <c r="AP107" s="493">
        <f t="shared" si="158"/>
        <v>0</v>
      </c>
      <c r="AQ107" s="495">
        <f t="shared" si="120"/>
        <v>0</v>
      </c>
      <c r="AR107" s="501">
        <f t="shared" si="159"/>
        <v>1193608</v>
      </c>
      <c r="AS107" s="492">
        <f t="shared" si="160"/>
        <v>878577</v>
      </c>
      <c r="AT107" s="492">
        <f t="shared" si="161"/>
        <v>0</v>
      </c>
      <c r="AU107" s="492">
        <f t="shared" si="162"/>
        <v>296959</v>
      </c>
      <c r="AV107" s="492">
        <f t="shared" si="162"/>
        <v>17572</v>
      </c>
      <c r="AW107" s="492">
        <f t="shared" si="163"/>
        <v>500</v>
      </c>
      <c r="AX107" s="493">
        <f t="shared" si="164"/>
        <v>2.15</v>
      </c>
      <c r="AY107" s="493">
        <f t="shared" si="165"/>
        <v>2.15</v>
      </c>
      <c r="AZ107" s="495">
        <f t="shared" si="165"/>
        <v>0</v>
      </c>
    </row>
    <row r="108" spans="1:52" ht="12.95" customHeight="1" x14ac:dyDescent="0.25">
      <c r="A108" s="314">
        <v>20</v>
      </c>
      <c r="B108" s="354">
        <v>5479</v>
      </c>
      <c r="C108" s="355">
        <v>600099105</v>
      </c>
      <c r="D108" s="314">
        <v>70910600</v>
      </c>
      <c r="E108" s="382" t="s">
        <v>470</v>
      </c>
      <c r="F108" s="354">
        <v>3141</v>
      </c>
      <c r="G108" s="378" t="s">
        <v>316</v>
      </c>
      <c r="H108" s="317" t="s">
        <v>279</v>
      </c>
      <c r="I108" s="494">
        <v>1466722</v>
      </c>
      <c r="J108" s="489">
        <v>1071860</v>
      </c>
      <c r="K108" s="489">
        <v>0</v>
      </c>
      <c r="L108" s="489">
        <v>362289</v>
      </c>
      <c r="M108" s="489">
        <v>21437</v>
      </c>
      <c r="N108" s="489">
        <v>11136</v>
      </c>
      <c r="O108" s="490">
        <v>3.38</v>
      </c>
      <c r="P108" s="491">
        <v>0</v>
      </c>
      <c r="Q108" s="500">
        <v>3.38</v>
      </c>
      <c r="R108" s="502">
        <f t="shared" si="116"/>
        <v>0</v>
      </c>
      <c r="S108" s="492">
        <v>0</v>
      </c>
      <c r="T108" s="492">
        <v>0</v>
      </c>
      <c r="U108" s="492">
        <v>0</v>
      </c>
      <c r="V108" s="492">
        <f t="shared" si="117"/>
        <v>0</v>
      </c>
      <c r="W108" s="713">
        <v>0</v>
      </c>
      <c r="X108" s="492">
        <v>0</v>
      </c>
      <c r="Y108" s="492">
        <v>0</v>
      </c>
      <c r="Z108" s="492">
        <f t="shared" si="153"/>
        <v>0</v>
      </c>
      <c r="AA108" s="492">
        <f t="shared" si="154"/>
        <v>0</v>
      </c>
      <c r="AB108" s="74">
        <f t="shared" si="155"/>
        <v>0</v>
      </c>
      <c r="AC108" s="74">
        <f t="shared" si="156"/>
        <v>0</v>
      </c>
      <c r="AD108" s="492">
        <v>0</v>
      </c>
      <c r="AE108" s="492">
        <v>0</v>
      </c>
      <c r="AF108" s="492">
        <f t="shared" si="118"/>
        <v>0</v>
      </c>
      <c r="AG108" s="492">
        <f t="shared" si="119"/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si="157"/>
        <v>0</v>
      </c>
      <c r="AP108" s="493">
        <f t="shared" si="158"/>
        <v>0</v>
      </c>
      <c r="AQ108" s="495">
        <f t="shared" si="120"/>
        <v>0</v>
      </c>
      <c r="AR108" s="501">
        <f t="shared" si="159"/>
        <v>1466722</v>
      </c>
      <c r="AS108" s="492">
        <f t="shared" si="160"/>
        <v>1071860</v>
      </c>
      <c r="AT108" s="492">
        <f t="shared" si="161"/>
        <v>0</v>
      </c>
      <c r="AU108" s="492">
        <f t="shared" si="162"/>
        <v>362289</v>
      </c>
      <c r="AV108" s="492">
        <f t="shared" si="162"/>
        <v>21437</v>
      </c>
      <c r="AW108" s="492">
        <f t="shared" si="163"/>
        <v>11136</v>
      </c>
      <c r="AX108" s="493">
        <f t="shared" si="164"/>
        <v>3.38</v>
      </c>
      <c r="AY108" s="493">
        <f t="shared" si="165"/>
        <v>0</v>
      </c>
      <c r="AZ108" s="495">
        <f t="shared" si="165"/>
        <v>3.38</v>
      </c>
    </row>
    <row r="109" spans="1:52" ht="12.95" customHeight="1" x14ac:dyDescent="0.25">
      <c r="A109" s="314">
        <v>20</v>
      </c>
      <c r="B109" s="354">
        <v>5479</v>
      </c>
      <c r="C109" s="355">
        <v>600099105</v>
      </c>
      <c r="D109" s="314">
        <v>70910600</v>
      </c>
      <c r="E109" s="382" t="s">
        <v>470</v>
      </c>
      <c r="F109" s="354">
        <v>3143</v>
      </c>
      <c r="G109" s="317" t="s">
        <v>629</v>
      </c>
      <c r="H109" s="317" t="s">
        <v>278</v>
      </c>
      <c r="I109" s="494">
        <v>1509731</v>
      </c>
      <c r="J109" s="489">
        <v>1111731</v>
      </c>
      <c r="K109" s="489">
        <v>0</v>
      </c>
      <c r="L109" s="489">
        <v>375765</v>
      </c>
      <c r="M109" s="489">
        <v>22235</v>
      </c>
      <c r="N109" s="489">
        <v>0</v>
      </c>
      <c r="O109" s="490">
        <v>2.1667000000000001</v>
      </c>
      <c r="P109" s="491">
        <v>2.1667000000000001</v>
      </c>
      <c r="Q109" s="500">
        <v>0</v>
      </c>
      <c r="R109" s="502">
        <f t="shared" si="116"/>
        <v>0</v>
      </c>
      <c r="S109" s="492">
        <v>0</v>
      </c>
      <c r="T109" s="492">
        <v>0</v>
      </c>
      <c r="U109" s="492">
        <v>0</v>
      </c>
      <c r="V109" s="492">
        <f t="shared" si="117"/>
        <v>0</v>
      </c>
      <c r="W109" s="713">
        <v>0</v>
      </c>
      <c r="X109" s="492">
        <v>0</v>
      </c>
      <c r="Y109" s="492">
        <v>0</v>
      </c>
      <c r="Z109" s="492">
        <f t="shared" si="153"/>
        <v>0</v>
      </c>
      <c r="AA109" s="492">
        <f t="shared" si="154"/>
        <v>0</v>
      </c>
      <c r="AB109" s="74">
        <f t="shared" si="155"/>
        <v>0</v>
      </c>
      <c r="AC109" s="74">
        <f t="shared" si="156"/>
        <v>0</v>
      </c>
      <c r="AD109" s="492">
        <v>0</v>
      </c>
      <c r="AE109" s="492">
        <v>0</v>
      </c>
      <c r="AF109" s="492">
        <f t="shared" si="118"/>
        <v>0</v>
      </c>
      <c r="AG109" s="492">
        <f t="shared" si="119"/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si="157"/>
        <v>0</v>
      </c>
      <c r="AP109" s="493">
        <f t="shared" si="158"/>
        <v>0</v>
      </c>
      <c r="AQ109" s="495">
        <f t="shared" si="120"/>
        <v>0</v>
      </c>
      <c r="AR109" s="501">
        <f t="shared" si="159"/>
        <v>1509731</v>
      </c>
      <c r="AS109" s="492">
        <f t="shared" si="160"/>
        <v>1111731</v>
      </c>
      <c r="AT109" s="492">
        <f t="shared" si="161"/>
        <v>0</v>
      </c>
      <c r="AU109" s="492">
        <f t="shared" si="162"/>
        <v>375765</v>
      </c>
      <c r="AV109" s="492">
        <f t="shared" si="162"/>
        <v>22235</v>
      </c>
      <c r="AW109" s="492">
        <f t="shared" si="163"/>
        <v>0</v>
      </c>
      <c r="AX109" s="493">
        <f t="shared" si="164"/>
        <v>2.1667000000000001</v>
      </c>
      <c r="AY109" s="493">
        <f t="shared" si="165"/>
        <v>2.1667000000000001</v>
      </c>
      <c r="AZ109" s="495">
        <f t="shared" si="165"/>
        <v>0</v>
      </c>
    </row>
    <row r="110" spans="1:52" ht="12.95" customHeight="1" x14ac:dyDescent="0.25">
      <c r="A110" s="314">
        <v>20</v>
      </c>
      <c r="B110" s="354">
        <v>5479</v>
      </c>
      <c r="C110" s="355">
        <v>600099105</v>
      </c>
      <c r="D110" s="314">
        <v>70910600</v>
      </c>
      <c r="E110" s="382" t="s">
        <v>470</v>
      </c>
      <c r="F110" s="354">
        <v>3143</v>
      </c>
      <c r="G110" s="317" t="s">
        <v>630</v>
      </c>
      <c r="H110" s="317" t="s">
        <v>279</v>
      </c>
      <c r="I110" s="494">
        <v>49141</v>
      </c>
      <c r="J110" s="489">
        <v>34750</v>
      </c>
      <c r="K110" s="489">
        <v>0</v>
      </c>
      <c r="L110" s="489">
        <v>11746</v>
      </c>
      <c r="M110" s="489">
        <v>695</v>
      </c>
      <c r="N110" s="489">
        <v>1950</v>
      </c>
      <c r="O110" s="490">
        <v>0.14000000000000001</v>
      </c>
      <c r="P110" s="491">
        <v>0</v>
      </c>
      <c r="Q110" s="500">
        <v>0.14000000000000001</v>
      </c>
      <c r="R110" s="502">
        <f t="shared" si="116"/>
        <v>0</v>
      </c>
      <c r="S110" s="492">
        <v>0</v>
      </c>
      <c r="T110" s="492">
        <v>0</v>
      </c>
      <c r="U110" s="492">
        <v>0</v>
      </c>
      <c r="V110" s="492">
        <f t="shared" si="117"/>
        <v>0</v>
      </c>
      <c r="W110" s="713">
        <v>0</v>
      </c>
      <c r="X110" s="492">
        <v>0</v>
      </c>
      <c r="Y110" s="492">
        <v>0</v>
      </c>
      <c r="Z110" s="492">
        <f t="shared" si="153"/>
        <v>0</v>
      </c>
      <c r="AA110" s="492">
        <f t="shared" si="154"/>
        <v>0</v>
      </c>
      <c r="AB110" s="74">
        <f t="shared" si="155"/>
        <v>0</v>
      </c>
      <c r="AC110" s="74">
        <f t="shared" si="156"/>
        <v>0</v>
      </c>
      <c r="AD110" s="492">
        <v>0</v>
      </c>
      <c r="AE110" s="492">
        <v>0</v>
      </c>
      <c r="AF110" s="492">
        <f t="shared" si="118"/>
        <v>0</v>
      </c>
      <c r="AG110" s="492">
        <f t="shared" si="119"/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157"/>
        <v>0</v>
      </c>
      <c r="AP110" s="493">
        <f t="shared" si="158"/>
        <v>0</v>
      </c>
      <c r="AQ110" s="495">
        <f t="shared" si="120"/>
        <v>0</v>
      </c>
      <c r="AR110" s="501">
        <f t="shared" si="159"/>
        <v>49141</v>
      </c>
      <c r="AS110" s="492">
        <f t="shared" si="160"/>
        <v>34750</v>
      </c>
      <c r="AT110" s="492">
        <f t="shared" si="161"/>
        <v>0</v>
      </c>
      <c r="AU110" s="492">
        <f t="shared" si="162"/>
        <v>11746</v>
      </c>
      <c r="AV110" s="492">
        <f t="shared" si="162"/>
        <v>695</v>
      </c>
      <c r="AW110" s="492">
        <f t="shared" si="163"/>
        <v>1950</v>
      </c>
      <c r="AX110" s="493">
        <f t="shared" si="164"/>
        <v>0.14000000000000001</v>
      </c>
      <c r="AY110" s="493">
        <f t="shared" si="165"/>
        <v>0</v>
      </c>
      <c r="AZ110" s="495">
        <f t="shared" si="165"/>
        <v>0.14000000000000001</v>
      </c>
    </row>
    <row r="111" spans="1:52" ht="12.95" customHeight="1" x14ac:dyDescent="0.25">
      <c r="A111" s="324">
        <v>20</v>
      </c>
      <c r="B111" s="358">
        <v>5479</v>
      </c>
      <c r="C111" s="359">
        <v>600099105</v>
      </c>
      <c r="D111" s="358">
        <v>70910600</v>
      </c>
      <c r="E111" s="383" t="s">
        <v>471</v>
      </c>
      <c r="F111" s="358"/>
      <c r="G111" s="384"/>
      <c r="H111" s="385"/>
      <c r="I111" s="584">
        <v>20634727</v>
      </c>
      <c r="J111" s="580">
        <v>14955851</v>
      </c>
      <c r="K111" s="580">
        <v>3120</v>
      </c>
      <c r="L111" s="580">
        <v>5056132</v>
      </c>
      <c r="M111" s="580">
        <v>299118</v>
      </c>
      <c r="N111" s="580">
        <v>320506</v>
      </c>
      <c r="O111" s="581">
        <v>28.997199999999996</v>
      </c>
      <c r="P111" s="581">
        <v>20.499599999999997</v>
      </c>
      <c r="Q111" s="586">
        <v>8.497600000000002</v>
      </c>
      <c r="R111" s="584">
        <f t="shared" ref="R111:AZ111" si="166">SUM(R105:R110)</f>
        <v>0</v>
      </c>
      <c r="S111" s="580">
        <f t="shared" si="166"/>
        <v>0</v>
      </c>
      <c r="T111" s="580">
        <f t="shared" si="166"/>
        <v>0</v>
      </c>
      <c r="U111" s="580">
        <f t="shared" si="166"/>
        <v>0</v>
      </c>
      <c r="V111" s="580">
        <f t="shared" si="166"/>
        <v>0</v>
      </c>
      <c r="W111" s="580">
        <f t="shared" si="166"/>
        <v>0</v>
      </c>
      <c r="X111" s="580">
        <f t="shared" si="166"/>
        <v>0</v>
      </c>
      <c r="Y111" s="580">
        <f t="shared" si="166"/>
        <v>0</v>
      </c>
      <c r="Z111" s="580">
        <f t="shared" si="166"/>
        <v>0</v>
      </c>
      <c r="AA111" s="580">
        <f t="shared" si="166"/>
        <v>0</v>
      </c>
      <c r="AB111" s="580">
        <f t="shared" si="166"/>
        <v>0</v>
      </c>
      <c r="AC111" s="580">
        <f t="shared" si="166"/>
        <v>0</v>
      </c>
      <c r="AD111" s="580">
        <f t="shared" si="166"/>
        <v>0</v>
      </c>
      <c r="AE111" s="580">
        <f t="shared" si="166"/>
        <v>0</v>
      </c>
      <c r="AF111" s="580">
        <f t="shared" si="166"/>
        <v>0</v>
      </c>
      <c r="AG111" s="580">
        <f t="shared" si="166"/>
        <v>0</v>
      </c>
      <c r="AH111" s="581">
        <f t="shared" si="166"/>
        <v>0</v>
      </c>
      <c r="AI111" s="581">
        <f t="shared" si="166"/>
        <v>0</v>
      </c>
      <c r="AJ111" s="581">
        <f t="shared" si="166"/>
        <v>0</v>
      </c>
      <c r="AK111" s="581">
        <f t="shared" si="166"/>
        <v>0</v>
      </c>
      <c r="AL111" s="581">
        <f t="shared" si="166"/>
        <v>0</v>
      </c>
      <c r="AM111" s="581">
        <f t="shared" si="166"/>
        <v>0</v>
      </c>
      <c r="AN111" s="581">
        <f t="shared" si="166"/>
        <v>0</v>
      </c>
      <c r="AO111" s="581">
        <f t="shared" si="166"/>
        <v>0</v>
      </c>
      <c r="AP111" s="581">
        <f t="shared" si="166"/>
        <v>0</v>
      </c>
      <c r="AQ111" s="312">
        <f t="shared" si="166"/>
        <v>0</v>
      </c>
      <c r="AR111" s="588">
        <f t="shared" si="166"/>
        <v>20634727</v>
      </c>
      <c r="AS111" s="580">
        <f t="shared" si="166"/>
        <v>14955851</v>
      </c>
      <c r="AT111" s="580">
        <f t="shared" si="166"/>
        <v>3120</v>
      </c>
      <c r="AU111" s="580">
        <f t="shared" si="166"/>
        <v>5056132</v>
      </c>
      <c r="AV111" s="580">
        <f t="shared" si="166"/>
        <v>299118</v>
      </c>
      <c r="AW111" s="580">
        <f t="shared" si="166"/>
        <v>320506</v>
      </c>
      <c r="AX111" s="581">
        <f t="shared" si="166"/>
        <v>28.997199999999996</v>
      </c>
      <c r="AY111" s="581">
        <f t="shared" si="166"/>
        <v>20.499599999999997</v>
      </c>
      <c r="AZ111" s="312">
        <f t="shared" si="166"/>
        <v>8.497600000000002</v>
      </c>
    </row>
    <row r="112" spans="1:52" ht="12.95" customHeight="1" x14ac:dyDescent="0.25">
      <c r="A112" s="314">
        <v>21</v>
      </c>
      <c r="B112" s="354">
        <v>5442</v>
      </c>
      <c r="C112" s="355">
        <v>650030541</v>
      </c>
      <c r="D112" s="314">
        <v>75017512</v>
      </c>
      <c r="E112" s="382" t="s">
        <v>472</v>
      </c>
      <c r="F112" s="354">
        <v>3111</v>
      </c>
      <c r="G112" s="378" t="s">
        <v>326</v>
      </c>
      <c r="H112" s="317" t="s">
        <v>278</v>
      </c>
      <c r="I112" s="494">
        <v>2728375</v>
      </c>
      <c r="J112" s="489">
        <v>1995858</v>
      </c>
      <c r="K112" s="489">
        <v>0</v>
      </c>
      <c r="L112" s="489">
        <v>674600</v>
      </c>
      <c r="M112" s="489">
        <v>39917</v>
      </c>
      <c r="N112" s="489">
        <v>18000</v>
      </c>
      <c r="O112" s="490">
        <v>4.4379</v>
      </c>
      <c r="P112" s="491">
        <v>3.5160999999999998</v>
      </c>
      <c r="Q112" s="500">
        <v>0.92179999999999995</v>
      </c>
      <c r="R112" s="502">
        <f t="shared" si="116"/>
        <v>0</v>
      </c>
      <c r="S112" s="492">
        <v>0</v>
      </c>
      <c r="T112" s="492">
        <v>0</v>
      </c>
      <c r="U112" s="492">
        <v>0</v>
      </c>
      <c r="V112" s="492">
        <f t="shared" si="117"/>
        <v>0</v>
      </c>
      <c r="W112" s="713">
        <v>0</v>
      </c>
      <c r="X112" s="492">
        <v>0</v>
      </c>
      <c r="Y112" s="492">
        <v>0</v>
      </c>
      <c r="Z112" s="492">
        <f t="shared" ref="Z112:Z117" si="167">SUM(W112:Y112)</f>
        <v>0</v>
      </c>
      <c r="AA112" s="492">
        <f t="shared" ref="AA112:AA117" si="168">V112+Z112</f>
        <v>0</v>
      </c>
      <c r="AB112" s="74">
        <f t="shared" ref="AB112:AB117" si="169">ROUND((V112+W112+X112)*33.8%,0)</f>
        <v>0</v>
      </c>
      <c r="AC112" s="74">
        <f t="shared" ref="AC112:AC117" si="170">ROUND(V112*2%,0)</f>
        <v>0</v>
      </c>
      <c r="AD112" s="492">
        <v>0</v>
      </c>
      <c r="AE112" s="492">
        <v>0</v>
      </c>
      <c r="AF112" s="492">
        <f t="shared" si="118"/>
        <v>0</v>
      </c>
      <c r="AG112" s="492">
        <f t="shared" si="119"/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ref="AO112:AO117" si="171">AH112+AJ112+AK112+AM112</f>
        <v>0</v>
      </c>
      <c r="AP112" s="493">
        <f t="shared" ref="AP112:AP117" si="172">AI112+AN112+AL112</f>
        <v>0</v>
      </c>
      <c r="AQ112" s="495">
        <f t="shared" si="120"/>
        <v>0</v>
      </c>
      <c r="AR112" s="501">
        <f t="shared" ref="AR112:AR117" si="173">I112+AG112</f>
        <v>2728375</v>
      </c>
      <c r="AS112" s="492">
        <f t="shared" ref="AS112:AS117" si="174">J112+V112</f>
        <v>1995858</v>
      </c>
      <c r="AT112" s="492">
        <f t="shared" ref="AT112:AT117" si="175">K112+Z112</f>
        <v>0</v>
      </c>
      <c r="AU112" s="492">
        <f t="shared" ref="AU112:AV117" si="176">L112+AB112</f>
        <v>674600</v>
      </c>
      <c r="AV112" s="492">
        <f t="shared" si="176"/>
        <v>39917</v>
      </c>
      <c r="AW112" s="492">
        <f t="shared" ref="AW112:AW117" si="177">N112+AF112</f>
        <v>18000</v>
      </c>
      <c r="AX112" s="493">
        <f t="shared" ref="AX112:AX117" si="178">O112+AQ112</f>
        <v>4.4379</v>
      </c>
      <c r="AY112" s="493">
        <f t="shared" ref="AY112:AZ117" si="179">P112+AO112</f>
        <v>3.5160999999999998</v>
      </c>
      <c r="AZ112" s="495">
        <f t="shared" si="179"/>
        <v>0.92179999999999995</v>
      </c>
    </row>
    <row r="113" spans="1:52" ht="12.95" customHeight="1" x14ac:dyDescent="0.25">
      <c r="A113" s="314">
        <v>21</v>
      </c>
      <c r="B113" s="354">
        <v>5442</v>
      </c>
      <c r="C113" s="355">
        <v>650030541</v>
      </c>
      <c r="D113" s="314">
        <v>75017512</v>
      </c>
      <c r="E113" s="382" t="s">
        <v>472</v>
      </c>
      <c r="F113" s="354">
        <v>3113</v>
      </c>
      <c r="G113" s="378" t="s">
        <v>330</v>
      </c>
      <c r="H113" s="317" t="s">
        <v>278</v>
      </c>
      <c r="I113" s="494">
        <v>11441089</v>
      </c>
      <c r="J113" s="489">
        <v>8267122</v>
      </c>
      <c r="K113" s="489">
        <v>16380</v>
      </c>
      <c r="L113" s="489">
        <v>2799824</v>
      </c>
      <c r="M113" s="489">
        <v>165343</v>
      </c>
      <c r="N113" s="489">
        <v>192420</v>
      </c>
      <c r="O113" s="490">
        <v>16.223399999999998</v>
      </c>
      <c r="P113" s="491">
        <v>12.0245</v>
      </c>
      <c r="Q113" s="500">
        <v>4.1989000000000001</v>
      </c>
      <c r="R113" s="502">
        <f t="shared" si="116"/>
        <v>0</v>
      </c>
      <c r="S113" s="492">
        <v>0</v>
      </c>
      <c r="T113" s="492">
        <v>0</v>
      </c>
      <c r="U113" s="492">
        <v>0</v>
      </c>
      <c r="V113" s="492">
        <f t="shared" si="117"/>
        <v>0</v>
      </c>
      <c r="W113" s="713">
        <v>0</v>
      </c>
      <c r="X113" s="492">
        <v>0</v>
      </c>
      <c r="Y113" s="492">
        <v>0</v>
      </c>
      <c r="Z113" s="492">
        <f t="shared" si="167"/>
        <v>0</v>
      </c>
      <c r="AA113" s="492">
        <f t="shared" si="168"/>
        <v>0</v>
      </c>
      <c r="AB113" s="74">
        <f t="shared" si="169"/>
        <v>0</v>
      </c>
      <c r="AC113" s="74">
        <f t="shared" si="170"/>
        <v>0</v>
      </c>
      <c r="AD113" s="492">
        <v>0</v>
      </c>
      <c r="AE113" s="492">
        <v>0</v>
      </c>
      <c r="AF113" s="492">
        <f t="shared" si="118"/>
        <v>0</v>
      </c>
      <c r="AG113" s="492">
        <f t="shared" si="119"/>
        <v>0</v>
      </c>
      <c r="AH113" s="493">
        <v>0</v>
      </c>
      <c r="AI113" s="493">
        <v>0</v>
      </c>
      <c r="AJ113" s="493">
        <v>0</v>
      </c>
      <c r="AK113" s="493">
        <v>0</v>
      </c>
      <c r="AL113" s="493">
        <v>0</v>
      </c>
      <c r="AM113" s="493">
        <v>0</v>
      </c>
      <c r="AN113" s="493">
        <v>0</v>
      </c>
      <c r="AO113" s="493">
        <f t="shared" si="171"/>
        <v>0</v>
      </c>
      <c r="AP113" s="493">
        <f t="shared" si="172"/>
        <v>0</v>
      </c>
      <c r="AQ113" s="495">
        <f t="shared" si="120"/>
        <v>0</v>
      </c>
      <c r="AR113" s="501">
        <f t="shared" si="173"/>
        <v>11441089</v>
      </c>
      <c r="AS113" s="492">
        <f t="shared" si="174"/>
        <v>8267122</v>
      </c>
      <c r="AT113" s="492">
        <f t="shared" si="175"/>
        <v>16380</v>
      </c>
      <c r="AU113" s="492">
        <f t="shared" si="176"/>
        <v>2799824</v>
      </c>
      <c r="AV113" s="492">
        <f t="shared" si="176"/>
        <v>165343</v>
      </c>
      <c r="AW113" s="492">
        <f t="shared" si="177"/>
        <v>192420</v>
      </c>
      <c r="AX113" s="493">
        <f t="shared" si="178"/>
        <v>16.223399999999998</v>
      </c>
      <c r="AY113" s="493">
        <f t="shared" si="179"/>
        <v>12.0245</v>
      </c>
      <c r="AZ113" s="495">
        <f t="shared" si="179"/>
        <v>4.1989000000000001</v>
      </c>
    </row>
    <row r="114" spans="1:52" ht="12.95" customHeight="1" x14ac:dyDescent="0.25">
      <c r="A114" s="314">
        <v>21</v>
      </c>
      <c r="B114" s="354">
        <v>5442</v>
      </c>
      <c r="C114" s="355">
        <v>650030541</v>
      </c>
      <c r="D114" s="314">
        <v>75017512</v>
      </c>
      <c r="E114" s="382" t="s">
        <v>472</v>
      </c>
      <c r="F114" s="354">
        <v>3113</v>
      </c>
      <c r="G114" s="317" t="s">
        <v>313</v>
      </c>
      <c r="H114" s="317" t="s">
        <v>279</v>
      </c>
      <c r="I114" s="494">
        <v>867819</v>
      </c>
      <c r="J114" s="489">
        <v>639042</v>
      </c>
      <c r="K114" s="489">
        <v>0</v>
      </c>
      <c r="L114" s="489">
        <v>215996</v>
      </c>
      <c r="M114" s="489">
        <v>12781</v>
      </c>
      <c r="N114" s="489">
        <v>0</v>
      </c>
      <c r="O114" s="490">
        <v>1.83</v>
      </c>
      <c r="P114" s="491">
        <v>1.83</v>
      </c>
      <c r="Q114" s="500">
        <v>0</v>
      </c>
      <c r="R114" s="502">
        <f t="shared" si="116"/>
        <v>0</v>
      </c>
      <c r="S114" s="492">
        <v>129917</v>
      </c>
      <c r="T114" s="492">
        <v>0</v>
      </c>
      <c r="U114" s="492">
        <v>0</v>
      </c>
      <c r="V114" s="492">
        <f t="shared" si="117"/>
        <v>129917</v>
      </c>
      <c r="W114" s="713">
        <v>0</v>
      </c>
      <c r="X114" s="492">
        <v>0</v>
      </c>
      <c r="Y114" s="492">
        <v>0</v>
      </c>
      <c r="Z114" s="492">
        <f t="shared" si="167"/>
        <v>0</v>
      </c>
      <c r="AA114" s="492">
        <f t="shared" si="168"/>
        <v>129917</v>
      </c>
      <c r="AB114" s="74">
        <f t="shared" si="169"/>
        <v>43912</v>
      </c>
      <c r="AC114" s="74">
        <f t="shared" si="170"/>
        <v>2598</v>
      </c>
      <c r="AD114" s="492">
        <v>0</v>
      </c>
      <c r="AE114" s="492">
        <v>0</v>
      </c>
      <c r="AF114" s="492">
        <f t="shared" si="118"/>
        <v>0</v>
      </c>
      <c r="AG114" s="492">
        <f t="shared" si="119"/>
        <v>176427</v>
      </c>
      <c r="AH114" s="493">
        <v>0</v>
      </c>
      <c r="AI114" s="493">
        <v>0</v>
      </c>
      <c r="AJ114" s="493">
        <v>0.38</v>
      </c>
      <c r="AK114" s="493">
        <v>0</v>
      </c>
      <c r="AL114" s="493">
        <v>0</v>
      </c>
      <c r="AM114" s="493">
        <v>0</v>
      </c>
      <c r="AN114" s="493">
        <v>0</v>
      </c>
      <c r="AO114" s="493">
        <f t="shared" si="171"/>
        <v>0.38</v>
      </c>
      <c r="AP114" s="493">
        <f t="shared" si="172"/>
        <v>0</v>
      </c>
      <c r="AQ114" s="495">
        <f t="shared" si="120"/>
        <v>0.38</v>
      </c>
      <c r="AR114" s="501">
        <f t="shared" si="173"/>
        <v>1044246</v>
      </c>
      <c r="AS114" s="492">
        <f t="shared" si="174"/>
        <v>768959</v>
      </c>
      <c r="AT114" s="492">
        <f t="shared" si="175"/>
        <v>0</v>
      </c>
      <c r="AU114" s="492">
        <f t="shared" si="176"/>
        <v>259908</v>
      </c>
      <c r="AV114" s="492">
        <f t="shared" si="176"/>
        <v>15379</v>
      </c>
      <c r="AW114" s="492">
        <f t="shared" si="177"/>
        <v>0</v>
      </c>
      <c r="AX114" s="493">
        <f t="shared" si="178"/>
        <v>2.21</v>
      </c>
      <c r="AY114" s="493">
        <f t="shared" si="179"/>
        <v>2.21</v>
      </c>
      <c r="AZ114" s="495">
        <f t="shared" si="179"/>
        <v>0</v>
      </c>
    </row>
    <row r="115" spans="1:52" ht="12.95" customHeight="1" x14ac:dyDescent="0.25">
      <c r="A115" s="314">
        <v>21</v>
      </c>
      <c r="B115" s="354">
        <v>5442</v>
      </c>
      <c r="C115" s="355">
        <v>650030541</v>
      </c>
      <c r="D115" s="314">
        <v>75017512</v>
      </c>
      <c r="E115" s="382" t="s">
        <v>472</v>
      </c>
      <c r="F115" s="354">
        <v>3141</v>
      </c>
      <c r="G115" s="378" t="s">
        <v>316</v>
      </c>
      <c r="H115" s="317" t="s">
        <v>279</v>
      </c>
      <c r="I115" s="494">
        <v>236276</v>
      </c>
      <c r="J115" s="489">
        <v>172869</v>
      </c>
      <c r="K115" s="489">
        <v>0</v>
      </c>
      <c r="L115" s="489">
        <v>58430</v>
      </c>
      <c r="M115" s="489">
        <v>3457</v>
      </c>
      <c r="N115" s="489">
        <v>1520</v>
      </c>
      <c r="O115" s="490">
        <v>0.54</v>
      </c>
      <c r="P115" s="491">
        <v>0</v>
      </c>
      <c r="Q115" s="500">
        <v>0.54</v>
      </c>
      <c r="R115" s="502">
        <f t="shared" si="116"/>
        <v>0</v>
      </c>
      <c r="S115" s="492">
        <v>0</v>
      </c>
      <c r="T115" s="492">
        <v>0</v>
      </c>
      <c r="U115" s="492">
        <v>0</v>
      </c>
      <c r="V115" s="492">
        <f t="shared" si="117"/>
        <v>0</v>
      </c>
      <c r="W115" s="713">
        <v>0</v>
      </c>
      <c r="X115" s="492">
        <v>0</v>
      </c>
      <c r="Y115" s="492">
        <v>0</v>
      </c>
      <c r="Z115" s="492">
        <f t="shared" si="167"/>
        <v>0</v>
      </c>
      <c r="AA115" s="492">
        <f t="shared" si="168"/>
        <v>0</v>
      </c>
      <c r="AB115" s="74">
        <f t="shared" si="169"/>
        <v>0</v>
      </c>
      <c r="AC115" s="74">
        <f t="shared" si="170"/>
        <v>0</v>
      </c>
      <c r="AD115" s="492">
        <v>0</v>
      </c>
      <c r="AE115" s="492">
        <v>0</v>
      </c>
      <c r="AF115" s="492">
        <f t="shared" si="118"/>
        <v>0</v>
      </c>
      <c r="AG115" s="492">
        <f t="shared" si="119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si="171"/>
        <v>0</v>
      </c>
      <c r="AP115" s="493">
        <f t="shared" si="172"/>
        <v>0</v>
      </c>
      <c r="AQ115" s="495">
        <f t="shared" si="120"/>
        <v>0</v>
      </c>
      <c r="AR115" s="501">
        <f t="shared" si="173"/>
        <v>236276</v>
      </c>
      <c r="AS115" s="492">
        <f t="shared" si="174"/>
        <v>172869</v>
      </c>
      <c r="AT115" s="492">
        <f t="shared" si="175"/>
        <v>0</v>
      </c>
      <c r="AU115" s="492">
        <f t="shared" si="176"/>
        <v>58430</v>
      </c>
      <c r="AV115" s="492">
        <f t="shared" si="176"/>
        <v>3457</v>
      </c>
      <c r="AW115" s="492">
        <f t="shared" si="177"/>
        <v>1520</v>
      </c>
      <c r="AX115" s="493">
        <f t="shared" si="178"/>
        <v>0.54</v>
      </c>
      <c r="AY115" s="493">
        <f t="shared" si="179"/>
        <v>0</v>
      </c>
      <c r="AZ115" s="495">
        <f t="shared" si="179"/>
        <v>0.54</v>
      </c>
    </row>
    <row r="116" spans="1:52" ht="12.95" customHeight="1" x14ac:dyDescent="0.25">
      <c r="A116" s="314">
        <v>21</v>
      </c>
      <c r="B116" s="354">
        <v>5442</v>
      </c>
      <c r="C116" s="355">
        <v>650030541</v>
      </c>
      <c r="D116" s="314">
        <v>75017512</v>
      </c>
      <c r="E116" s="382" t="s">
        <v>472</v>
      </c>
      <c r="F116" s="354">
        <v>3143</v>
      </c>
      <c r="G116" s="317" t="s">
        <v>629</v>
      </c>
      <c r="H116" s="317" t="s">
        <v>278</v>
      </c>
      <c r="I116" s="494">
        <v>1012753</v>
      </c>
      <c r="J116" s="489">
        <v>745768</v>
      </c>
      <c r="K116" s="489">
        <v>0</v>
      </c>
      <c r="L116" s="489">
        <v>252070</v>
      </c>
      <c r="M116" s="489">
        <v>14915</v>
      </c>
      <c r="N116" s="489">
        <v>0</v>
      </c>
      <c r="O116" s="490">
        <v>1.6333</v>
      </c>
      <c r="P116" s="491">
        <v>1.6333</v>
      </c>
      <c r="Q116" s="500">
        <v>0</v>
      </c>
      <c r="R116" s="502">
        <f t="shared" si="116"/>
        <v>0</v>
      </c>
      <c r="S116" s="492">
        <v>0</v>
      </c>
      <c r="T116" s="492">
        <v>0</v>
      </c>
      <c r="U116" s="492">
        <v>0</v>
      </c>
      <c r="V116" s="492">
        <f t="shared" si="117"/>
        <v>0</v>
      </c>
      <c r="W116" s="713">
        <v>0</v>
      </c>
      <c r="X116" s="492">
        <v>0</v>
      </c>
      <c r="Y116" s="492">
        <v>0</v>
      </c>
      <c r="Z116" s="492">
        <f t="shared" si="167"/>
        <v>0</v>
      </c>
      <c r="AA116" s="492">
        <f t="shared" si="168"/>
        <v>0</v>
      </c>
      <c r="AB116" s="74">
        <f t="shared" si="169"/>
        <v>0</v>
      </c>
      <c r="AC116" s="74">
        <f t="shared" si="170"/>
        <v>0</v>
      </c>
      <c r="AD116" s="492">
        <v>0</v>
      </c>
      <c r="AE116" s="492">
        <v>0</v>
      </c>
      <c r="AF116" s="492">
        <f t="shared" si="118"/>
        <v>0</v>
      </c>
      <c r="AG116" s="492">
        <f t="shared" si="119"/>
        <v>0</v>
      </c>
      <c r="AH116" s="493">
        <v>0</v>
      </c>
      <c r="AI116" s="493">
        <v>0</v>
      </c>
      <c r="AJ116" s="493">
        <v>0</v>
      </c>
      <c r="AK116" s="493">
        <v>0</v>
      </c>
      <c r="AL116" s="493">
        <v>0</v>
      </c>
      <c r="AM116" s="493">
        <v>0</v>
      </c>
      <c r="AN116" s="493">
        <v>0</v>
      </c>
      <c r="AO116" s="493">
        <f t="shared" si="171"/>
        <v>0</v>
      </c>
      <c r="AP116" s="493">
        <f t="shared" si="172"/>
        <v>0</v>
      </c>
      <c r="AQ116" s="495">
        <f t="shared" si="120"/>
        <v>0</v>
      </c>
      <c r="AR116" s="501">
        <f t="shared" si="173"/>
        <v>1012753</v>
      </c>
      <c r="AS116" s="492">
        <f t="shared" si="174"/>
        <v>745768</v>
      </c>
      <c r="AT116" s="492">
        <f t="shared" si="175"/>
        <v>0</v>
      </c>
      <c r="AU116" s="492">
        <f t="shared" si="176"/>
        <v>252070</v>
      </c>
      <c r="AV116" s="492">
        <f t="shared" si="176"/>
        <v>14915</v>
      </c>
      <c r="AW116" s="492">
        <f t="shared" si="177"/>
        <v>0</v>
      </c>
      <c r="AX116" s="493">
        <f t="shared" si="178"/>
        <v>1.6333</v>
      </c>
      <c r="AY116" s="493">
        <f t="shared" si="179"/>
        <v>1.6333</v>
      </c>
      <c r="AZ116" s="495">
        <f t="shared" si="179"/>
        <v>0</v>
      </c>
    </row>
    <row r="117" spans="1:52" ht="12.95" customHeight="1" x14ac:dyDescent="0.25">
      <c r="A117" s="314">
        <v>21</v>
      </c>
      <c r="B117" s="354">
        <v>5442</v>
      </c>
      <c r="C117" s="355">
        <v>650030541</v>
      </c>
      <c r="D117" s="314">
        <v>75017512</v>
      </c>
      <c r="E117" s="382" t="s">
        <v>472</v>
      </c>
      <c r="F117" s="354">
        <v>3143</v>
      </c>
      <c r="G117" s="317" t="s">
        <v>630</v>
      </c>
      <c r="H117" s="317" t="s">
        <v>279</v>
      </c>
      <c r="I117" s="494">
        <v>30240</v>
      </c>
      <c r="J117" s="489">
        <v>21384</v>
      </c>
      <c r="K117" s="489">
        <v>0</v>
      </c>
      <c r="L117" s="489">
        <v>7228</v>
      </c>
      <c r="M117" s="489">
        <v>428</v>
      </c>
      <c r="N117" s="489">
        <v>1200</v>
      </c>
      <c r="O117" s="490">
        <v>0.08</v>
      </c>
      <c r="P117" s="491">
        <v>0</v>
      </c>
      <c r="Q117" s="500">
        <v>0.08</v>
      </c>
      <c r="R117" s="502">
        <f t="shared" si="116"/>
        <v>0</v>
      </c>
      <c r="S117" s="492">
        <v>0</v>
      </c>
      <c r="T117" s="492">
        <v>0</v>
      </c>
      <c r="U117" s="492">
        <v>0</v>
      </c>
      <c r="V117" s="492">
        <f t="shared" si="117"/>
        <v>0</v>
      </c>
      <c r="W117" s="713">
        <v>0</v>
      </c>
      <c r="X117" s="492">
        <v>0</v>
      </c>
      <c r="Y117" s="492">
        <v>0</v>
      </c>
      <c r="Z117" s="492">
        <f t="shared" si="167"/>
        <v>0</v>
      </c>
      <c r="AA117" s="492">
        <f t="shared" si="168"/>
        <v>0</v>
      </c>
      <c r="AB117" s="74">
        <f t="shared" si="169"/>
        <v>0</v>
      </c>
      <c r="AC117" s="74">
        <f t="shared" si="170"/>
        <v>0</v>
      </c>
      <c r="AD117" s="492">
        <v>0</v>
      </c>
      <c r="AE117" s="492">
        <v>0</v>
      </c>
      <c r="AF117" s="492">
        <f t="shared" si="118"/>
        <v>0</v>
      </c>
      <c r="AG117" s="492">
        <f t="shared" si="119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si="171"/>
        <v>0</v>
      </c>
      <c r="AP117" s="493">
        <f t="shared" si="172"/>
        <v>0</v>
      </c>
      <c r="AQ117" s="495">
        <f t="shared" si="120"/>
        <v>0</v>
      </c>
      <c r="AR117" s="501">
        <f t="shared" si="173"/>
        <v>30240</v>
      </c>
      <c r="AS117" s="492">
        <f t="shared" si="174"/>
        <v>21384</v>
      </c>
      <c r="AT117" s="492">
        <f t="shared" si="175"/>
        <v>0</v>
      </c>
      <c r="AU117" s="492">
        <f t="shared" si="176"/>
        <v>7228</v>
      </c>
      <c r="AV117" s="492">
        <f t="shared" si="176"/>
        <v>428</v>
      </c>
      <c r="AW117" s="492">
        <f t="shared" si="177"/>
        <v>1200</v>
      </c>
      <c r="AX117" s="493">
        <f t="shared" si="178"/>
        <v>0.08</v>
      </c>
      <c r="AY117" s="493">
        <f t="shared" si="179"/>
        <v>0</v>
      </c>
      <c r="AZ117" s="495">
        <f t="shared" si="179"/>
        <v>0.08</v>
      </c>
    </row>
    <row r="118" spans="1:52" ht="12.95" customHeight="1" x14ac:dyDescent="0.25">
      <c r="A118" s="324">
        <v>21</v>
      </c>
      <c r="B118" s="358">
        <v>5442</v>
      </c>
      <c r="C118" s="359">
        <v>650030541</v>
      </c>
      <c r="D118" s="358">
        <v>75017512</v>
      </c>
      <c r="E118" s="383" t="s">
        <v>473</v>
      </c>
      <c r="F118" s="358"/>
      <c r="G118" s="384"/>
      <c r="H118" s="385"/>
      <c r="I118" s="616">
        <v>16316552</v>
      </c>
      <c r="J118" s="614">
        <v>11842043</v>
      </c>
      <c r="K118" s="614">
        <v>16380</v>
      </c>
      <c r="L118" s="614">
        <v>4008148</v>
      </c>
      <c r="M118" s="614">
        <v>236841</v>
      </c>
      <c r="N118" s="614">
        <v>213140</v>
      </c>
      <c r="O118" s="615">
        <v>24.744599999999991</v>
      </c>
      <c r="P118" s="615">
        <v>19.003899999999998</v>
      </c>
      <c r="Q118" s="617">
        <v>5.7407000000000004</v>
      </c>
      <c r="R118" s="616">
        <f t="shared" ref="R118:AZ118" si="180">SUM(R112:R117)</f>
        <v>0</v>
      </c>
      <c r="S118" s="614">
        <f t="shared" si="180"/>
        <v>129917</v>
      </c>
      <c r="T118" s="614">
        <f t="shared" si="180"/>
        <v>0</v>
      </c>
      <c r="U118" s="614">
        <f t="shared" si="180"/>
        <v>0</v>
      </c>
      <c r="V118" s="614">
        <f t="shared" si="180"/>
        <v>129917</v>
      </c>
      <c r="W118" s="614">
        <f t="shared" si="180"/>
        <v>0</v>
      </c>
      <c r="X118" s="614">
        <f t="shared" si="180"/>
        <v>0</v>
      </c>
      <c r="Y118" s="614">
        <f t="shared" si="180"/>
        <v>0</v>
      </c>
      <c r="Z118" s="614">
        <f t="shared" si="180"/>
        <v>0</v>
      </c>
      <c r="AA118" s="614">
        <f t="shared" si="180"/>
        <v>129917</v>
      </c>
      <c r="AB118" s="614">
        <f t="shared" si="180"/>
        <v>43912</v>
      </c>
      <c r="AC118" s="614">
        <f t="shared" si="180"/>
        <v>2598</v>
      </c>
      <c r="AD118" s="614">
        <f t="shared" si="180"/>
        <v>0</v>
      </c>
      <c r="AE118" s="614">
        <f t="shared" si="180"/>
        <v>0</v>
      </c>
      <c r="AF118" s="614">
        <f t="shared" si="180"/>
        <v>0</v>
      </c>
      <c r="AG118" s="614">
        <f t="shared" si="180"/>
        <v>176427</v>
      </c>
      <c r="AH118" s="615">
        <f t="shared" si="180"/>
        <v>0</v>
      </c>
      <c r="AI118" s="615">
        <f t="shared" si="180"/>
        <v>0</v>
      </c>
      <c r="AJ118" s="615">
        <f t="shared" si="180"/>
        <v>0.38</v>
      </c>
      <c r="AK118" s="615">
        <f t="shared" si="180"/>
        <v>0</v>
      </c>
      <c r="AL118" s="615">
        <f t="shared" si="180"/>
        <v>0</v>
      </c>
      <c r="AM118" s="615">
        <f t="shared" si="180"/>
        <v>0</v>
      </c>
      <c r="AN118" s="615">
        <f t="shared" si="180"/>
        <v>0</v>
      </c>
      <c r="AO118" s="615">
        <f t="shared" si="180"/>
        <v>0.38</v>
      </c>
      <c r="AP118" s="615">
        <f t="shared" si="180"/>
        <v>0</v>
      </c>
      <c r="AQ118" s="386">
        <f t="shared" si="180"/>
        <v>0.38</v>
      </c>
      <c r="AR118" s="618">
        <f t="shared" si="180"/>
        <v>16492979</v>
      </c>
      <c r="AS118" s="614">
        <f t="shared" si="180"/>
        <v>11971960</v>
      </c>
      <c r="AT118" s="614">
        <f t="shared" si="180"/>
        <v>16380</v>
      </c>
      <c r="AU118" s="614">
        <f t="shared" si="180"/>
        <v>4052060</v>
      </c>
      <c r="AV118" s="614">
        <f t="shared" si="180"/>
        <v>239439</v>
      </c>
      <c r="AW118" s="614">
        <f t="shared" si="180"/>
        <v>213140</v>
      </c>
      <c r="AX118" s="615">
        <f t="shared" si="180"/>
        <v>25.124599999999994</v>
      </c>
      <c r="AY118" s="615">
        <f t="shared" si="180"/>
        <v>19.383899999999997</v>
      </c>
      <c r="AZ118" s="386">
        <f t="shared" si="180"/>
        <v>5.7407000000000004</v>
      </c>
    </row>
    <row r="119" spans="1:52" ht="12.95" customHeight="1" x14ac:dyDescent="0.25">
      <c r="A119" s="314">
        <v>22</v>
      </c>
      <c r="B119" s="354">
        <v>5453</v>
      </c>
      <c r="C119" s="355">
        <v>600099211</v>
      </c>
      <c r="D119" s="314">
        <v>854760</v>
      </c>
      <c r="E119" s="382" t="s">
        <v>474</v>
      </c>
      <c r="F119" s="354">
        <v>3111</v>
      </c>
      <c r="G119" s="378" t="s">
        <v>326</v>
      </c>
      <c r="H119" s="317" t="s">
        <v>278</v>
      </c>
      <c r="I119" s="494">
        <v>6079175</v>
      </c>
      <c r="J119" s="489">
        <v>4447073</v>
      </c>
      <c r="K119" s="489">
        <v>0</v>
      </c>
      <c r="L119" s="489">
        <v>1503111</v>
      </c>
      <c r="M119" s="489">
        <v>88941</v>
      </c>
      <c r="N119" s="489">
        <v>40050</v>
      </c>
      <c r="O119" s="490">
        <v>9.8402999999999992</v>
      </c>
      <c r="P119" s="491">
        <v>7.7965999999999998</v>
      </c>
      <c r="Q119" s="500">
        <v>2.0436999999999999</v>
      </c>
      <c r="R119" s="502">
        <f t="shared" si="116"/>
        <v>0</v>
      </c>
      <c r="S119" s="492">
        <v>0</v>
      </c>
      <c r="T119" s="492">
        <v>0</v>
      </c>
      <c r="U119" s="492">
        <v>0</v>
      </c>
      <c r="V119" s="492">
        <f t="shared" si="117"/>
        <v>0</v>
      </c>
      <c r="W119" s="713">
        <v>0</v>
      </c>
      <c r="X119" s="492">
        <v>0</v>
      </c>
      <c r="Y119" s="492">
        <v>0</v>
      </c>
      <c r="Z119" s="492">
        <f t="shared" ref="Z119:Z125" si="181">SUM(W119:Y119)</f>
        <v>0</v>
      </c>
      <c r="AA119" s="492">
        <f t="shared" ref="AA119:AA125" si="182">V119+Z119</f>
        <v>0</v>
      </c>
      <c r="AB119" s="74">
        <f t="shared" ref="AB119:AB125" si="183">ROUND((V119+W119+X119)*33.8%,0)</f>
        <v>0</v>
      </c>
      <c r="AC119" s="74">
        <f t="shared" ref="AC119:AC125" si="184">ROUND(V119*2%,0)</f>
        <v>0</v>
      </c>
      <c r="AD119" s="492">
        <v>0</v>
      </c>
      <c r="AE119" s="492">
        <v>0</v>
      </c>
      <c r="AF119" s="492">
        <f t="shared" si="118"/>
        <v>0</v>
      </c>
      <c r="AG119" s="492">
        <f t="shared" si="119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ref="AO119:AO125" si="185">AH119+AJ119+AK119+AM119</f>
        <v>0</v>
      </c>
      <c r="AP119" s="493">
        <f t="shared" ref="AP119:AP125" si="186">AI119+AN119+AL119</f>
        <v>0</v>
      </c>
      <c r="AQ119" s="495">
        <f t="shared" si="120"/>
        <v>0</v>
      </c>
      <c r="AR119" s="501">
        <f t="shared" ref="AR119:AR125" si="187">I119+AG119</f>
        <v>6079175</v>
      </c>
      <c r="AS119" s="492">
        <f t="shared" ref="AS119:AS125" si="188">J119+V119</f>
        <v>4447073</v>
      </c>
      <c r="AT119" s="492">
        <f t="shared" ref="AT119:AT125" si="189">K119+Z119</f>
        <v>0</v>
      </c>
      <c r="AU119" s="492">
        <f t="shared" ref="AU119:AV125" si="190">L119+AB119</f>
        <v>1503111</v>
      </c>
      <c r="AV119" s="492">
        <f t="shared" si="190"/>
        <v>88941</v>
      </c>
      <c r="AW119" s="492">
        <f t="shared" ref="AW119:AW125" si="191">N119+AF119</f>
        <v>40050</v>
      </c>
      <c r="AX119" s="493">
        <f t="shared" ref="AX119:AX125" si="192">O119+AQ119</f>
        <v>9.8402999999999992</v>
      </c>
      <c r="AY119" s="493">
        <f t="shared" ref="AY119:AZ125" si="193">P119+AO119</f>
        <v>7.7965999999999998</v>
      </c>
      <c r="AZ119" s="495">
        <f t="shared" si="193"/>
        <v>2.0436999999999999</v>
      </c>
    </row>
    <row r="120" spans="1:52" ht="12.95" customHeight="1" x14ac:dyDescent="0.25">
      <c r="A120" s="314">
        <v>22</v>
      </c>
      <c r="B120" s="354">
        <v>5453</v>
      </c>
      <c r="C120" s="355">
        <v>600099211</v>
      </c>
      <c r="D120" s="314">
        <v>854760</v>
      </c>
      <c r="E120" s="382" t="s">
        <v>474</v>
      </c>
      <c r="F120" s="354">
        <v>3113</v>
      </c>
      <c r="G120" s="378" t="s">
        <v>330</v>
      </c>
      <c r="H120" s="317" t="s">
        <v>278</v>
      </c>
      <c r="I120" s="494">
        <v>22203064</v>
      </c>
      <c r="J120" s="489">
        <v>16013807</v>
      </c>
      <c r="K120" s="489">
        <v>14950</v>
      </c>
      <c r="L120" s="489">
        <v>5417720</v>
      </c>
      <c r="M120" s="489">
        <v>320277</v>
      </c>
      <c r="N120" s="489">
        <v>436310</v>
      </c>
      <c r="O120" s="490">
        <v>30.141899999999996</v>
      </c>
      <c r="P120" s="491">
        <v>22.642199999999999</v>
      </c>
      <c r="Q120" s="500">
        <v>7.4996999999999998</v>
      </c>
      <c r="R120" s="502">
        <f t="shared" si="116"/>
        <v>0</v>
      </c>
      <c r="S120" s="492">
        <v>0</v>
      </c>
      <c r="T120" s="492">
        <v>0</v>
      </c>
      <c r="U120" s="492">
        <v>0</v>
      </c>
      <c r="V120" s="492">
        <f t="shared" si="117"/>
        <v>0</v>
      </c>
      <c r="W120" s="713">
        <v>0</v>
      </c>
      <c r="X120" s="492">
        <v>0</v>
      </c>
      <c r="Y120" s="492">
        <v>0</v>
      </c>
      <c r="Z120" s="492">
        <f t="shared" si="181"/>
        <v>0</v>
      </c>
      <c r="AA120" s="492">
        <f t="shared" si="182"/>
        <v>0</v>
      </c>
      <c r="AB120" s="74">
        <f t="shared" si="183"/>
        <v>0</v>
      </c>
      <c r="AC120" s="74">
        <f t="shared" si="184"/>
        <v>0</v>
      </c>
      <c r="AD120" s="492">
        <v>0</v>
      </c>
      <c r="AE120" s="492">
        <v>0</v>
      </c>
      <c r="AF120" s="492">
        <f t="shared" si="118"/>
        <v>0</v>
      </c>
      <c r="AG120" s="492">
        <f t="shared" si="119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si="185"/>
        <v>0</v>
      </c>
      <c r="AP120" s="493">
        <f t="shared" si="186"/>
        <v>0</v>
      </c>
      <c r="AQ120" s="495">
        <f t="shared" si="120"/>
        <v>0</v>
      </c>
      <c r="AR120" s="501">
        <f t="shared" si="187"/>
        <v>22203064</v>
      </c>
      <c r="AS120" s="492">
        <f t="shared" si="188"/>
        <v>16013807</v>
      </c>
      <c r="AT120" s="492">
        <f t="shared" si="189"/>
        <v>14950</v>
      </c>
      <c r="AU120" s="492">
        <f t="shared" si="190"/>
        <v>5417720</v>
      </c>
      <c r="AV120" s="492">
        <f t="shared" si="190"/>
        <v>320277</v>
      </c>
      <c r="AW120" s="492">
        <f t="shared" si="191"/>
        <v>436310</v>
      </c>
      <c r="AX120" s="493">
        <f t="shared" si="192"/>
        <v>30.141899999999996</v>
      </c>
      <c r="AY120" s="493">
        <f t="shared" si="193"/>
        <v>22.642199999999999</v>
      </c>
      <c r="AZ120" s="495">
        <f t="shared" si="193"/>
        <v>7.4996999999999998</v>
      </c>
    </row>
    <row r="121" spans="1:52" ht="12.95" customHeight="1" x14ac:dyDescent="0.25">
      <c r="A121" s="314">
        <v>22</v>
      </c>
      <c r="B121" s="354">
        <v>5453</v>
      </c>
      <c r="C121" s="355">
        <v>600099211</v>
      </c>
      <c r="D121" s="314">
        <v>854760</v>
      </c>
      <c r="E121" s="382" t="s">
        <v>474</v>
      </c>
      <c r="F121" s="354">
        <v>3113</v>
      </c>
      <c r="G121" s="317" t="s">
        <v>313</v>
      </c>
      <c r="H121" s="317" t="s">
        <v>279</v>
      </c>
      <c r="I121" s="494">
        <v>1531093</v>
      </c>
      <c r="J121" s="489">
        <v>1126541</v>
      </c>
      <c r="K121" s="489">
        <v>0</v>
      </c>
      <c r="L121" s="489">
        <v>380771</v>
      </c>
      <c r="M121" s="489">
        <v>22531</v>
      </c>
      <c r="N121" s="489">
        <v>1250</v>
      </c>
      <c r="O121" s="490">
        <v>2.78</v>
      </c>
      <c r="P121" s="491">
        <v>2.78</v>
      </c>
      <c r="Q121" s="500">
        <v>0</v>
      </c>
      <c r="R121" s="502">
        <f t="shared" si="116"/>
        <v>0</v>
      </c>
      <c r="S121" s="492">
        <v>0</v>
      </c>
      <c r="T121" s="492">
        <v>0</v>
      </c>
      <c r="U121" s="492">
        <v>0</v>
      </c>
      <c r="V121" s="492">
        <f t="shared" si="117"/>
        <v>0</v>
      </c>
      <c r="W121" s="713">
        <v>0</v>
      </c>
      <c r="X121" s="492">
        <v>0</v>
      </c>
      <c r="Y121" s="492">
        <v>0</v>
      </c>
      <c r="Z121" s="492">
        <f t="shared" si="181"/>
        <v>0</v>
      </c>
      <c r="AA121" s="492">
        <f t="shared" si="182"/>
        <v>0</v>
      </c>
      <c r="AB121" s="74">
        <f t="shared" si="183"/>
        <v>0</v>
      </c>
      <c r="AC121" s="74">
        <f t="shared" si="184"/>
        <v>0</v>
      </c>
      <c r="AD121" s="492">
        <v>1000</v>
      </c>
      <c r="AE121" s="492">
        <v>0</v>
      </c>
      <c r="AF121" s="492">
        <f t="shared" si="118"/>
        <v>1000</v>
      </c>
      <c r="AG121" s="492">
        <f t="shared" si="119"/>
        <v>1000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85"/>
        <v>0</v>
      </c>
      <c r="AP121" s="493">
        <f t="shared" si="186"/>
        <v>0</v>
      </c>
      <c r="AQ121" s="495">
        <f t="shared" si="120"/>
        <v>0</v>
      </c>
      <c r="AR121" s="501">
        <f t="shared" si="187"/>
        <v>1532093</v>
      </c>
      <c r="AS121" s="492">
        <f t="shared" si="188"/>
        <v>1126541</v>
      </c>
      <c r="AT121" s="492">
        <f t="shared" si="189"/>
        <v>0</v>
      </c>
      <c r="AU121" s="492">
        <f t="shared" si="190"/>
        <v>380771</v>
      </c>
      <c r="AV121" s="492">
        <f t="shared" si="190"/>
        <v>22531</v>
      </c>
      <c r="AW121" s="492">
        <f t="shared" si="191"/>
        <v>2250</v>
      </c>
      <c r="AX121" s="493">
        <f t="shared" si="192"/>
        <v>2.78</v>
      </c>
      <c r="AY121" s="493">
        <f t="shared" si="193"/>
        <v>2.78</v>
      </c>
      <c r="AZ121" s="495">
        <f t="shared" si="193"/>
        <v>0</v>
      </c>
    </row>
    <row r="122" spans="1:52" ht="12.95" customHeight="1" x14ac:dyDescent="0.25">
      <c r="A122" s="314">
        <v>22</v>
      </c>
      <c r="B122" s="354">
        <v>5453</v>
      </c>
      <c r="C122" s="355">
        <v>600099211</v>
      </c>
      <c r="D122" s="314">
        <v>854760</v>
      </c>
      <c r="E122" s="382" t="s">
        <v>474</v>
      </c>
      <c r="F122" s="354">
        <v>3141</v>
      </c>
      <c r="G122" s="378" t="s">
        <v>316</v>
      </c>
      <c r="H122" s="317" t="s">
        <v>279</v>
      </c>
      <c r="I122" s="494">
        <v>3272410</v>
      </c>
      <c r="J122" s="489">
        <v>2393028</v>
      </c>
      <c r="K122" s="489">
        <v>0</v>
      </c>
      <c r="L122" s="489">
        <v>808843</v>
      </c>
      <c r="M122" s="489">
        <v>47861</v>
      </c>
      <c r="N122" s="489">
        <v>22678</v>
      </c>
      <c r="O122" s="490">
        <v>7.54</v>
      </c>
      <c r="P122" s="491">
        <v>0</v>
      </c>
      <c r="Q122" s="500">
        <v>7.54</v>
      </c>
      <c r="R122" s="502">
        <f t="shared" si="116"/>
        <v>0</v>
      </c>
      <c r="S122" s="492">
        <v>0</v>
      </c>
      <c r="T122" s="492">
        <v>0</v>
      </c>
      <c r="U122" s="492">
        <v>0</v>
      </c>
      <c r="V122" s="492">
        <f t="shared" si="117"/>
        <v>0</v>
      </c>
      <c r="W122" s="713">
        <v>0</v>
      </c>
      <c r="X122" s="492">
        <v>0</v>
      </c>
      <c r="Y122" s="492">
        <v>0</v>
      </c>
      <c r="Z122" s="492">
        <f t="shared" si="181"/>
        <v>0</v>
      </c>
      <c r="AA122" s="492">
        <f t="shared" si="182"/>
        <v>0</v>
      </c>
      <c r="AB122" s="74">
        <f t="shared" si="183"/>
        <v>0</v>
      </c>
      <c r="AC122" s="74">
        <f t="shared" si="184"/>
        <v>0</v>
      </c>
      <c r="AD122" s="492">
        <v>0</v>
      </c>
      <c r="AE122" s="492">
        <v>0</v>
      </c>
      <c r="AF122" s="492">
        <f t="shared" si="118"/>
        <v>0</v>
      </c>
      <c r="AG122" s="492">
        <f t="shared" si="119"/>
        <v>0</v>
      </c>
      <c r="AH122" s="493">
        <v>0</v>
      </c>
      <c r="AI122" s="493">
        <v>0</v>
      </c>
      <c r="AJ122" s="493">
        <v>0</v>
      </c>
      <c r="AK122" s="493">
        <v>0</v>
      </c>
      <c r="AL122" s="493">
        <v>0</v>
      </c>
      <c r="AM122" s="493">
        <v>0</v>
      </c>
      <c r="AN122" s="493">
        <v>0</v>
      </c>
      <c r="AO122" s="493">
        <f t="shared" si="185"/>
        <v>0</v>
      </c>
      <c r="AP122" s="493">
        <f t="shared" si="186"/>
        <v>0</v>
      </c>
      <c r="AQ122" s="495">
        <f t="shared" si="120"/>
        <v>0</v>
      </c>
      <c r="AR122" s="501">
        <f t="shared" si="187"/>
        <v>3272410</v>
      </c>
      <c r="AS122" s="492">
        <f t="shared" si="188"/>
        <v>2393028</v>
      </c>
      <c r="AT122" s="492">
        <f t="shared" si="189"/>
        <v>0</v>
      </c>
      <c r="AU122" s="492">
        <f t="shared" si="190"/>
        <v>808843</v>
      </c>
      <c r="AV122" s="492">
        <f t="shared" si="190"/>
        <v>47861</v>
      </c>
      <c r="AW122" s="492">
        <f t="shared" si="191"/>
        <v>22678</v>
      </c>
      <c r="AX122" s="493">
        <f t="shared" si="192"/>
        <v>7.54</v>
      </c>
      <c r="AY122" s="493">
        <f t="shared" si="193"/>
        <v>0</v>
      </c>
      <c r="AZ122" s="495">
        <f t="shared" si="193"/>
        <v>7.54</v>
      </c>
    </row>
    <row r="123" spans="1:52" ht="12.95" customHeight="1" x14ac:dyDescent="0.25">
      <c r="A123" s="314">
        <v>22</v>
      </c>
      <c r="B123" s="354">
        <v>5453</v>
      </c>
      <c r="C123" s="355">
        <v>600099211</v>
      </c>
      <c r="D123" s="314">
        <v>854760</v>
      </c>
      <c r="E123" s="382" t="s">
        <v>474</v>
      </c>
      <c r="F123" s="354">
        <v>3143</v>
      </c>
      <c r="G123" s="317" t="s">
        <v>629</v>
      </c>
      <c r="H123" s="317" t="s">
        <v>278</v>
      </c>
      <c r="I123" s="494">
        <v>1817069</v>
      </c>
      <c r="J123" s="489">
        <v>1338048</v>
      </c>
      <c r="K123" s="489">
        <v>0</v>
      </c>
      <c r="L123" s="489">
        <v>452260</v>
      </c>
      <c r="M123" s="489">
        <v>26761</v>
      </c>
      <c r="N123" s="489">
        <v>0</v>
      </c>
      <c r="O123" s="490">
        <v>2.63</v>
      </c>
      <c r="P123" s="491">
        <v>2.63</v>
      </c>
      <c r="Q123" s="500">
        <v>0</v>
      </c>
      <c r="R123" s="502">
        <f t="shared" si="116"/>
        <v>0</v>
      </c>
      <c r="S123" s="492">
        <v>0</v>
      </c>
      <c r="T123" s="492">
        <v>0</v>
      </c>
      <c r="U123" s="492">
        <v>0</v>
      </c>
      <c r="V123" s="492">
        <f t="shared" si="117"/>
        <v>0</v>
      </c>
      <c r="W123" s="713">
        <v>0</v>
      </c>
      <c r="X123" s="492">
        <v>0</v>
      </c>
      <c r="Y123" s="492">
        <v>0</v>
      </c>
      <c r="Z123" s="492">
        <f t="shared" si="181"/>
        <v>0</v>
      </c>
      <c r="AA123" s="492">
        <f t="shared" si="182"/>
        <v>0</v>
      </c>
      <c r="AB123" s="74">
        <f t="shared" si="183"/>
        <v>0</v>
      </c>
      <c r="AC123" s="74">
        <f t="shared" si="184"/>
        <v>0</v>
      </c>
      <c r="AD123" s="492">
        <v>0</v>
      </c>
      <c r="AE123" s="492">
        <v>0</v>
      </c>
      <c r="AF123" s="492">
        <f t="shared" si="118"/>
        <v>0</v>
      </c>
      <c r="AG123" s="492">
        <f t="shared" si="119"/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 t="shared" si="185"/>
        <v>0</v>
      </c>
      <c r="AP123" s="493">
        <f t="shared" si="186"/>
        <v>0</v>
      </c>
      <c r="AQ123" s="495">
        <f t="shared" si="120"/>
        <v>0</v>
      </c>
      <c r="AR123" s="501">
        <f t="shared" si="187"/>
        <v>1817069</v>
      </c>
      <c r="AS123" s="492">
        <f t="shared" si="188"/>
        <v>1338048</v>
      </c>
      <c r="AT123" s="492">
        <f t="shared" si="189"/>
        <v>0</v>
      </c>
      <c r="AU123" s="492">
        <f t="shared" si="190"/>
        <v>452260</v>
      </c>
      <c r="AV123" s="492">
        <f t="shared" si="190"/>
        <v>26761</v>
      </c>
      <c r="AW123" s="492">
        <f t="shared" si="191"/>
        <v>0</v>
      </c>
      <c r="AX123" s="493">
        <f t="shared" si="192"/>
        <v>2.63</v>
      </c>
      <c r="AY123" s="493">
        <f t="shared" si="193"/>
        <v>2.63</v>
      </c>
      <c r="AZ123" s="495">
        <f t="shared" si="193"/>
        <v>0</v>
      </c>
    </row>
    <row r="124" spans="1:52" ht="12.95" customHeight="1" x14ac:dyDescent="0.25">
      <c r="A124" s="314">
        <v>22</v>
      </c>
      <c r="B124" s="354">
        <v>5453</v>
      </c>
      <c r="C124" s="355">
        <v>600099211</v>
      </c>
      <c r="D124" s="314">
        <v>854760</v>
      </c>
      <c r="E124" s="382" t="s">
        <v>474</v>
      </c>
      <c r="F124" s="354">
        <v>3143</v>
      </c>
      <c r="G124" s="317" t="s">
        <v>630</v>
      </c>
      <c r="H124" s="317" t="s">
        <v>279</v>
      </c>
      <c r="I124" s="494">
        <v>65772</v>
      </c>
      <c r="J124" s="489">
        <v>46511</v>
      </c>
      <c r="K124" s="489">
        <v>0</v>
      </c>
      <c r="L124" s="489">
        <v>15721</v>
      </c>
      <c r="M124" s="489">
        <v>930</v>
      </c>
      <c r="N124" s="489">
        <v>2610</v>
      </c>
      <c r="O124" s="490">
        <v>0.18</v>
      </c>
      <c r="P124" s="491">
        <v>0</v>
      </c>
      <c r="Q124" s="500">
        <v>0.18</v>
      </c>
      <c r="R124" s="502">
        <f t="shared" si="116"/>
        <v>0</v>
      </c>
      <c r="S124" s="492">
        <v>0</v>
      </c>
      <c r="T124" s="492">
        <v>0</v>
      </c>
      <c r="U124" s="492">
        <v>0</v>
      </c>
      <c r="V124" s="492">
        <f t="shared" si="117"/>
        <v>0</v>
      </c>
      <c r="W124" s="713">
        <v>0</v>
      </c>
      <c r="X124" s="492">
        <v>0</v>
      </c>
      <c r="Y124" s="492">
        <v>0</v>
      </c>
      <c r="Z124" s="492">
        <f t="shared" si="181"/>
        <v>0</v>
      </c>
      <c r="AA124" s="492">
        <f t="shared" si="182"/>
        <v>0</v>
      </c>
      <c r="AB124" s="74">
        <f t="shared" si="183"/>
        <v>0</v>
      </c>
      <c r="AC124" s="74">
        <f t="shared" si="184"/>
        <v>0</v>
      </c>
      <c r="AD124" s="492">
        <v>0</v>
      </c>
      <c r="AE124" s="492">
        <v>0</v>
      </c>
      <c r="AF124" s="492">
        <f t="shared" si="118"/>
        <v>0</v>
      </c>
      <c r="AG124" s="492">
        <f t="shared" si="119"/>
        <v>0</v>
      </c>
      <c r="AH124" s="493">
        <v>0</v>
      </c>
      <c r="AI124" s="493">
        <v>0</v>
      </c>
      <c r="AJ124" s="493">
        <v>0</v>
      </c>
      <c r="AK124" s="493">
        <v>0</v>
      </c>
      <c r="AL124" s="493">
        <v>0</v>
      </c>
      <c r="AM124" s="493">
        <v>0</v>
      </c>
      <c r="AN124" s="493">
        <v>0</v>
      </c>
      <c r="AO124" s="493">
        <f t="shared" si="185"/>
        <v>0</v>
      </c>
      <c r="AP124" s="493">
        <f t="shared" si="186"/>
        <v>0</v>
      </c>
      <c r="AQ124" s="495">
        <f t="shared" si="120"/>
        <v>0</v>
      </c>
      <c r="AR124" s="501">
        <f t="shared" si="187"/>
        <v>65772</v>
      </c>
      <c r="AS124" s="492">
        <f t="shared" si="188"/>
        <v>46511</v>
      </c>
      <c r="AT124" s="492">
        <f t="shared" si="189"/>
        <v>0</v>
      </c>
      <c r="AU124" s="492">
        <f t="shared" si="190"/>
        <v>15721</v>
      </c>
      <c r="AV124" s="492">
        <f t="shared" si="190"/>
        <v>930</v>
      </c>
      <c r="AW124" s="492">
        <f t="shared" si="191"/>
        <v>2610</v>
      </c>
      <c r="AX124" s="493">
        <f t="shared" si="192"/>
        <v>0.18</v>
      </c>
      <c r="AY124" s="493">
        <f t="shared" si="193"/>
        <v>0</v>
      </c>
      <c r="AZ124" s="495">
        <f t="shared" si="193"/>
        <v>0.18</v>
      </c>
    </row>
    <row r="125" spans="1:52" ht="12.95" customHeight="1" x14ac:dyDescent="0.25">
      <c r="A125" s="314">
        <v>22</v>
      </c>
      <c r="B125" s="354">
        <v>5453</v>
      </c>
      <c r="C125" s="355">
        <v>600099211</v>
      </c>
      <c r="D125" s="314">
        <v>854760</v>
      </c>
      <c r="E125" s="382" t="s">
        <v>474</v>
      </c>
      <c r="F125" s="354">
        <v>3143</v>
      </c>
      <c r="G125" s="378" t="s">
        <v>475</v>
      </c>
      <c r="H125" s="317" t="s">
        <v>279</v>
      </c>
      <c r="I125" s="494">
        <v>335549</v>
      </c>
      <c r="J125" s="489">
        <v>246723</v>
      </c>
      <c r="K125" s="489">
        <v>0</v>
      </c>
      <c r="L125" s="489">
        <v>83392</v>
      </c>
      <c r="M125" s="489">
        <v>4934</v>
      </c>
      <c r="N125" s="489">
        <v>500</v>
      </c>
      <c r="O125" s="490">
        <v>0.53</v>
      </c>
      <c r="P125" s="491">
        <v>0.48</v>
      </c>
      <c r="Q125" s="500">
        <v>0.05</v>
      </c>
      <c r="R125" s="502">
        <f t="shared" si="116"/>
        <v>0</v>
      </c>
      <c r="S125" s="492">
        <v>0</v>
      </c>
      <c r="T125" s="492">
        <v>0</v>
      </c>
      <c r="U125" s="492">
        <v>0</v>
      </c>
      <c r="V125" s="492">
        <f t="shared" si="117"/>
        <v>0</v>
      </c>
      <c r="W125" s="713">
        <v>0</v>
      </c>
      <c r="X125" s="492">
        <v>0</v>
      </c>
      <c r="Y125" s="492">
        <v>0</v>
      </c>
      <c r="Z125" s="492">
        <f t="shared" si="181"/>
        <v>0</v>
      </c>
      <c r="AA125" s="492">
        <f t="shared" si="182"/>
        <v>0</v>
      </c>
      <c r="AB125" s="74">
        <f t="shared" si="183"/>
        <v>0</v>
      </c>
      <c r="AC125" s="74">
        <f t="shared" si="184"/>
        <v>0</v>
      </c>
      <c r="AD125" s="492">
        <v>0</v>
      </c>
      <c r="AE125" s="492">
        <v>0</v>
      </c>
      <c r="AF125" s="492">
        <f t="shared" si="118"/>
        <v>0</v>
      </c>
      <c r="AG125" s="492">
        <f t="shared" si="119"/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 t="shared" si="185"/>
        <v>0</v>
      </c>
      <c r="AP125" s="493">
        <f t="shared" si="186"/>
        <v>0</v>
      </c>
      <c r="AQ125" s="495">
        <f t="shared" si="120"/>
        <v>0</v>
      </c>
      <c r="AR125" s="501">
        <f t="shared" si="187"/>
        <v>335549</v>
      </c>
      <c r="AS125" s="492">
        <f t="shared" si="188"/>
        <v>246723</v>
      </c>
      <c r="AT125" s="492">
        <f t="shared" si="189"/>
        <v>0</v>
      </c>
      <c r="AU125" s="492">
        <f t="shared" si="190"/>
        <v>83392</v>
      </c>
      <c r="AV125" s="492">
        <f t="shared" si="190"/>
        <v>4934</v>
      </c>
      <c r="AW125" s="492">
        <f t="shared" si="191"/>
        <v>500</v>
      </c>
      <c r="AX125" s="493">
        <f t="shared" si="192"/>
        <v>0.53</v>
      </c>
      <c r="AY125" s="493">
        <f t="shared" si="193"/>
        <v>0.48</v>
      </c>
      <c r="AZ125" s="495">
        <f t="shared" si="193"/>
        <v>0.05</v>
      </c>
    </row>
    <row r="126" spans="1:52" ht="12.95" customHeight="1" x14ac:dyDescent="0.25">
      <c r="A126" s="324">
        <v>22</v>
      </c>
      <c r="B126" s="358">
        <v>5453</v>
      </c>
      <c r="C126" s="359">
        <v>600099211</v>
      </c>
      <c r="D126" s="358">
        <v>854760</v>
      </c>
      <c r="E126" s="383" t="s">
        <v>476</v>
      </c>
      <c r="F126" s="358"/>
      <c r="G126" s="384"/>
      <c r="H126" s="385"/>
      <c r="I126" s="584">
        <v>35304132</v>
      </c>
      <c r="J126" s="580">
        <v>25611731</v>
      </c>
      <c r="K126" s="580">
        <v>14950</v>
      </c>
      <c r="L126" s="580">
        <v>8661818</v>
      </c>
      <c r="M126" s="580">
        <v>512235</v>
      </c>
      <c r="N126" s="580">
        <v>503398</v>
      </c>
      <c r="O126" s="581">
        <v>53.642199999999995</v>
      </c>
      <c r="P126" s="581">
        <v>36.328800000000001</v>
      </c>
      <c r="Q126" s="586">
        <v>17.313400000000001</v>
      </c>
      <c r="R126" s="584">
        <f t="shared" ref="R126:AZ126" si="194">SUM(R119:R125)</f>
        <v>0</v>
      </c>
      <c r="S126" s="580">
        <f t="shared" si="194"/>
        <v>0</v>
      </c>
      <c r="T126" s="580">
        <f t="shared" si="194"/>
        <v>0</v>
      </c>
      <c r="U126" s="580">
        <f t="shared" si="194"/>
        <v>0</v>
      </c>
      <c r="V126" s="580">
        <f t="shared" si="194"/>
        <v>0</v>
      </c>
      <c r="W126" s="580">
        <f t="shared" si="194"/>
        <v>0</v>
      </c>
      <c r="X126" s="580">
        <f t="shared" si="194"/>
        <v>0</v>
      </c>
      <c r="Y126" s="580">
        <f t="shared" si="194"/>
        <v>0</v>
      </c>
      <c r="Z126" s="580">
        <f t="shared" si="194"/>
        <v>0</v>
      </c>
      <c r="AA126" s="580">
        <f t="shared" si="194"/>
        <v>0</v>
      </c>
      <c r="AB126" s="580">
        <f t="shared" si="194"/>
        <v>0</v>
      </c>
      <c r="AC126" s="580">
        <f t="shared" si="194"/>
        <v>0</v>
      </c>
      <c r="AD126" s="580">
        <f t="shared" si="194"/>
        <v>1000</v>
      </c>
      <c r="AE126" s="580">
        <f t="shared" si="194"/>
        <v>0</v>
      </c>
      <c r="AF126" s="580">
        <f t="shared" si="194"/>
        <v>1000</v>
      </c>
      <c r="AG126" s="580">
        <f t="shared" si="194"/>
        <v>1000</v>
      </c>
      <c r="AH126" s="581">
        <f t="shared" si="194"/>
        <v>0</v>
      </c>
      <c r="AI126" s="581">
        <f t="shared" si="194"/>
        <v>0</v>
      </c>
      <c r="AJ126" s="581">
        <f t="shared" si="194"/>
        <v>0</v>
      </c>
      <c r="AK126" s="581">
        <f t="shared" si="194"/>
        <v>0</v>
      </c>
      <c r="AL126" s="581">
        <f t="shared" si="194"/>
        <v>0</v>
      </c>
      <c r="AM126" s="581">
        <f t="shared" si="194"/>
        <v>0</v>
      </c>
      <c r="AN126" s="581">
        <f t="shared" si="194"/>
        <v>0</v>
      </c>
      <c r="AO126" s="581">
        <f t="shared" si="194"/>
        <v>0</v>
      </c>
      <c r="AP126" s="581">
        <f t="shared" si="194"/>
        <v>0</v>
      </c>
      <c r="AQ126" s="312">
        <f t="shared" si="194"/>
        <v>0</v>
      </c>
      <c r="AR126" s="588">
        <f t="shared" si="194"/>
        <v>35305132</v>
      </c>
      <c r="AS126" s="580">
        <f t="shared" si="194"/>
        <v>25611731</v>
      </c>
      <c r="AT126" s="580">
        <f t="shared" si="194"/>
        <v>14950</v>
      </c>
      <c r="AU126" s="580">
        <f t="shared" si="194"/>
        <v>8661818</v>
      </c>
      <c r="AV126" s="580">
        <f t="shared" si="194"/>
        <v>512235</v>
      </c>
      <c r="AW126" s="580">
        <f t="shared" si="194"/>
        <v>504398</v>
      </c>
      <c r="AX126" s="581">
        <f t="shared" si="194"/>
        <v>53.642199999999995</v>
      </c>
      <c r="AY126" s="581">
        <f t="shared" si="194"/>
        <v>36.328800000000001</v>
      </c>
      <c r="AZ126" s="312">
        <f t="shared" si="194"/>
        <v>17.313400000000001</v>
      </c>
    </row>
    <row r="127" spans="1:52" ht="12.95" customHeight="1" x14ac:dyDescent="0.25">
      <c r="A127" s="314">
        <v>23</v>
      </c>
      <c r="B127" s="314">
        <v>5429</v>
      </c>
      <c r="C127" s="363">
        <v>600098656</v>
      </c>
      <c r="D127" s="314">
        <v>70698309</v>
      </c>
      <c r="E127" s="316" t="s">
        <v>477</v>
      </c>
      <c r="F127" s="314">
        <v>3111</v>
      </c>
      <c r="G127" s="378" t="s">
        <v>326</v>
      </c>
      <c r="H127" s="317" t="s">
        <v>278</v>
      </c>
      <c r="I127" s="494">
        <v>3270739</v>
      </c>
      <c r="J127" s="489">
        <v>2376692</v>
      </c>
      <c r="K127" s="489">
        <v>19500</v>
      </c>
      <c r="L127" s="489">
        <v>809913</v>
      </c>
      <c r="M127" s="489">
        <v>47534</v>
      </c>
      <c r="N127" s="489">
        <v>17100</v>
      </c>
      <c r="O127" s="490">
        <v>5.4099999999999993</v>
      </c>
      <c r="P127" s="491">
        <v>4.0999999999999996</v>
      </c>
      <c r="Q127" s="500">
        <v>1.3099999999999998</v>
      </c>
      <c r="R127" s="502">
        <f t="shared" si="116"/>
        <v>0</v>
      </c>
      <c r="S127" s="492">
        <v>0</v>
      </c>
      <c r="T127" s="492">
        <v>0</v>
      </c>
      <c r="U127" s="492">
        <v>0</v>
      </c>
      <c r="V127" s="492">
        <f t="shared" si="117"/>
        <v>0</v>
      </c>
      <c r="W127" s="713">
        <v>0</v>
      </c>
      <c r="X127" s="492">
        <v>0</v>
      </c>
      <c r="Y127" s="492">
        <v>0</v>
      </c>
      <c r="Z127" s="492">
        <f>SUM(W127:Y127)</f>
        <v>0</v>
      </c>
      <c r="AA127" s="492">
        <f>V127+Z127</f>
        <v>0</v>
      </c>
      <c r="AB127" s="74">
        <f>ROUND((V127+W127+X127)*33.8%,0)</f>
        <v>0</v>
      </c>
      <c r="AC127" s="74">
        <f>ROUND(V127*2%,0)</f>
        <v>0</v>
      </c>
      <c r="AD127" s="492">
        <v>0</v>
      </c>
      <c r="AE127" s="492">
        <v>0</v>
      </c>
      <c r="AF127" s="492">
        <f t="shared" si="118"/>
        <v>0</v>
      </c>
      <c r="AG127" s="492">
        <f t="shared" si="119"/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 t="shared" ref="AO127:AO129" si="195">AH127+AJ127+AK127+AM127</f>
        <v>0</v>
      </c>
      <c r="AP127" s="493">
        <f t="shared" ref="AP127:AP129" si="196">AI127+AN127+AL127</f>
        <v>0</v>
      </c>
      <c r="AQ127" s="495">
        <f t="shared" si="120"/>
        <v>0</v>
      </c>
      <c r="AR127" s="501">
        <f>I127+AG127</f>
        <v>3270739</v>
      </c>
      <c r="AS127" s="492">
        <f>J127+V127</f>
        <v>2376692</v>
      </c>
      <c r="AT127" s="492">
        <f t="shared" ref="AT127:AT129" si="197">K127+Z127</f>
        <v>19500</v>
      </c>
      <c r="AU127" s="492">
        <f t="shared" ref="AU127:AV129" si="198">L127+AB127</f>
        <v>809913</v>
      </c>
      <c r="AV127" s="492">
        <f t="shared" si="198"/>
        <v>47534</v>
      </c>
      <c r="AW127" s="492">
        <f>N127+AF127</f>
        <v>17100</v>
      </c>
      <c r="AX127" s="493">
        <f>O127+AQ127</f>
        <v>5.4099999999999993</v>
      </c>
      <c r="AY127" s="493">
        <f t="shared" ref="AY127:AZ129" si="199">P127+AO127</f>
        <v>4.0999999999999996</v>
      </c>
      <c r="AZ127" s="495">
        <f t="shared" si="199"/>
        <v>1.3099999999999998</v>
      </c>
    </row>
    <row r="128" spans="1:52" ht="12.95" customHeight="1" x14ac:dyDescent="0.25">
      <c r="A128" s="314">
        <v>23</v>
      </c>
      <c r="B128" s="354">
        <v>5429</v>
      </c>
      <c r="C128" s="355">
        <v>600098656</v>
      </c>
      <c r="D128" s="314">
        <v>70698309</v>
      </c>
      <c r="E128" s="382" t="s">
        <v>477</v>
      </c>
      <c r="F128" s="314">
        <v>3111</v>
      </c>
      <c r="G128" s="317" t="s">
        <v>313</v>
      </c>
      <c r="H128" s="317" t="s">
        <v>279</v>
      </c>
      <c r="I128" s="494">
        <v>0</v>
      </c>
      <c r="J128" s="489">
        <v>0</v>
      </c>
      <c r="K128" s="489">
        <v>0</v>
      </c>
      <c r="L128" s="489">
        <v>0</v>
      </c>
      <c r="M128" s="489">
        <v>0</v>
      </c>
      <c r="N128" s="489">
        <v>0</v>
      </c>
      <c r="O128" s="490">
        <v>0</v>
      </c>
      <c r="P128" s="491">
        <v>0</v>
      </c>
      <c r="Q128" s="500">
        <v>0</v>
      </c>
      <c r="R128" s="502">
        <f t="shared" si="116"/>
        <v>0</v>
      </c>
      <c r="S128" s="492">
        <v>0</v>
      </c>
      <c r="T128" s="492">
        <v>0</v>
      </c>
      <c r="U128" s="492">
        <v>0</v>
      </c>
      <c r="V128" s="492">
        <f t="shared" si="117"/>
        <v>0</v>
      </c>
      <c r="W128" s="713">
        <v>0</v>
      </c>
      <c r="X128" s="492">
        <v>0</v>
      </c>
      <c r="Y128" s="492">
        <v>0</v>
      </c>
      <c r="Z128" s="492">
        <f>SUM(W128:Y128)</f>
        <v>0</v>
      </c>
      <c r="AA128" s="492">
        <f>V128+Z128</f>
        <v>0</v>
      </c>
      <c r="AB128" s="74">
        <f>ROUND((V128+W128+X128)*33.8%,0)</f>
        <v>0</v>
      </c>
      <c r="AC128" s="74">
        <f>ROUND(V128*2%,0)</f>
        <v>0</v>
      </c>
      <c r="AD128" s="492">
        <v>0</v>
      </c>
      <c r="AE128" s="492">
        <v>0</v>
      </c>
      <c r="AF128" s="492">
        <f t="shared" si="118"/>
        <v>0</v>
      </c>
      <c r="AG128" s="492">
        <f t="shared" si="119"/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 t="shared" si="195"/>
        <v>0</v>
      </c>
      <c r="AP128" s="493">
        <f t="shared" si="196"/>
        <v>0</v>
      </c>
      <c r="AQ128" s="495">
        <f t="shared" si="120"/>
        <v>0</v>
      </c>
      <c r="AR128" s="501">
        <f>I128+AG128</f>
        <v>0</v>
      </c>
      <c r="AS128" s="492">
        <f>J128+V128</f>
        <v>0</v>
      </c>
      <c r="AT128" s="492">
        <f t="shared" si="197"/>
        <v>0</v>
      </c>
      <c r="AU128" s="492">
        <f t="shared" si="198"/>
        <v>0</v>
      </c>
      <c r="AV128" s="492">
        <f t="shared" si="198"/>
        <v>0</v>
      </c>
      <c r="AW128" s="492">
        <f>N128+AF128</f>
        <v>0</v>
      </c>
      <c r="AX128" s="493">
        <f>O128+AQ128</f>
        <v>0</v>
      </c>
      <c r="AY128" s="493">
        <f t="shared" si="199"/>
        <v>0</v>
      </c>
      <c r="AZ128" s="495">
        <f t="shared" si="199"/>
        <v>0</v>
      </c>
    </row>
    <row r="129" spans="1:52" ht="12.95" customHeight="1" x14ac:dyDescent="0.25">
      <c r="A129" s="314">
        <v>23</v>
      </c>
      <c r="B129" s="354">
        <v>5429</v>
      </c>
      <c r="C129" s="355">
        <v>600098656</v>
      </c>
      <c r="D129" s="314">
        <v>70698309</v>
      </c>
      <c r="E129" s="382" t="s">
        <v>477</v>
      </c>
      <c r="F129" s="354">
        <v>3141</v>
      </c>
      <c r="G129" s="378" t="s">
        <v>316</v>
      </c>
      <c r="H129" s="317" t="s">
        <v>279</v>
      </c>
      <c r="I129" s="494">
        <v>739188</v>
      </c>
      <c r="J129" s="489">
        <v>542100</v>
      </c>
      <c r="K129" s="489">
        <v>0</v>
      </c>
      <c r="L129" s="489">
        <v>183230</v>
      </c>
      <c r="M129" s="489">
        <v>10842</v>
      </c>
      <c r="N129" s="489">
        <v>3016</v>
      </c>
      <c r="O129" s="490">
        <v>1.71</v>
      </c>
      <c r="P129" s="491">
        <v>0</v>
      </c>
      <c r="Q129" s="500">
        <v>1.71</v>
      </c>
      <c r="R129" s="502">
        <f t="shared" si="116"/>
        <v>0</v>
      </c>
      <c r="S129" s="492">
        <v>0</v>
      </c>
      <c r="T129" s="492">
        <v>0</v>
      </c>
      <c r="U129" s="492">
        <v>0</v>
      </c>
      <c r="V129" s="492">
        <f t="shared" si="117"/>
        <v>0</v>
      </c>
      <c r="W129" s="713">
        <v>0</v>
      </c>
      <c r="X129" s="492">
        <v>0</v>
      </c>
      <c r="Y129" s="492">
        <v>0</v>
      </c>
      <c r="Z129" s="492">
        <f>SUM(W129:Y129)</f>
        <v>0</v>
      </c>
      <c r="AA129" s="492">
        <f>V129+Z129</f>
        <v>0</v>
      </c>
      <c r="AB129" s="74">
        <f>ROUND((V129+W129+X129)*33.8%,0)</f>
        <v>0</v>
      </c>
      <c r="AC129" s="74">
        <f>ROUND(V129*2%,0)</f>
        <v>0</v>
      </c>
      <c r="AD129" s="492">
        <v>0</v>
      </c>
      <c r="AE129" s="492">
        <v>0</v>
      </c>
      <c r="AF129" s="492">
        <f t="shared" si="118"/>
        <v>0</v>
      </c>
      <c r="AG129" s="492">
        <f t="shared" si="119"/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 t="shared" si="195"/>
        <v>0</v>
      </c>
      <c r="AP129" s="493">
        <f t="shared" si="196"/>
        <v>0</v>
      </c>
      <c r="AQ129" s="495">
        <f t="shared" si="120"/>
        <v>0</v>
      </c>
      <c r="AR129" s="501">
        <f>I129+AG129</f>
        <v>739188</v>
      </c>
      <c r="AS129" s="492">
        <f>J129+V129</f>
        <v>542100</v>
      </c>
      <c r="AT129" s="492">
        <f t="shared" si="197"/>
        <v>0</v>
      </c>
      <c r="AU129" s="492">
        <f t="shared" si="198"/>
        <v>183230</v>
      </c>
      <c r="AV129" s="492">
        <f t="shared" si="198"/>
        <v>10842</v>
      </c>
      <c r="AW129" s="492">
        <f>N129+AF129</f>
        <v>3016</v>
      </c>
      <c r="AX129" s="493">
        <f>O129+AQ129</f>
        <v>1.71</v>
      </c>
      <c r="AY129" s="493">
        <f t="shared" si="199"/>
        <v>0</v>
      </c>
      <c r="AZ129" s="495">
        <f t="shared" si="199"/>
        <v>1.71</v>
      </c>
    </row>
    <row r="130" spans="1:52" ht="12.95" customHeight="1" x14ac:dyDescent="0.25">
      <c r="A130" s="324">
        <v>23</v>
      </c>
      <c r="B130" s="358">
        <v>5429</v>
      </c>
      <c r="C130" s="359">
        <v>600098656</v>
      </c>
      <c r="D130" s="358">
        <v>70698309</v>
      </c>
      <c r="E130" s="383" t="s">
        <v>478</v>
      </c>
      <c r="F130" s="358"/>
      <c r="G130" s="384"/>
      <c r="H130" s="385"/>
      <c r="I130" s="584">
        <v>4009927</v>
      </c>
      <c r="J130" s="580">
        <v>2918792</v>
      </c>
      <c r="K130" s="580">
        <v>19500</v>
      </c>
      <c r="L130" s="580">
        <v>993143</v>
      </c>
      <c r="M130" s="580">
        <v>58376</v>
      </c>
      <c r="N130" s="580">
        <v>20116</v>
      </c>
      <c r="O130" s="581">
        <v>7.1199999999999992</v>
      </c>
      <c r="P130" s="581">
        <v>4.0999999999999996</v>
      </c>
      <c r="Q130" s="586">
        <v>3.0199999999999996</v>
      </c>
      <c r="R130" s="584">
        <f t="shared" ref="R130:AZ130" si="200">SUM(R127:R129)</f>
        <v>0</v>
      </c>
      <c r="S130" s="580">
        <f t="shared" si="200"/>
        <v>0</v>
      </c>
      <c r="T130" s="580">
        <f t="shared" si="200"/>
        <v>0</v>
      </c>
      <c r="U130" s="580">
        <f t="shared" si="200"/>
        <v>0</v>
      </c>
      <c r="V130" s="580">
        <f t="shared" si="200"/>
        <v>0</v>
      </c>
      <c r="W130" s="580">
        <f t="shared" si="200"/>
        <v>0</v>
      </c>
      <c r="X130" s="580">
        <f t="shared" si="200"/>
        <v>0</v>
      </c>
      <c r="Y130" s="580">
        <f t="shared" si="200"/>
        <v>0</v>
      </c>
      <c r="Z130" s="580">
        <f t="shared" si="200"/>
        <v>0</v>
      </c>
      <c r="AA130" s="580">
        <f t="shared" si="200"/>
        <v>0</v>
      </c>
      <c r="AB130" s="580">
        <f t="shared" si="200"/>
        <v>0</v>
      </c>
      <c r="AC130" s="580">
        <f t="shared" si="200"/>
        <v>0</v>
      </c>
      <c r="AD130" s="580">
        <f t="shared" si="200"/>
        <v>0</v>
      </c>
      <c r="AE130" s="580">
        <f t="shared" si="200"/>
        <v>0</v>
      </c>
      <c r="AF130" s="580">
        <f t="shared" si="200"/>
        <v>0</v>
      </c>
      <c r="AG130" s="580">
        <f t="shared" si="200"/>
        <v>0</v>
      </c>
      <c r="AH130" s="581">
        <f t="shared" si="200"/>
        <v>0</v>
      </c>
      <c r="AI130" s="581">
        <f t="shared" si="200"/>
        <v>0</v>
      </c>
      <c r="AJ130" s="581">
        <f t="shared" si="200"/>
        <v>0</v>
      </c>
      <c r="AK130" s="581">
        <f t="shared" si="200"/>
        <v>0</v>
      </c>
      <c r="AL130" s="581">
        <f t="shared" si="200"/>
        <v>0</v>
      </c>
      <c r="AM130" s="581">
        <f t="shared" si="200"/>
        <v>0</v>
      </c>
      <c r="AN130" s="581">
        <f t="shared" si="200"/>
        <v>0</v>
      </c>
      <c r="AO130" s="581">
        <f t="shared" si="200"/>
        <v>0</v>
      </c>
      <c r="AP130" s="581">
        <f t="shared" si="200"/>
        <v>0</v>
      </c>
      <c r="AQ130" s="312">
        <f t="shared" si="200"/>
        <v>0</v>
      </c>
      <c r="AR130" s="588">
        <f t="shared" si="200"/>
        <v>4009927</v>
      </c>
      <c r="AS130" s="580">
        <f t="shared" si="200"/>
        <v>2918792</v>
      </c>
      <c r="AT130" s="580">
        <f t="shared" si="200"/>
        <v>19500</v>
      </c>
      <c r="AU130" s="580">
        <f t="shared" si="200"/>
        <v>993143</v>
      </c>
      <c r="AV130" s="580">
        <f t="shared" si="200"/>
        <v>58376</v>
      </c>
      <c r="AW130" s="580">
        <f t="shared" si="200"/>
        <v>20116</v>
      </c>
      <c r="AX130" s="581">
        <f t="shared" si="200"/>
        <v>7.1199999999999992</v>
      </c>
      <c r="AY130" s="581">
        <f t="shared" si="200"/>
        <v>4.0999999999999996</v>
      </c>
      <c r="AZ130" s="312">
        <f t="shared" si="200"/>
        <v>3.0199999999999996</v>
      </c>
    </row>
    <row r="131" spans="1:52" ht="12.95" customHeight="1" x14ac:dyDescent="0.25">
      <c r="A131" s="314">
        <v>24</v>
      </c>
      <c r="B131" s="354">
        <v>5468</v>
      </c>
      <c r="C131" s="355">
        <v>600099083</v>
      </c>
      <c r="D131" s="314">
        <v>70698317</v>
      </c>
      <c r="E131" s="382" t="s">
        <v>479</v>
      </c>
      <c r="F131" s="354">
        <v>3117</v>
      </c>
      <c r="G131" s="378" t="s">
        <v>330</v>
      </c>
      <c r="H131" s="317" t="s">
        <v>278</v>
      </c>
      <c r="I131" s="494">
        <v>2439014</v>
      </c>
      <c r="J131" s="489">
        <v>1775886</v>
      </c>
      <c r="K131" s="489">
        <v>0</v>
      </c>
      <c r="L131" s="489">
        <v>600250</v>
      </c>
      <c r="M131" s="489">
        <v>35518</v>
      </c>
      <c r="N131" s="489">
        <v>27360</v>
      </c>
      <c r="O131" s="490">
        <v>3.3052999999999999</v>
      </c>
      <c r="P131" s="491">
        <v>2.4089999999999998</v>
      </c>
      <c r="Q131" s="500">
        <v>0.8963000000000001</v>
      </c>
      <c r="R131" s="502">
        <f t="shared" si="116"/>
        <v>0</v>
      </c>
      <c r="S131" s="492">
        <v>0</v>
      </c>
      <c r="T131" s="492">
        <v>0</v>
      </c>
      <c r="U131" s="492">
        <v>0</v>
      </c>
      <c r="V131" s="492">
        <f t="shared" si="117"/>
        <v>0</v>
      </c>
      <c r="W131" s="492">
        <v>0</v>
      </c>
      <c r="X131" s="492">
        <v>0</v>
      </c>
      <c r="Y131" s="492">
        <v>0</v>
      </c>
      <c r="Z131" s="492">
        <f>SUM(W131:Y131)</f>
        <v>0</v>
      </c>
      <c r="AA131" s="492">
        <f>V131+Z131</f>
        <v>0</v>
      </c>
      <c r="AB131" s="74">
        <f>ROUND((V131+W131+X131)*33.8%,0)</f>
        <v>0</v>
      </c>
      <c r="AC131" s="74">
        <f>ROUND(V131*2%,0)</f>
        <v>0</v>
      </c>
      <c r="AD131" s="492">
        <v>0</v>
      </c>
      <c r="AE131" s="492">
        <v>0</v>
      </c>
      <c r="AF131" s="492">
        <f t="shared" si="118"/>
        <v>0</v>
      </c>
      <c r="AG131" s="492">
        <f t="shared" si="119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 t="shared" ref="AO131:AO134" si="201">AH131+AJ131+AK131+AM131</f>
        <v>0</v>
      </c>
      <c r="AP131" s="493">
        <f t="shared" ref="AP131:AP134" si="202">AI131+AN131+AL131</f>
        <v>0</v>
      </c>
      <c r="AQ131" s="495">
        <f t="shared" si="120"/>
        <v>0</v>
      </c>
      <c r="AR131" s="501">
        <f>I131+AG131</f>
        <v>2439014</v>
      </c>
      <c r="AS131" s="492">
        <f>J131+V131</f>
        <v>1775886</v>
      </c>
      <c r="AT131" s="492">
        <f t="shared" ref="AT131:AT134" si="203">K131+Z131</f>
        <v>0</v>
      </c>
      <c r="AU131" s="492">
        <f t="shared" ref="AU131:AV134" si="204">L131+AB131</f>
        <v>600250</v>
      </c>
      <c r="AV131" s="492">
        <f t="shared" si="204"/>
        <v>35518</v>
      </c>
      <c r="AW131" s="492">
        <f>N131+AF131</f>
        <v>27360</v>
      </c>
      <c r="AX131" s="493">
        <f>O131+AQ131</f>
        <v>3.3052999999999999</v>
      </c>
      <c r="AY131" s="493">
        <f t="shared" ref="AY131:AZ134" si="205">P131+AO131</f>
        <v>2.4089999999999998</v>
      </c>
      <c r="AZ131" s="495">
        <f t="shared" si="205"/>
        <v>0.8963000000000001</v>
      </c>
    </row>
    <row r="132" spans="1:52" ht="12.95" customHeight="1" x14ac:dyDescent="0.25">
      <c r="A132" s="314">
        <v>24</v>
      </c>
      <c r="B132" s="354">
        <v>5468</v>
      </c>
      <c r="C132" s="355">
        <v>600099083</v>
      </c>
      <c r="D132" s="314">
        <v>70698317</v>
      </c>
      <c r="E132" s="382" t="s">
        <v>479</v>
      </c>
      <c r="F132" s="354">
        <v>3117</v>
      </c>
      <c r="G132" s="317" t="s">
        <v>313</v>
      </c>
      <c r="H132" s="317" t="s">
        <v>279</v>
      </c>
      <c r="I132" s="494">
        <v>31419</v>
      </c>
      <c r="J132" s="489">
        <v>23136</v>
      </c>
      <c r="K132" s="489">
        <v>0</v>
      </c>
      <c r="L132" s="489">
        <v>7820</v>
      </c>
      <c r="M132" s="489">
        <v>463</v>
      </c>
      <c r="N132" s="489">
        <v>0</v>
      </c>
      <c r="O132" s="490">
        <v>0.05</v>
      </c>
      <c r="P132" s="491">
        <v>0.05</v>
      </c>
      <c r="Q132" s="500">
        <v>0</v>
      </c>
      <c r="R132" s="502">
        <f t="shared" si="116"/>
        <v>0</v>
      </c>
      <c r="S132" s="492">
        <v>64958</v>
      </c>
      <c r="T132" s="492">
        <v>0</v>
      </c>
      <c r="U132" s="492">
        <v>0</v>
      </c>
      <c r="V132" s="492">
        <f t="shared" si="117"/>
        <v>64958</v>
      </c>
      <c r="W132" s="492">
        <v>0</v>
      </c>
      <c r="X132" s="492">
        <v>0</v>
      </c>
      <c r="Y132" s="492">
        <v>0</v>
      </c>
      <c r="Z132" s="492">
        <f>SUM(W132:Y132)</f>
        <v>0</v>
      </c>
      <c r="AA132" s="492">
        <f>V132+Z132</f>
        <v>64958</v>
      </c>
      <c r="AB132" s="74">
        <f>ROUND((V132+W132+X132)*33.8%,0)</f>
        <v>21956</v>
      </c>
      <c r="AC132" s="74">
        <f>ROUND(V132*2%,0)</f>
        <v>1299</v>
      </c>
      <c r="AD132" s="492">
        <v>0</v>
      </c>
      <c r="AE132" s="492">
        <v>0</v>
      </c>
      <c r="AF132" s="492">
        <f t="shared" si="118"/>
        <v>0</v>
      </c>
      <c r="AG132" s="492">
        <f t="shared" si="119"/>
        <v>88213</v>
      </c>
      <c r="AH132" s="493">
        <v>0</v>
      </c>
      <c r="AI132" s="493">
        <v>0</v>
      </c>
      <c r="AJ132" s="493">
        <v>0.19</v>
      </c>
      <c r="AK132" s="493">
        <v>0</v>
      </c>
      <c r="AL132" s="493">
        <v>0</v>
      </c>
      <c r="AM132" s="493">
        <v>0</v>
      </c>
      <c r="AN132" s="493">
        <v>0</v>
      </c>
      <c r="AO132" s="493">
        <f t="shared" si="201"/>
        <v>0.19</v>
      </c>
      <c r="AP132" s="493">
        <f t="shared" si="202"/>
        <v>0</v>
      </c>
      <c r="AQ132" s="495">
        <f t="shared" si="120"/>
        <v>0.19</v>
      </c>
      <c r="AR132" s="501">
        <f>I132+AG132</f>
        <v>119632</v>
      </c>
      <c r="AS132" s="492">
        <f>J132+V132</f>
        <v>88094</v>
      </c>
      <c r="AT132" s="492">
        <f t="shared" si="203"/>
        <v>0</v>
      </c>
      <c r="AU132" s="492">
        <f t="shared" si="204"/>
        <v>29776</v>
      </c>
      <c r="AV132" s="492">
        <f t="shared" si="204"/>
        <v>1762</v>
      </c>
      <c r="AW132" s="492">
        <f>N132+AF132</f>
        <v>0</v>
      </c>
      <c r="AX132" s="493">
        <f>O132+AQ132</f>
        <v>0.24</v>
      </c>
      <c r="AY132" s="493">
        <f t="shared" si="205"/>
        <v>0.24</v>
      </c>
      <c r="AZ132" s="495">
        <f t="shared" si="205"/>
        <v>0</v>
      </c>
    </row>
    <row r="133" spans="1:52" ht="12.95" customHeight="1" x14ac:dyDescent="0.25">
      <c r="A133" s="314">
        <v>24</v>
      </c>
      <c r="B133" s="354">
        <v>5468</v>
      </c>
      <c r="C133" s="355">
        <v>600099083</v>
      </c>
      <c r="D133" s="314">
        <v>70698317</v>
      </c>
      <c r="E133" s="382" t="s">
        <v>479</v>
      </c>
      <c r="F133" s="354">
        <v>3143</v>
      </c>
      <c r="G133" s="317" t="s">
        <v>629</v>
      </c>
      <c r="H133" s="317" t="s">
        <v>278</v>
      </c>
      <c r="I133" s="494">
        <v>545527</v>
      </c>
      <c r="J133" s="489">
        <v>401714</v>
      </c>
      <c r="K133" s="489">
        <v>0</v>
      </c>
      <c r="L133" s="489">
        <v>135779</v>
      </c>
      <c r="M133" s="489">
        <v>8034</v>
      </c>
      <c r="N133" s="489">
        <v>0</v>
      </c>
      <c r="O133" s="490">
        <v>0.83930000000000005</v>
      </c>
      <c r="P133" s="491">
        <v>0.83930000000000005</v>
      </c>
      <c r="Q133" s="500">
        <v>0</v>
      </c>
      <c r="R133" s="502">
        <f t="shared" si="116"/>
        <v>0</v>
      </c>
      <c r="S133" s="492">
        <v>0</v>
      </c>
      <c r="T133" s="492">
        <v>0</v>
      </c>
      <c r="U133" s="492">
        <v>0</v>
      </c>
      <c r="V133" s="492">
        <f t="shared" si="117"/>
        <v>0</v>
      </c>
      <c r="W133" s="492">
        <v>0</v>
      </c>
      <c r="X133" s="492">
        <v>0</v>
      </c>
      <c r="Y133" s="492">
        <v>0</v>
      </c>
      <c r="Z133" s="492">
        <f>SUM(W133:Y133)</f>
        <v>0</v>
      </c>
      <c r="AA133" s="492">
        <f>V133+Z133</f>
        <v>0</v>
      </c>
      <c r="AB133" s="74">
        <f>ROUND((V133+W133+X133)*33.8%,0)</f>
        <v>0</v>
      </c>
      <c r="AC133" s="74">
        <f>ROUND(V133*2%,0)</f>
        <v>0</v>
      </c>
      <c r="AD133" s="492">
        <v>0</v>
      </c>
      <c r="AE133" s="492">
        <v>0</v>
      </c>
      <c r="AF133" s="492">
        <f t="shared" si="118"/>
        <v>0</v>
      </c>
      <c r="AG133" s="492">
        <f t="shared" si="119"/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 t="shared" si="201"/>
        <v>0</v>
      </c>
      <c r="AP133" s="493">
        <f t="shared" si="202"/>
        <v>0</v>
      </c>
      <c r="AQ133" s="495">
        <f t="shared" si="120"/>
        <v>0</v>
      </c>
      <c r="AR133" s="501">
        <f>I133+AG133</f>
        <v>545527</v>
      </c>
      <c r="AS133" s="492">
        <f>J133+V133</f>
        <v>401714</v>
      </c>
      <c r="AT133" s="492">
        <f t="shared" si="203"/>
        <v>0</v>
      </c>
      <c r="AU133" s="492">
        <f t="shared" si="204"/>
        <v>135779</v>
      </c>
      <c r="AV133" s="492">
        <f t="shared" si="204"/>
        <v>8034</v>
      </c>
      <c r="AW133" s="492">
        <f>N133+AF133</f>
        <v>0</v>
      </c>
      <c r="AX133" s="493">
        <f>O133+AQ133</f>
        <v>0.83930000000000005</v>
      </c>
      <c r="AY133" s="493">
        <f t="shared" si="205"/>
        <v>0.83930000000000005</v>
      </c>
      <c r="AZ133" s="495">
        <f t="shared" si="205"/>
        <v>0</v>
      </c>
    </row>
    <row r="134" spans="1:52" ht="12.95" customHeight="1" x14ac:dyDescent="0.25">
      <c r="A134" s="314">
        <v>24</v>
      </c>
      <c r="B134" s="354">
        <v>5468</v>
      </c>
      <c r="C134" s="355">
        <v>600099083</v>
      </c>
      <c r="D134" s="314">
        <v>70698317</v>
      </c>
      <c r="E134" s="382" t="s">
        <v>479</v>
      </c>
      <c r="F134" s="354">
        <v>3143</v>
      </c>
      <c r="G134" s="317" t="s">
        <v>630</v>
      </c>
      <c r="H134" s="317" t="s">
        <v>279</v>
      </c>
      <c r="I134" s="494">
        <v>11339</v>
      </c>
      <c r="J134" s="489">
        <v>8019</v>
      </c>
      <c r="K134" s="489">
        <v>0</v>
      </c>
      <c r="L134" s="489">
        <v>2710</v>
      </c>
      <c r="M134" s="489">
        <v>160</v>
      </c>
      <c r="N134" s="489">
        <v>450</v>
      </c>
      <c r="O134" s="490">
        <v>0.03</v>
      </c>
      <c r="P134" s="491">
        <v>0</v>
      </c>
      <c r="Q134" s="500">
        <v>0.03</v>
      </c>
      <c r="R134" s="502">
        <f t="shared" si="116"/>
        <v>0</v>
      </c>
      <c r="S134" s="492">
        <v>0</v>
      </c>
      <c r="T134" s="492">
        <v>0</v>
      </c>
      <c r="U134" s="492">
        <v>0</v>
      </c>
      <c r="V134" s="492">
        <f t="shared" si="117"/>
        <v>0</v>
      </c>
      <c r="W134" s="492">
        <v>0</v>
      </c>
      <c r="X134" s="492">
        <v>0</v>
      </c>
      <c r="Y134" s="492">
        <v>0</v>
      </c>
      <c r="Z134" s="492">
        <f>SUM(W134:Y134)</f>
        <v>0</v>
      </c>
      <c r="AA134" s="492">
        <f>V134+Z134</f>
        <v>0</v>
      </c>
      <c r="AB134" s="74">
        <f>ROUND((V134+W134+X134)*33.8%,0)</f>
        <v>0</v>
      </c>
      <c r="AC134" s="74">
        <f>ROUND(V134*2%,0)</f>
        <v>0</v>
      </c>
      <c r="AD134" s="492">
        <v>0</v>
      </c>
      <c r="AE134" s="492">
        <v>0</v>
      </c>
      <c r="AF134" s="492">
        <f t="shared" si="118"/>
        <v>0</v>
      </c>
      <c r="AG134" s="492">
        <f t="shared" si="119"/>
        <v>0</v>
      </c>
      <c r="AH134" s="493">
        <v>0</v>
      </c>
      <c r="AI134" s="493">
        <v>0</v>
      </c>
      <c r="AJ134" s="493">
        <v>0</v>
      </c>
      <c r="AK134" s="493">
        <v>0</v>
      </c>
      <c r="AL134" s="493">
        <v>0</v>
      </c>
      <c r="AM134" s="493">
        <v>0</v>
      </c>
      <c r="AN134" s="493">
        <v>0</v>
      </c>
      <c r="AO134" s="493">
        <f t="shared" si="201"/>
        <v>0</v>
      </c>
      <c r="AP134" s="493">
        <f t="shared" si="202"/>
        <v>0</v>
      </c>
      <c r="AQ134" s="495">
        <f t="shared" si="120"/>
        <v>0</v>
      </c>
      <c r="AR134" s="501">
        <f>I134+AG134</f>
        <v>11339</v>
      </c>
      <c r="AS134" s="492">
        <f>J134+V134</f>
        <v>8019</v>
      </c>
      <c r="AT134" s="492">
        <f t="shared" si="203"/>
        <v>0</v>
      </c>
      <c r="AU134" s="492">
        <f t="shared" si="204"/>
        <v>2710</v>
      </c>
      <c r="AV134" s="492">
        <f t="shared" si="204"/>
        <v>160</v>
      </c>
      <c r="AW134" s="492">
        <f>N134+AF134</f>
        <v>450</v>
      </c>
      <c r="AX134" s="493">
        <f>O134+AQ134</f>
        <v>0.03</v>
      </c>
      <c r="AY134" s="493">
        <f t="shared" si="205"/>
        <v>0</v>
      </c>
      <c r="AZ134" s="495">
        <f t="shared" si="205"/>
        <v>0.03</v>
      </c>
    </row>
    <row r="135" spans="1:52" ht="12.95" customHeight="1" x14ac:dyDescent="0.25">
      <c r="A135" s="324">
        <v>24</v>
      </c>
      <c r="B135" s="358">
        <v>5468</v>
      </c>
      <c r="C135" s="359">
        <v>600099083</v>
      </c>
      <c r="D135" s="358">
        <v>70698317</v>
      </c>
      <c r="E135" s="383" t="s">
        <v>480</v>
      </c>
      <c r="F135" s="358"/>
      <c r="G135" s="384"/>
      <c r="H135" s="385"/>
      <c r="I135" s="584">
        <v>3027299</v>
      </c>
      <c r="J135" s="580">
        <v>2208755</v>
      </c>
      <c r="K135" s="580">
        <v>0</v>
      </c>
      <c r="L135" s="580">
        <v>746559</v>
      </c>
      <c r="M135" s="580">
        <v>44175</v>
      </c>
      <c r="N135" s="580">
        <v>27810</v>
      </c>
      <c r="O135" s="581">
        <v>4.2245999999999997</v>
      </c>
      <c r="P135" s="581">
        <v>3.2982999999999998</v>
      </c>
      <c r="Q135" s="586">
        <v>0.92630000000000012</v>
      </c>
      <c r="R135" s="584">
        <f t="shared" ref="R135:AZ135" si="206">SUM(R131:R134)</f>
        <v>0</v>
      </c>
      <c r="S135" s="580">
        <f t="shared" si="206"/>
        <v>64958</v>
      </c>
      <c r="T135" s="580">
        <f t="shared" si="206"/>
        <v>0</v>
      </c>
      <c r="U135" s="580">
        <f t="shared" si="206"/>
        <v>0</v>
      </c>
      <c r="V135" s="580">
        <f t="shared" si="206"/>
        <v>64958</v>
      </c>
      <c r="W135" s="580">
        <f t="shared" si="206"/>
        <v>0</v>
      </c>
      <c r="X135" s="580">
        <f t="shared" si="206"/>
        <v>0</v>
      </c>
      <c r="Y135" s="580">
        <f t="shared" si="206"/>
        <v>0</v>
      </c>
      <c r="Z135" s="580">
        <f t="shared" si="206"/>
        <v>0</v>
      </c>
      <c r="AA135" s="580">
        <f t="shared" si="206"/>
        <v>64958</v>
      </c>
      <c r="AB135" s="580">
        <f t="shared" si="206"/>
        <v>21956</v>
      </c>
      <c r="AC135" s="580">
        <f t="shared" si="206"/>
        <v>1299</v>
      </c>
      <c r="AD135" s="580">
        <f t="shared" si="206"/>
        <v>0</v>
      </c>
      <c r="AE135" s="580">
        <f t="shared" si="206"/>
        <v>0</v>
      </c>
      <c r="AF135" s="580">
        <f t="shared" si="206"/>
        <v>0</v>
      </c>
      <c r="AG135" s="580">
        <f t="shared" si="206"/>
        <v>88213</v>
      </c>
      <c r="AH135" s="581">
        <f t="shared" si="206"/>
        <v>0</v>
      </c>
      <c r="AI135" s="581">
        <f t="shared" si="206"/>
        <v>0</v>
      </c>
      <c r="AJ135" s="581">
        <f t="shared" si="206"/>
        <v>0.19</v>
      </c>
      <c r="AK135" s="581">
        <f t="shared" si="206"/>
        <v>0</v>
      </c>
      <c r="AL135" s="581">
        <f t="shared" si="206"/>
        <v>0</v>
      </c>
      <c r="AM135" s="581">
        <f t="shared" si="206"/>
        <v>0</v>
      </c>
      <c r="AN135" s="581">
        <f t="shared" si="206"/>
        <v>0</v>
      </c>
      <c r="AO135" s="581">
        <f t="shared" si="206"/>
        <v>0.19</v>
      </c>
      <c r="AP135" s="581">
        <f t="shared" si="206"/>
        <v>0</v>
      </c>
      <c r="AQ135" s="312">
        <f t="shared" si="206"/>
        <v>0.19</v>
      </c>
      <c r="AR135" s="588">
        <f t="shared" si="206"/>
        <v>3115512</v>
      </c>
      <c r="AS135" s="580">
        <f t="shared" si="206"/>
        <v>2273713</v>
      </c>
      <c r="AT135" s="580">
        <f t="shared" si="206"/>
        <v>0</v>
      </c>
      <c r="AU135" s="580">
        <f t="shared" si="206"/>
        <v>768515</v>
      </c>
      <c r="AV135" s="580">
        <f t="shared" si="206"/>
        <v>45474</v>
      </c>
      <c r="AW135" s="580">
        <f t="shared" si="206"/>
        <v>27810</v>
      </c>
      <c r="AX135" s="581">
        <f t="shared" si="206"/>
        <v>4.4146000000000001</v>
      </c>
      <c r="AY135" s="581">
        <f t="shared" si="206"/>
        <v>3.4883000000000002</v>
      </c>
      <c r="AZ135" s="312">
        <f t="shared" si="206"/>
        <v>0.92630000000000012</v>
      </c>
    </row>
    <row r="136" spans="1:52" ht="12.95" customHeight="1" x14ac:dyDescent="0.25">
      <c r="A136" s="314">
        <v>25</v>
      </c>
      <c r="B136" s="354">
        <v>5488</v>
      </c>
      <c r="C136" s="355">
        <v>600099326</v>
      </c>
      <c r="D136" s="314">
        <v>70695393</v>
      </c>
      <c r="E136" s="382" t="s">
        <v>481</v>
      </c>
      <c r="F136" s="354">
        <v>3111</v>
      </c>
      <c r="G136" s="378" t="s">
        <v>326</v>
      </c>
      <c r="H136" s="317" t="s">
        <v>278</v>
      </c>
      <c r="I136" s="494">
        <v>666682</v>
      </c>
      <c r="J136" s="489">
        <v>488610</v>
      </c>
      <c r="K136" s="489">
        <v>0</v>
      </c>
      <c r="L136" s="489">
        <v>165150</v>
      </c>
      <c r="M136" s="489">
        <v>9772</v>
      </c>
      <c r="N136" s="489">
        <v>3150</v>
      </c>
      <c r="O136" s="490">
        <v>1.2471000000000001</v>
      </c>
      <c r="P136" s="491">
        <v>0.99890000000000001</v>
      </c>
      <c r="Q136" s="500">
        <v>0.2482</v>
      </c>
      <c r="R136" s="502">
        <f t="shared" si="116"/>
        <v>0</v>
      </c>
      <c r="S136" s="492">
        <v>0</v>
      </c>
      <c r="T136" s="492">
        <v>0</v>
      </c>
      <c r="U136" s="492">
        <v>0</v>
      </c>
      <c r="V136" s="492">
        <f t="shared" si="117"/>
        <v>0</v>
      </c>
      <c r="W136" s="492">
        <v>0</v>
      </c>
      <c r="X136" s="492">
        <v>0</v>
      </c>
      <c r="Y136" s="492">
        <v>0</v>
      </c>
      <c r="Z136" s="492">
        <f t="shared" ref="Z136:Z141" si="207">SUM(W136:Y136)</f>
        <v>0</v>
      </c>
      <c r="AA136" s="492">
        <f t="shared" ref="AA136:AA141" si="208">V136+Z136</f>
        <v>0</v>
      </c>
      <c r="AB136" s="74">
        <f t="shared" ref="AB136:AB141" si="209">ROUND((V136+W136+X136)*33.8%,0)</f>
        <v>0</v>
      </c>
      <c r="AC136" s="74">
        <f t="shared" ref="AC136:AC141" si="210">ROUND(V136*2%,0)</f>
        <v>0</v>
      </c>
      <c r="AD136" s="492">
        <v>0</v>
      </c>
      <c r="AE136" s="492">
        <v>0</v>
      </c>
      <c r="AF136" s="492">
        <f t="shared" si="118"/>
        <v>0</v>
      </c>
      <c r="AG136" s="492">
        <f t="shared" si="119"/>
        <v>0</v>
      </c>
      <c r="AH136" s="493">
        <v>0</v>
      </c>
      <c r="AI136" s="493">
        <v>0</v>
      </c>
      <c r="AJ136" s="493">
        <v>0</v>
      </c>
      <c r="AK136" s="493">
        <v>0</v>
      </c>
      <c r="AL136" s="493">
        <v>0</v>
      </c>
      <c r="AM136" s="493">
        <v>0</v>
      </c>
      <c r="AN136" s="493">
        <v>0</v>
      </c>
      <c r="AO136" s="493">
        <f t="shared" ref="AO136:AO141" si="211">AH136+AJ136+AK136+AM136</f>
        <v>0</v>
      </c>
      <c r="AP136" s="493">
        <f t="shared" ref="AP136:AP141" si="212">AI136+AN136+AL136</f>
        <v>0</v>
      </c>
      <c r="AQ136" s="495">
        <f t="shared" si="120"/>
        <v>0</v>
      </c>
      <c r="AR136" s="501">
        <f t="shared" ref="AR136:AR141" si="213">I136+AG136</f>
        <v>666682</v>
      </c>
      <c r="AS136" s="492">
        <f t="shared" ref="AS136:AS141" si="214">J136+V136</f>
        <v>488610</v>
      </c>
      <c r="AT136" s="492">
        <f t="shared" ref="AT136:AT141" si="215">K136+Z136</f>
        <v>0</v>
      </c>
      <c r="AU136" s="492">
        <f t="shared" ref="AU136:AV141" si="216">L136+AB136</f>
        <v>165150</v>
      </c>
      <c r="AV136" s="492">
        <f t="shared" si="216"/>
        <v>9772</v>
      </c>
      <c r="AW136" s="492">
        <f t="shared" ref="AW136:AW141" si="217">N136+AF136</f>
        <v>3150</v>
      </c>
      <c r="AX136" s="493">
        <f t="shared" ref="AX136:AX141" si="218">O136+AQ136</f>
        <v>1.2471000000000001</v>
      </c>
      <c r="AY136" s="493">
        <f t="shared" ref="AY136:AZ141" si="219">P136+AO136</f>
        <v>0.99890000000000001</v>
      </c>
      <c r="AZ136" s="495">
        <f t="shared" si="219"/>
        <v>0.2482</v>
      </c>
    </row>
    <row r="137" spans="1:52" ht="12.95" customHeight="1" x14ac:dyDescent="0.25">
      <c r="A137" s="314">
        <v>25</v>
      </c>
      <c r="B137" s="354">
        <v>5488</v>
      </c>
      <c r="C137" s="355">
        <v>600099326</v>
      </c>
      <c r="D137" s="314">
        <v>70695393</v>
      </c>
      <c r="E137" s="382" t="s">
        <v>481</v>
      </c>
      <c r="F137" s="354">
        <v>3117</v>
      </c>
      <c r="G137" s="378" t="s">
        <v>330</v>
      </c>
      <c r="H137" s="317" t="s">
        <v>278</v>
      </c>
      <c r="I137" s="494">
        <v>2701028</v>
      </c>
      <c r="J137" s="489">
        <v>1972605</v>
      </c>
      <c r="K137" s="489">
        <v>0</v>
      </c>
      <c r="L137" s="489">
        <v>666741</v>
      </c>
      <c r="M137" s="489">
        <v>39452</v>
      </c>
      <c r="N137" s="489">
        <v>22230</v>
      </c>
      <c r="O137" s="490">
        <v>3.8931999999999998</v>
      </c>
      <c r="P137" s="491">
        <v>2.4794999999999998</v>
      </c>
      <c r="Q137" s="500">
        <v>1.4137</v>
      </c>
      <c r="R137" s="502">
        <f t="shared" si="116"/>
        <v>0</v>
      </c>
      <c r="S137" s="492">
        <v>0</v>
      </c>
      <c r="T137" s="492">
        <v>0</v>
      </c>
      <c r="U137" s="492">
        <v>0</v>
      </c>
      <c r="V137" s="492">
        <f t="shared" si="117"/>
        <v>0</v>
      </c>
      <c r="W137" s="492">
        <v>0</v>
      </c>
      <c r="X137" s="492">
        <v>0</v>
      </c>
      <c r="Y137" s="492">
        <v>0</v>
      </c>
      <c r="Z137" s="492">
        <f t="shared" si="207"/>
        <v>0</v>
      </c>
      <c r="AA137" s="492">
        <f t="shared" si="208"/>
        <v>0</v>
      </c>
      <c r="AB137" s="74">
        <f t="shared" si="209"/>
        <v>0</v>
      </c>
      <c r="AC137" s="74">
        <f t="shared" si="210"/>
        <v>0</v>
      </c>
      <c r="AD137" s="492">
        <v>0</v>
      </c>
      <c r="AE137" s="492">
        <v>0</v>
      </c>
      <c r="AF137" s="492">
        <f t="shared" si="118"/>
        <v>0</v>
      </c>
      <c r="AG137" s="492">
        <f t="shared" si="119"/>
        <v>0</v>
      </c>
      <c r="AH137" s="493">
        <v>0</v>
      </c>
      <c r="AI137" s="493">
        <v>0</v>
      </c>
      <c r="AJ137" s="493">
        <v>0</v>
      </c>
      <c r="AK137" s="493">
        <v>0</v>
      </c>
      <c r="AL137" s="493">
        <v>0</v>
      </c>
      <c r="AM137" s="493">
        <v>0</v>
      </c>
      <c r="AN137" s="493">
        <v>0</v>
      </c>
      <c r="AO137" s="493">
        <f t="shared" si="211"/>
        <v>0</v>
      </c>
      <c r="AP137" s="493">
        <f t="shared" si="212"/>
        <v>0</v>
      </c>
      <c r="AQ137" s="495">
        <f t="shared" si="120"/>
        <v>0</v>
      </c>
      <c r="AR137" s="501">
        <f t="shared" si="213"/>
        <v>2701028</v>
      </c>
      <c r="AS137" s="492">
        <f t="shared" si="214"/>
        <v>1972605</v>
      </c>
      <c r="AT137" s="492">
        <f t="shared" si="215"/>
        <v>0</v>
      </c>
      <c r="AU137" s="492">
        <f t="shared" si="216"/>
        <v>666741</v>
      </c>
      <c r="AV137" s="492">
        <f t="shared" si="216"/>
        <v>39452</v>
      </c>
      <c r="AW137" s="492">
        <f t="shared" si="217"/>
        <v>22230</v>
      </c>
      <c r="AX137" s="493">
        <f t="shared" si="218"/>
        <v>3.8931999999999998</v>
      </c>
      <c r="AY137" s="493">
        <f t="shared" si="219"/>
        <v>2.4794999999999998</v>
      </c>
      <c r="AZ137" s="495">
        <f t="shared" si="219"/>
        <v>1.4137</v>
      </c>
    </row>
    <row r="138" spans="1:52" ht="12.95" customHeight="1" x14ac:dyDescent="0.25">
      <c r="A138" s="314">
        <v>25</v>
      </c>
      <c r="B138" s="354">
        <v>5488</v>
      </c>
      <c r="C138" s="355">
        <v>600099326</v>
      </c>
      <c r="D138" s="314">
        <v>70695393</v>
      </c>
      <c r="E138" s="382" t="s">
        <v>481</v>
      </c>
      <c r="F138" s="354">
        <v>3117</v>
      </c>
      <c r="G138" s="317" t="s">
        <v>313</v>
      </c>
      <c r="H138" s="317" t="s">
        <v>279</v>
      </c>
      <c r="I138" s="494">
        <v>266654</v>
      </c>
      <c r="J138" s="489">
        <v>196358</v>
      </c>
      <c r="K138" s="489">
        <v>0</v>
      </c>
      <c r="L138" s="489">
        <v>66369</v>
      </c>
      <c r="M138" s="489">
        <v>3927</v>
      </c>
      <c r="N138" s="489">
        <v>0</v>
      </c>
      <c r="O138" s="490">
        <v>0.55000000000000004</v>
      </c>
      <c r="P138" s="491">
        <v>0.55000000000000004</v>
      </c>
      <c r="Q138" s="500">
        <v>0</v>
      </c>
      <c r="R138" s="502">
        <f t="shared" si="116"/>
        <v>0</v>
      </c>
      <c r="S138" s="492">
        <v>-17352</v>
      </c>
      <c r="T138" s="492">
        <v>0</v>
      </c>
      <c r="U138" s="492">
        <v>0</v>
      </c>
      <c r="V138" s="492">
        <f t="shared" si="117"/>
        <v>-17352</v>
      </c>
      <c r="W138" s="492">
        <v>0</v>
      </c>
      <c r="X138" s="492">
        <v>0</v>
      </c>
      <c r="Y138" s="492">
        <v>0</v>
      </c>
      <c r="Z138" s="492">
        <f t="shared" si="207"/>
        <v>0</v>
      </c>
      <c r="AA138" s="492">
        <f t="shared" si="208"/>
        <v>-17352</v>
      </c>
      <c r="AB138" s="74">
        <f t="shared" si="209"/>
        <v>-5865</v>
      </c>
      <c r="AC138" s="74">
        <f t="shared" si="210"/>
        <v>-347</v>
      </c>
      <c r="AD138" s="492">
        <v>0</v>
      </c>
      <c r="AE138" s="492">
        <v>0</v>
      </c>
      <c r="AF138" s="492">
        <f t="shared" si="118"/>
        <v>0</v>
      </c>
      <c r="AG138" s="492">
        <f t="shared" si="119"/>
        <v>-23564</v>
      </c>
      <c r="AH138" s="493">
        <v>0</v>
      </c>
      <c r="AI138" s="493">
        <v>0</v>
      </c>
      <c r="AJ138" s="493">
        <v>-0.04</v>
      </c>
      <c r="AK138" s="493">
        <v>0</v>
      </c>
      <c r="AL138" s="493">
        <v>0</v>
      </c>
      <c r="AM138" s="493">
        <v>0</v>
      </c>
      <c r="AN138" s="493">
        <v>0</v>
      </c>
      <c r="AO138" s="493">
        <f t="shared" si="211"/>
        <v>-0.04</v>
      </c>
      <c r="AP138" s="493">
        <f t="shared" si="212"/>
        <v>0</v>
      </c>
      <c r="AQ138" s="495">
        <f t="shared" si="120"/>
        <v>-0.04</v>
      </c>
      <c r="AR138" s="501">
        <f t="shared" si="213"/>
        <v>243090</v>
      </c>
      <c r="AS138" s="492">
        <f t="shared" si="214"/>
        <v>179006</v>
      </c>
      <c r="AT138" s="492">
        <f t="shared" si="215"/>
        <v>0</v>
      </c>
      <c r="AU138" s="492">
        <f t="shared" si="216"/>
        <v>60504</v>
      </c>
      <c r="AV138" s="492">
        <f t="shared" si="216"/>
        <v>3580</v>
      </c>
      <c r="AW138" s="492">
        <f t="shared" si="217"/>
        <v>0</v>
      </c>
      <c r="AX138" s="493">
        <f t="shared" si="218"/>
        <v>0.51</v>
      </c>
      <c r="AY138" s="493">
        <f t="shared" si="219"/>
        <v>0.51</v>
      </c>
      <c r="AZ138" s="495">
        <f t="shared" si="219"/>
        <v>0</v>
      </c>
    </row>
    <row r="139" spans="1:52" ht="12.95" customHeight="1" x14ac:dyDescent="0.25">
      <c r="A139" s="314">
        <v>25</v>
      </c>
      <c r="B139" s="354">
        <v>5488</v>
      </c>
      <c r="C139" s="355">
        <v>600099326</v>
      </c>
      <c r="D139" s="314">
        <v>70695393</v>
      </c>
      <c r="E139" s="382" t="s">
        <v>481</v>
      </c>
      <c r="F139" s="354">
        <v>3141</v>
      </c>
      <c r="G139" s="378" t="s">
        <v>316</v>
      </c>
      <c r="H139" s="317" t="s">
        <v>279</v>
      </c>
      <c r="I139" s="494">
        <v>288922</v>
      </c>
      <c r="J139" s="489">
        <v>211901</v>
      </c>
      <c r="K139" s="489">
        <v>0</v>
      </c>
      <c r="L139" s="489">
        <v>71623</v>
      </c>
      <c r="M139" s="489">
        <v>4238</v>
      </c>
      <c r="N139" s="489">
        <v>1160</v>
      </c>
      <c r="O139" s="490">
        <v>0.67</v>
      </c>
      <c r="P139" s="491">
        <v>0</v>
      </c>
      <c r="Q139" s="500">
        <v>0.67</v>
      </c>
      <c r="R139" s="502">
        <f t="shared" si="116"/>
        <v>0</v>
      </c>
      <c r="S139" s="492">
        <v>0</v>
      </c>
      <c r="T139" s="492">
        <v>0</v>
      </c>
      <c r="U139" s="492">
        <v>0</v>
      </c>
      <c r="V139" s="492">
        <f t="shared" si="117"/>
        <v>0</v>
      </c>
      <c r="W139" s="492">
        <v>0</v>
      </c>
      <c r="X139" s="492">
        <v>0</v>
      </c>
      <c r="Y139" s="492">
        <v>0</v>
      </c>
      <c r="Z139" s="492">
        <f t="shared" si="207"/>
        <v>0</v>
      </c>
      <c r="AA139" s="492">
        <f t="shared" si="208"/>
        <v>0</v>
      </c>
      <c r="AB139" s="74">
        <f t="shared" si="209"/>
        <v>0</v>
      </c>
      <c r="AC139" s="74">
        <f t="shared" si="210"/>
        <v>0</v>
      </c>
      <c r="AD139" s="492">
        <v>0</v>
      </c>
      <c r="AE139" s="492">
        <v>0</v>
      </c>
      <c r="AF139" s="492">
        <f t="shared" si="118"/>
        <v>0</v>
      </c>
      <c r="AG139" s="492">
        <f t="shared" si="119"/>
        <v>0</v>
      </c>
      <c r="AH139" s="493">
        <v>0</v>
      </c>
      <c r="AI139" s="493">
        <v>0</v>
      </c>
      <c r="AJ139" s="493">
        <v>0</v>
      </c>
      <c r="AK139" s="493">
        <v>0</v>
      </c>
      <c r="AL139" s="493">
        <v>0</v>
      </c>
      <c r="AM139" s="493">
        <v>0</v>
      </c>
      <c r="AN139" s="493">
        <v>0</v>
      </c>
      <c r="AO139" s="493">
        <f t="shared" si="211"/>
        <v>0</v>
      </c>
      <c r="AP139" s="493">
        <f t="shared" si="212"/>
        <v>0</v>
      </c>
      <c r="AQ139" s="495">
        <f t="shared" si="120"/>
        <v>0</v>
      </c>
      <c r="AR139" s="501">
        <f t="shared" si="213"/>
        <v>288922</v>
      </c>
      <c r="AS139" s="492">
        <f t="shared" si="214"/>
        <v>211901</v>
      </c>
      <c r="AT139" s="492">
        <f t="shared" si="215"/>
        <v>0</v>
      </c>
      <c r="AU139" s="492">
        <f t="shared" si="216"/>
        <v>71623</v>
      </c>
      <c r="AV139" s="492">
        <f t="shared" si="216"/>
        <v>4238</v>
      </c>
      <c r="AW139" s="492">
        <f t="shared" si="217"/>
        <v>1160</v>
      </c>
      <c r="AX139" s="493">
        <f t="shared" si="218"/>
        <v>0.67</v>
      </c>
      <c r="AY139" s="493">
        <f t="shared" si="219"/>
        <v>0</v>
      </c>
      <c r="AZ139" s="495">
        <f t="shared" si="219"/>
        <v>0.67</v>
      </c>
    </row>
    <row r="140" spans="1:52" ht="12.95" customHeight="1" x14ac:dyDescent="0.25">
      <c r="A140" s="314">
        <v>25</v>
      </c>
      <c r="B140" s="354">
        <v>5488</v>
      </c>
      <c r="C140" s="355">
        <v>600099326</v>
      </c>
      <c r="D140" s="314">
        <v>70695393</v>
      </c>
      <c r="E140" s="382" t="s">
        <v>481</v>
      </c>
      <c r="F140" s="354">
        <v>3143</v>
      </c>
      <c r="G140" s="317" t="s">
        <v>629</v>
      </c>
      <c r="H140" s="317" t="s">
        <v>278</v>
      </c>
      <c r="I140" s="494">
        <v>506539</v>
      </c>
      <c r="J140" s="489">
        <v>373004</v>
      </c>
      <c r="K140" s="489">
        <v>0</v>
      </c>
      <c r="L140" s="489">
        <v>126075</v>
      </c>
      <c r="M140" s="489">
        <v>7460</v>
      </c>
      <c r="N140" s="489">
        <v>0</v>
      </c>
      <c r="O140" s="490">
        <v>0.85119999999999996</v>
      </c>
      <c r="P140" s="491">
        <v>0.85119999999999996</v>
      </c>
      <c r="Q140" s="500">
        <v>0</v>
      </c>
      <c r="R140" s="502">
        <f t="shared" si="116"/>
        <v>0</v>
      </c>
      <c r="S140" s="492">
        <v>0</v>
      </c>
      <c r="T140" s="492">
        <v>0</v>
      </c>
      <c r="U140" s="492">
        <v>0</v>
      </c>
      <c r="V140" s="492">
        <f t="shared" si="117"/>
        <v>0</v>
      </c>
      <c r="W140" s="492">
        <v>0</v>
      </c>
      <c r="X140" s="492">
        <v>0</v>
      </c>
      <c r="Y140" s="492">
        <v>0</v>
      </c>
      <c r="Z140" s="492">
        <f t="shared" si="207"/>
        <v>0</v>
      </c>
      <c r="AA140" s="492">
        <f t="shared" si="208"/>
        <v>0</v>
      </c>
      <c r="AB140" s="74">
        <f t="shared" si="209"/>
        <v>0</v>
      </c>
      <c r="AC140" s="74">
        <f t="shared" si="210"/>
        <v>0</v>
      </c>
      <c r="AD140" s="492">
        <v>0</v>
      </c>
      <c r="AE140" s="492">
        <v>0</v>
      </c>
      <c r="AF140" s="492">
        <f t="shared" si="118"/>
        <v>0</v>
      </c>
      <c r="AG140" s="492">
        <f t="shared" si="119"/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211"/>
        <v>0</v>
      </c>
      <c r="AP140" s="493">
        <f t="shared" si="212"/>
        <v>0</v>
      </c>
      <c r="AQ140" s="495">
        <f t="shared" si="120"/>
        <v>0</v>
      </c>
      <c r="AR140" s="501">
        <f t="shared" si="213"/>
        <v>506539</v>
      </c>
      <c r="AS140" s="492">
        <f t="shared" si="214"/>
        <v>373004</v>
      </c>
      <c r="AT140" s="492">
        <f t="shared" si="215"/>
        <v>0</v>
      </c>
      <c r="AU140" s="492">
        <f t="shared" si="216"/>
        <v>126075</v>
      </c>
      <c r="AV140" s="492">
        <f t="shared" si="216"/>
        <v>7460</v>
      </c>
      <c r="AW140" s="492">
        <f t="shared" si="217"/>
        <v>0</v>
      </c>
      <c r="AX140" s="493">
        <f t="shared" si="218"/>
        <v>0.85119999999999996</v>
      </c>
      <c r="AY140" s="493">
        <f t="shared" si="219"/>
        <v>0.85119999999999996</v>
      </c>
      <c r="AZ140" s="495">
        <f t="shared" si="219"/>
        <v>0</v>
      </c>
    </row>
    <row r="141" spans="1:52" ht="12.95" customHeight="1" x14ac:dyDescent="0.25">
      <c r="A141" s="314">
        <v>25</v>
      </c>
      <c r="B141" s="354">
        <v>5488</v>
      </c>
      <c r="C141" s="355">
        <v>600099326</v>
      </c>
      <c r="D141" s="314">
        <v>70695393</v>
      </c>
      <c r="E141" s="390" t="s">
        <v>481</v>
      </c>
      <c r="F141" s="391">
        <v>3143</v>
      </c>
      <c r="G141" s="317" t="s">
        <v>630</v>
      </c>
      <c r="H141" s="317" t="s">
        <v>279</v>
      </c>
      <c r="I141" s="494">
        <v>8317</v>
      </c>
      <c r="J141" s="489">
        <v>5881</v>
      </c>
      <c r="K141" s="489">
        <v>0</v>
      </c>
      <c r="L141" s="489">
        <v>1988</v>
      </c>
      <c r="M141" s="489">
        <v>118</v>
      </c>
      <c r="N141" s="489">
        <v>330</v>
      </c>
      <c r="O141" s="490">
        <v>0.02</v>
      </c>
      <c r="P141" s="491">
        <v>0</v>
      </c>
      <c r="Q141" s="500">
        <v>0.02</v>
      </c>
      <c r="R141" s="502">
        <f t="shared" ref="R141" si="220">W141*-1</f>
        <v>0</v>
      </c>
      <c r="S141" s="492">
        <v>0</v>
      </c>
      <c r="T141" s="492">
        <v>0</v>
      </c>
      <c r="U141" s="492">
        <v>0</v>
      </c>
      <c r="V141" s="492">
        <f t="shared" ref="V141" si="221">SUM(R141:U141)</f>
        <v>0</v>
      </c>
      <c r="W141" s="492">
        <v>0</v>
      </c>
      <c r="X141" s="492">
        <v>0</v>
      </c>
      <c r="Y141" s="492">
        <v>0</v>
      </c>
      <c r="Z141" s="492">
        <f t="shared" si="207"/>
        <v>0</v>
      </c>
      <c r="AA141" s="492">
        <f t="shared" si="208"/>
        <v>0</v>
      </c>
      <c r="AB141" s="74">
        <f t="shared" si="209"/>
        <v>0</v>
      </c>
      <c r="AC141" s="74">
        <f t="shared" si="210"/>
        <v>0</v>
      </c>
      <c r="AD141" s="492">
        <v>0</v>
      </c>
      <c r="AE141" s="492">
        <v>0</v>
      </c>
      <c r="AF141" s="492">
        <f t="shared" ref="AF141" si="222">SUM(AD141:AE141)</f>
        <v>0</v>
      </c>
      <c r="AG141" s="492">
        <f t="shared" ref="AG141" si="223">AA141+AB141+AC141+AF141</f>
        <v>0</v>
      </c>
      <c r="AH141" s="493">
        <v>0</v>
      </c>
      <c r="AI141" s="493">
        <v>0</v>
      </c>
      <c r="AJ141" s="493">
        <v>0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si="211"/>
        <v>0</v>
      </c>
      <c r="AP141" s="493">
        <f t="shared" si="212"/>
        <v>0</v>
      </c>
      <c r="AQ141" s="495">
        <f t="shared" ref="AQ141" si="224">SUM(AO141:AP141)</f>
        <v>0</v>
      </c>
      <c r="AR141" s="501">
        <f t="shared" si="213"/>
        <v>8317</v>
      </c>
      <c r="AS141" s="492">
        <f t="shared" si="214"/>
        <v>5881</v>
      </c>
      <c r="AT141" s="492">
        <f t="shared" si="215"/>
        <v>0</v>
      </c>
      <c r="AU141" s="492">
        <f t="shared" si="216"/>
        <v>1988</v>
      </c>
      <c r="AV141" s="492">
        <f t="shared" si="216"/>
        <v>118</v>
      </c>
      <c r="AW141" s="492">
        <f t="shared" si="217"/>
        <v>330</v>
      </c>
      <c r="AX141" s="493">
        <f t="shared" si="218"/>
        <v>0.02</v>
      </c>
      <c r="AY141" s="493">
        <f t="shared" si="219"/>
        <v>0</v>
      </c>
      <c r="AZ141" s="495">
        <f t="shared" si="219"/>
        <v>0.02</v>
      </c>
    </row>
    <row r="142" spans="1:52" ht="12.95" customHeight="1" thickBot="1" x14ac:dyDescent="0.3">
      <c r="A142" s="328">
        <v>25</v>
      </c>
      <c r="B142" s="369">
        <v>5488</v>
      </c>
      <c r="C142" s="370">
        <v>600099326</v>
      </c>
      <c r="D142" s="369">
        <v>70695393</v>
      </c>
      <c r="E142" s="392" t="s">
        <v>482</v>
      </c>
      <c r="F142" s="369"/>
      <c r="G142" s="393"/>
      <c r="H142" s="394"/>
      <c r="I142" s="619">
        <v>4438142</v>
      </c>
      <c r="J142" s="620">
        <v>3248359</v>
      </c>
      <c r="K142" s="620">
        <v>0</v>
      </c>
      <c r="L142" s="620">
        <v>1097946</v>
      </c>
      <c r="M142" s="620">
        <v>64967</v>
      </c>
      <c r="N142" s="620">
        <v>26870</v>
      </c>
      <c r="O142" s="621">
        <v>7.2314999999999987</v>
      </c>
      <c r="P142" s="621">
        <v>4.8795999999999999</v>
      </c>
      <c r="Q142" s="622">
        <v>2.3519000000000001</v>
      </c>
      <c r="R142" s="619">
        <f t="shared" ref="R142:AZ142" si="225">SUM(R136:R141)</f>
        <v>0</v>
      </c>
      <c r="S142" s="620">
        <f t="shared" si="225"/>
        <v>-17352</v>
      </c>
      <c r="T142" s="620">
        <f t="shared" si="225"/>
        <v>0</v>
      </c>
      <c r="U142" s="620">
        <f t="shared" si="225"/>
        <v>0</v>
      </c>
      <c r="V142" s="620">
        <f t="shared" si="225"/>
        <v>-17352</v>
      </c>
      <c r="W142" s="620">
        <f t="shared" si="225"/>
        <v>0</v>
      </c>
      <c r="X142" s="620">
        <f t="shared" si="225"/>
        <v>0</v>
      </c>
      <c r="Y142" s="620">
        <f t="shared" si="225"/>
        <v>0</v>
      </c>
      <c r="Z142" s="620">
        <f t="shared" si="225"/>
        <v>0</v>
      </c>
      <c r="AA142" s="620">
        <f t="shared" si="225"/>
        <v>-17352</v>
      </c>
      <c r="AB142" s="620">
        <f t="shared" si="225"/>
        <v>-5865</v>
      </c>
      <c r="AC142" s="620">
        <f t="shared" si="225"/>
        <v>-347</v>
      </c>
      <c r="AD142" s="620">
        <f t="shared" si="225"/>
        <v>0</v>
      </c>
      <c r="AE142" s="620">
        <f t="shared" si="225"/>
        <v>0</v>
      </c>
      <c r="AF142" s="620">
        <f t="shared" si="225"/>
        <v>0</v>
      </c>
      <c r="AG142" s="620">
        <f t="shared" si="225"/>
        <v>-23564</v>
      </c>
      <c r="AH142" s="621">
        <f t="shared" si="225"/>
        <v>0</v>
      </c>
      <c r="AI142" s="621">
        <f t="shared" si="225"/>
        <v>0</v>
      </c>
      <c r="AJ142" s="621">
        <f t="shared" si="225"/>
        <v>-0.04</v>
      </c>
      <c r="AK142" s="621">
        <f t="shared" si="225"/>
        <v>0</v>
      </c>
      <c r="AL142" s="621">
        <f t="shared" si="225"/>
        <v>0</v>
      </c>
      <c r="AM142" s="621">
        <f t="shared" si="225"/>
        <v>0</v>
      </c>
      <c r="AN142" s="621">
        <f t="shared" si="225"/>
        <v>0</v>
      </c>
      <c r="AO142" s="621">
        <f t="shared" si="225"/>
        <v>-0.04</v>
      </c>
      <c r="AP142" s="621">
        <f t="shared" si="225"/>
        <v>0</v>
      </c>
      <c r="AQ142" s="623">
        <f t="shared" si="225"/>
        <v>-0.04</v>
      </c>
      <c r="AR142" s="624">
        <f t="shared" si="225"/>
        <v>4414578</v>
      </c>
      <c r="AS142" s="620">
        <f t="shared" si="225"/>
        <v>3231007</v>
      </c>
      <c r="AT142" s="620">
        <f t="shared" si="225"/>
        <v>0</v>
      </c>
      <c r="AU142" s="620">
        <f t="shared" si="225"/>
        <v>1092081</v>
      </c>
      <c r="AV142" s="620">
        <f t="shared" si="225"/>
        <v>64620</v>
      </c>
      <c r="AW142" s="620">
        <f t="shared" si="225"/>
        <v>26870</v>
      </c>
      <c r="AX142" s="621">
        <f t="shared" si="225"/>
        <v>7.1914999999999996</v>
      </c>
      <c r="AY142" s="621">
        <f t="shared" si="225"/>
        <v>4.839599999999999</v>
      </c>
      <c r="AZ142" s="623">
        <f t="shared" si="225"/>
        <v>2.3519000000000001</v>
      </c>
    </row>
    <row r="143" spans="1:52" ht="12.95" customHeight="1" thickBot="1" x14ac:dyDescent="0.3">
      <c r="A143" s="395"/>
      <c r="B143" s="396"/>
      <c r="C143" s="397"/>
      <c r="D143" s="396"/>
      <c r="E143" s="338" t="s">
        <v>799</v>
      </c>
      <c r="F143" s="396"/>
      <c r="G143" s="398"/>
      <c r="H143" s="398"/>
      <c r="I143" s="625">
        <f t="shared" ref="I143:AZ143" si="226">I142+I135+I130+I126+I118+I111+I104+I101+I97+I95+I89+I85+I81+I74+I67+I63+I60+I52+I45+I38+I32+I29+I27+I21+I16</f>
        <v>291420532</v>
      </c>
      <c r="J143" s="626">
        <f t="shared" si="226"/>
        <v>211265983</v>
      </c>
      <c r="K143" s="626">
        <f t="shared" si="226"/>
        <v>737620</v>
      </c>
      <c r="L143" s="626">
        <f t="shared" si="226"/>
        <v>71657221</v>
      </c>
      <c r="M143" s="626">
        <f t="shared" si="226"/>
        <v>4225320</v>
      </c>
      <c r="N143" s="626">
        <f t="shared" si="226"/>
        <v>3534388</v>
      </c>
      <c r="O143" s="627">
        <f t="shared" si="226"/>
        <v>440.47019999999998</v>
      </c>
      <c r="P143" s="627">
        <f t="shared" si="226"/>
        <v>309.41640000000001</v>
      </c>
      <c r="Q143" s="628">
        <f t="shared" si="226"/>
        <v>131.0538</v>
      </c>
      <c r="R143" s="625">
        <f t="shared" si="226"/>
        <v>0</v>
      </c>
      <c r="S143" s="626">
        <f t="shared" si="226"/>
        <v>-88094</v>
      </c>
      <c r="T143" s="626">
        <f t="shared" si="226"/>
        <v>0</v>
      </c>
      <c r="U143" s="626">
        <f t="shared" si="226"/>
        <v>0</v>
      </c>
      <c r="V143" s="626">
        <f t="shared" si="226"/>
        <v>-88094</v>
      </c>
      <c r="W143" s="626">
        <f t="shared" si="226"/>
        <v>0</v>
      </c>
      <c r="X143" s="626">
        <f t="shared" si="226"/>
        <v>0</v>
      </c>
      <c r="Y143" s="626">
        <f t="shared" si="226"/>
        <v>0</v>
      </c>
      <c r="Z143" s="626">
        <f t="shared" si="226"/>
        <v>0</v>
      </c>
      <c r="AA143" s="626">
        <f t="shared" si="226"/>
        <v>-88094</v>
      </c>
      <c r="AB143" s="626">
        <f t="shared" si="226"/>
        <v>-29776</v>
      </c>
      <c r="AC143" s="626">
        <f t="shared" si="226"/>
        <v>-1762</v>
      </c>
      <c r="AD143" s="626">
        <f t="shared" si="226"/>
        <v>3950</v>
      </c>
      <c r="AE143" s="626">
        <f t="shared" si="226"/>
        <v>13160</v>
      </c>
      <c r="AF143" s="626">
        <f t="shared" si="226"/>
        <v>17110</v>
      </c>
      <c r="AG143" s="626">
        <f t="shared" si="226"/>
        <v>-102522</v>
      </c>
      <c r="AH143" s="627">
        <f t="shared" si="226"/>
        <v>0</v>
      </c>
      <c r="AI143" s="627">
        <f t="shared" si="226"/>
        <v>0</v>
      </c>
      <c r="AJ143" s="627">
        <f>AJ142+AJ135+AJ130+AJ126+AJ118+AJ111+AJ104+AJ101+AJ97+AJ95+AJ89+AJ85+AJ81+AJ74+AJ67+AJ63+AJ60+AJ52+AJ45+AJ38+AJ32+AJ29+AJ27+AJ21+AJ16</f>
        <v>-0.22999999999999998</v>
      </c>
      <c r="AK143" s="627">
        <f t="shared" ref="AK143:AL143" si="227">AK142+AK135+AK130+AK126+AK118+AK111+AK104+AK101+AK97+AK95+AK89+AK85+AK81+AK74+AK67+AK63+AK60+AK52+AK45+AK38+AK32+AK29+AK27+AK21+AK16</f>
        <v>0</v>
      </c>
      <c r="AL143" s="627">
        <f t="shared" si="227"/>
        <v>0</v>
      </c>
      <c r="AM143" s="627">
        <f t="shared" si="226"/>
        <v>0</v>
      </c>
      <c r="AN143" s="627">
        <f t="shared" si="226"/>
        <v>0</v>
      </c>
      <c r="AO143" s="627">
        <f t="shared" si="226"/>
        <v>-0.22999999999999998</v>
      </c>
      <c r="AP143" s="627">
        <f t="shared" si="226"/>
        <v>0</v>
      </c>
      <c r="AQ143" s="629">
        <f t="shared" si="226"/>
        <v>-0.22999999999999998</v>
      </c>
      <c r="AR143" s="630">
        <f t="shared" si="226"/>
        <v>291318010</v>
      </c>
      <c r="AS143" s="626">
        <f t="shared" si="226"/>
        <v>211177889</v>
      </c>
      <c r="AT143" s="626">
        <f t="shared" si="226"/>
        <v>737620</v>
      </c>
      <c r="AU143" s="626">
        <f t="shared" si="226"/>
        <v>71627445</v>
      </c>
      <c r="AV143" s="626">
        <f t="shared" si="226"/>
        <v>4223558</v>
      </c>
      <c r="AW143" s="626">
        <f t="shared" si="226"/>
        <v>3551498</v>
      </c>
      <c r="AX143" s="627">
        <f t="shared" si="226"/>
        <v>440.24020000000002</v>
      </c>
      <c r="AY143" s="627">
        <f t="shared" si="226"/>
        <v>309.18639999999999</v>
      </c>
      <c r="AZ143" s="629">
        <f t="shared" si="226"/>
        <v>131.0538</v>
      </c>
    </row>
    <row r="144" spans="1:52" ht="12.95" customHeight="1" x14ac:dyDescent="0.25">
      <c r="B144" s="342"/>
      <c r="C144" s="399"/>
      <c r="D144" s="342"/>
      <c r="E144" s="343"/>
      <c r="F144" s="342"/>
      <c r="I144" s="507">
        <f>SUM(J143:N143)</f>
        <v>291420532</v>
      </c>
      <c r="J144" s="507"/>
      <c r="K144" s="507"/>
      <c r="L144" s="507"/>
      <c r="M144" s="507"/>
      <c r="N144" s="507"/>
      <c r="O144" s="508">
        <f>SUM(P143:Q143)</f>
        <v>440.47019999999998</v>
      </c>
      <c r="P144" s="508"/>
      <c r="Q144" s="508"/>
      <c r="R144" s="507">
        <f>W143</f>
        <v>0</v>
      </c>
      <c r="S144" s="508"/>
      <c r="T144" s="508"/>
      <c r="U144" s="508"/>
      <c r="V144" s="516">
        <f>SUM(R143:U143)</f>
        <v>-88094</v>
      </c>
      <c r="W144" s="516">
        <f>R143</f>
        <v>0</v>
      </c>
      <c r="X144" s="517"/>
      <c r="Y144" s="517"/>
      <c r="Z144" s="516">
        <f>SUM(W143:Y143)</f>
        <v>0</v>
      </c>
      <c r="AA144" s="516">
        <f>V143+Z143</f>
        <v>-88094</v>
      </c>
      <c r="AB144" s="518"/>
      <c r="AC144" s="518"/>
      <c r="AD144" s="517"/>
      <c r="AE144" s="517"/>
      <c r="AF144" s="516">
        <f>SUM(AD143:AE143)</f>
        <v>17110</v>
      </c>
      <c r="AG144" s="516">
        <f>AA143+AB143+AC143+AF143</f>
        <v>-102522</v>
      </c>
      <c r="AH144" s="519"/>
      <c r="AI144" s="519"/>
      <c r="AJ144" s="519"/>
      <c r="AK144" s="519"/>
      <c r="AL144" s="519"/>
      <c r="AM144" s="519"/>
      <c r="AN144" s="519"/>
      <c r="AO144" s="520">
        <f t="shared" ref="AO144:AO145" si="228">AH144+AJ144+AK144+AM144</f>
        <v>0</v>
      </c>
      <c r="AP144" s="520">
        <f t="shared" ref="AP144:AP145" si="229">AI144+AN144+AL144</f>
        <v>0</v>
      </c>
      <c r="AQ144" s="520">
        <f>SUM(AO143:AP143)</f>
        <v>-0.22999999999999998</v>
      </c>
      <c r="AR144" s="507">
        <f>SUM(AS143:AW143)</f>
        <v>291318010</v>
      </c>
      <c r="AS144" s="59"/>
      <c r="AT144" s="59"/>
      <c r="AU144" s="59"/>
      <c r="AV144" s="59"/>
      <c r="AW144" s="59"/>
      <c r="AX144" s="508">
        <f>SUM(AY143:AZ143)</f>
        <v>440.24019999999996</v>
      </c>
      <c r="AY144" s="97"/>
      <c r="AZ144" s="97"/>
    </row>
    <row r="145" spans="2:52" ht="12.95" customHeight="1" thickBot="1" x14ac:dyDescent="0.3">
      <c r="B145" s="342"/>
      <c r="C145" s="399"/>
      <c r="D145" s="342"/>
      <c r="F145" s="342"/>
      <c r="I145" s="95">
        <f>SUM(J146:N146)</f>
        <v>291420532</v>
      </c>
      <c r="J145" s="57"/>
      <c r="K145" s="57"/>
      <c r="L145" s="515"/>
      <c r="M145" s="515"/>
      <c r="N145" s="57"/>
      <c r="O145" s="96">
        <f>SUM(P146:Q146)</f>
        <v>440.47019999999998</v>
      </c>
      <c r="P145" s="187"/>
      <c r="Q145" s="187"/>
      <c r="R145" s="508"/>
      <c r="S145" s="508"/>
      <c r="T145" s="508"/>
      <c r="U145" s="508"/>
      <c r="V145" s="516">
        <f>SUM(R146:U146)</f>
        <v>-88094</v>
      </c>
      <c r="W145" s="517"/>
      <c r="X145" s="517"/>
      <c r="Y145" s="517"/>
      <c r="Z145" s="516">
        <f>SUM(W146:Y146)</f>
        <v>0</v>
      </c>
      <c r="AA145" s="516">
        <f>V146+Z146</f>
        <v>-88094</v>
      </c>
      <c r="AB145" s="518"/>
      <c r="AC145" s="518"/>
      <c r="AD145" s="517"/>
      <c r="AE145" s="517"/>
      <c r="AF145" s="516">
        <f>SUM(AD146:AE146)</f>
        <v>17110</v>
      </c>
      <c r="AG145" s="516">
        <f>AA146+AB146+AC146+AF146</f>
        <v>-102522</v>
      </c>
      <c r="AH145" s="519"/>
      <c r="AI145" s="519"/>
      <c r="AJ145" s="519"/>
      <c r="AK145" s="519"/>
      <c r="AL145" s="519"/>
      <c r="AM145" s="519"/>
      <c r="AN145" s="519"/>
      <c r="AO145" s="520">
        <f t="shared" si="228"/>
        <v>0</v>
      </c>
      <c r="AP145" s="520">
        <f t="shared" si="229"/>
        <v>0</v>
      </c>
      <c r="AQ145" s="520">
        <f>SUM(AO146:AP146)</f>
        <v>-0.23</v>
      </c>
      <c r="AR145" s="507">
        <f>SUM(AS146:AW146)</f>
        <v>291318010</v>
      </c>
      <c r="AS145" s="59"/>
      <c r="AT145" s="59"/>
      <c r="AU145" s="59"/>
      <c r="AV145" s="59"/>
      <c r="AW145" s="59"/>
      <c r="AX145" s="508">
        <f>SUM(AY146:AZ146)</f>
        <v>440.24019999999996</v>
      </c>
      <c r="AY145" s="97"/>
      <c r="AZ145" s="97"/>
    </row>
    <row r="146" spans="2:52" s="99" customFormat="1" ht="12.95" customHeight="1" thickBot="1" x14ac:dyDescent="0.3">
      <c r="D146" s="344"/>
      <c r="E146" s="345"/>
      <c r="F146" s="344"/>
      <c r="G146" s="346"/>
      <c r="H146" s="539" t="s">
        <v>0</v>
      </c>
      <c r="I146" s="150">
        <f t="shared" ref="I146:AZ146" si="230">SUM(I147:I156)</f>
        <v>291420532</v>
      </c>
      <c r="J146" s="38">
        <f t="shared" si="230"/>
        <v>211265983</v>
      </c>
      <c r="K146" s="38">
        <f t="shared" si="230"/>
        <v>737620</v>
      </c>
      <c r="L146" s="38">
        <f t="shared" si="230"/>
        <v>71657221</v>
      </c>
      <c r="M146" s="38">
        <f t="shared" si="230"/>
        <v>4225320</v>
      </c>
      <c r="N146" s="38">
        <f t="shared" si="230"/>
        <v>3534388</v>
      </c>
      <c r="O146" s="39">
        <f t="shared" si="230"/>
        <v>440.47019999999998</v>
      </c>
      <c r="P146" s="39">
        <f t="shared" si="230"/>
        <v>309.41640000000001</v>
      </c>
      <c r="Q146" s="159">
        <f t="shared" si="230"/>
        <v>131.0538</v>
      </c>
      <c r="R146" s="150">
        <f t="shared" si="230"/>
        <v>0</v>
      </c>
      <c r="S146" s="38">
        <f t="shared" si="230"/>
        <v>-88094</v>
      </c>
      <c r="T146" s="38">
        <f t="shared" si="230"/>
        <v>0</v>
      </c>
      <c r="U146" s="38">
        <f t="shared" si="230"/>
        <v>0</v>
      </c>
      <c r="V146" s="38">
        <f t="shared" si="230"/>
        <v>-88094</v>
      </c>
      <c r="W146" s="38">
        <f t="shared" si="230"/>
        <v>0</v>
      </c>
      <c r="X146" s="38">
        <f t="shared" si="230"/>
        <v>0</v>
      </c>
      <c r="Y146" s="38">
        <f t="shared" si="230"/>
        <v>0</v>
      </c>
      <c r="Z146" s="38">
        <f t="shared" si="230"/>
        <v>0</v>
      </c>
      <c r="AA146" s="38">
        <f t="shared" si="230"/>
        <v>-88094</v>
      </c>
      <c r="AB146" s="38">
        <f t="shared" si="230"/>
        <v>-29776</v>
      </c>
      <c r="AC146" s="38">
        <f t="shared" si="230"/>
        <v>-1762</v>
      </c>
      <c r="AD146" s="38">
        <f t="shared" si="230"/>
        <v>3950</v>
      </c>
      <c r="AE146" s="38">
        <f t="shared" si="230"/>
        <v>13160</v>
      </c>
      <c r="AF146" s="38">
        <f t="shared" si="230"/>
        <v>17110</v>
      </c>
      <c r="AG146" s="38">
        <f t="shared" si="230"/>
        <v>-102522</v>
      </c>
      <c r="AH146" s="39">
        <f t="shared" si="230"/>
        <v>0</v>
      </c>
      <c r="AI146" s="39">
        <f t="shared" si="230"/>
        <v>0</v>
      </c>
      <c r="AJ146" s="39">
        <f t="shared" si="230"/>
        <v>-0.23</v>
      </c>
      <c r="AK146" s="39">
        <f t="shared" si="230"/>
        <v>0</v>
      </c>
      <c r="AL146" s="39">
        <f t="shared" si="230"/>
        <v>0</v>
      </c>
      <c r="AM146" s="39">
        <f t="shared" si="230"/>
        <v>0</v>
      </c>
      <c r="AN146" s="39">
        <f t="shared" si="230"/>
        <v>0</v>
      </c>
      <c r="AO146" s="39">
        <f t="shared" si="230"/>
        <v>-0.23</v>
      </c>
      <c r="AP146" s="39">
        <f t="shared" si="230"/>
        <v>0</v>
      </c>
      <c r="AQ146" s="40">
        <f t="shared" si="230"/>
        <v>-0.23</v>
      </c>
      <c r="AR146" s="160">
        <f t="shared" si="230"/>
        <v>291318010</v>
      </c>
      <c r="AS146" s="38">
        <f t="shared" si="230"/>
        <v>211177889</v>
      </c>
      <c r="AT146" s="38">
        <f t="shared" si="230"/>
        <v>737620</v>
      </c>
      <c r="AU146" s="38">
        <f t="shared" si="230"/>
        <v>71627445</v>
      </c>
      <c r="AV146" s="38">
        <f t="shared" si="230"/>
        <v>4223558</v>
      </c>
      <c r="AW146" s="38">
        <f t="shared" si="230"/>
        <v>3551498</v>
      </c>
      <c r="AX146" s="39">
        <f t="shared" si="230"/>
        <v>440.24019999999996</v>
      </c>
      <c r="AY146" s="39">
        <f t="shared" si="230"/>
        <v>309.18639999999999</v>
      </c>
      <c r="AZ146" s="40">
        <f t="shared" si="230"/>
        <v>131.0538</v>
      </c>
    </row>
    <row r="147" spans="2:52" s="99" customFormat="1" ht="12.95" customHeight="1" x14ac:dyDescent="0.25">
      <c r="D147" s="344"/>
      <c r="E147" s="345"/>
      <c r="F147" s="344"/>
      <c r="G147" s="346"/>
      <c r="H147" s="540">
        <v>3111</v>
      </c>
      <c r="I147" s="642">
        <f t="shared" ref="I147:AZ147" si="231">SUMIF($F$12:$F$463,"=3111",I$12:I$463)</f>
        <v>64349776</v>
      </c>
      <c r="J147" s="643">
        <f t="shared" si="231"/>
        <v>46852540</v>
      </c>
      <c r="K147" s="643">
        <f t="shared" si="231"/>
        <v>263510</v>
      </c>
      <c r="L147" s="643">
        <f t="shared" si="231"/>
        <v>15925225</v>
      </c>
      <c r="M147" s="643">
        <f t="shared" si="231"/>
        <v>937051</v>
      </c>
      <c r="N147" s="643">
        <f t="shared" si="231"/>
        <v>371450</v>
      </c>
      <c r="O147" s="648">
        <f t="shared" si="231"/>
        <v>104.81739999999998</v>
      </c>
      <c r="P147" s="648">
        <f t="shared" si="231"/>
        <v>80.276099999999985</v>
      </c>
      <c r="Q147" s="649">
        <f t="shared" si="231"/>
        <v>24.541299999999996</v>
      </c>
      <c r="R147" s="642">
        <f t="shared" si="231"/>
        <v>0</v>
      </c>
      <c r="S147" s="643">
        <f t="shared" si="231"/>
        <v>0</v>
      </c>
      <c r="T147" s="643">
        <f t="shared" si="231"/>
        <v>0</v>
      </c>
      <c r="U147" s="643">
        <f t="shared" si="231"/>
        <v>0</v>
      </c>
      <c r="V147" s="643">
        <f t="shared" si="231"/>
        <v>0</v>
      </c>
      <c r="W147" s="643">
        <f t="shared" si="231"/>
        <v>0</v>
      </c>
      <c r="X147" s="643">
        <f t="shared" si="231"/>
        <v>0</v>
      </c>
      <c r="Y147" s="643">
        <f t="shared" si="231"/>
        <v>0</v>
      </c>
      <c r="Z147" s="643">
        <f t="shared" si="231"/>
        <v>0</v>
      </c>
      <c r="AA147" s="643">
        <f t="shared" si="231"/>
        <v>0</v>
      </c>
      <c r="AB147" s="643">
        <f t="shared" si="231"/>
        <v>0</v>
      </c>
      <c r="AC147" s="643">
        <f t="shared" si="231"/>
        <v>0</v>
      </c>
      <c r="AD147" s="643">
        <f t="shared" si="231"/>
        <v>0</v>
      </c>
      <c r="AE147" s="643">
        <f t="shared" si="231"/>
        <v>0</v>
      </c>
      <c r="AF147" s="643">
        <f t="shared" si="231"/>
        <v>0</v>
      </c>
      <c r="AG147" s="643">
        <f t="shared" si="231"/>
        <v>0</v>
      </c>
      <c r="AH147" s="648">
        <f t="shared" si="231"/>
        <v>0</v>
      </c>
      <c r="AI147" s="648">
        <f t="shared" si="231"/>
        <v>0</v>
      </c>
      <c r="AJ147" s="648">
        <f t="shared" si="231"/>
        <v>0</v>
      </c>
      <c r="AK147" s="648">
        <f t="shared" si="231"/>
        <v>0</v>
      </c>
      <c r="AL147" s="648">
        <f t="shared" si="231"/>
        <v>0</v>
      </c>
      <c r="AM147" s="648">
        <f t="shared" si="231"/>
        <v>0</v>
      </c>
      <c r="AN147" s="648">
        <f t="shared" si="231"/>
        <v>0</v>
      </c>
      <c r="AO147" s="648">
        <f t="shared" si="231"/>
        <v>0</v>
      </c>
      <c r="AP147" s="648">
        <f t="shared" si="231"/>
        <v>0</v>
      </c>
      <c r="AQ147" s="651">
        <f t="shared" si="231"/>
        <v>0</v>
      </c>
      <c r="AR147" s="644">
        <f t="shared" si="231"/>
        <v>64349776</v>
      </c>
      <c r="AS147" s="643">
        <f t="shared" si="231"/>
        <v>46852540</v>
      </c>
      <c r="AT147" s="643">
        <f t="shared" si="231"/>
        <v>263510</v>
      </c>
      <c r="AU147" s="643">
        <f t="shared" si="231"/>
        <v>15925225</v>
      </c>
      <c r="AV147" s="643">
        <f t="shared" si="231"/>
        <v>937051</v>
      </c>
      <c r="AW147" s="643">
        <f t="shared" si="231"/>
        <v>371450</v>
      </c>
      <c r="AX147" s="648">
        <f t="shared" si="231"/>
        <v>104.81739999999998</v>
      </c>
      <c r="AY147" s="648">
        <f t="shared" si="231"/>
        <v>80.276099999999985</v>
      </c>
      <c r="AZ147" s="651">
        <f t="shared" si="231"/>
        <v>24.541299999999996</v>
      </c>
    </row>
    <row r="148" spans="2:52" s="99" customFormat="1" ht="12.95" customHeight="1" x14ac:dyDescent="0.25">
      <c r="D148" s="344"/>
      <c r="E148" s="345"/>
      <c r="F148" s="344"/>
      <c r="G148" s="346"/>
      <c r="H148" s="2">
        <v>3113</v>
      </c>
      <c r="I148" s="178">
        <f t="shared" ref="I148:AZ148" si="232">SUMIF($F$12:$F$463,"=3113",I$12:I$463)</f>
        <v>150903683</v>
      </c>
      <c r="J148" s="17">
        <f t="shared" si="232"/>
        <v>108780823</v>
      </c>
      <c r="K148" s="17">
        <f t="shared" si="232"/>
        <v>339950</v>
      </c>
      <c r="L148" s="17">
        <f t="shared" si="232"/>
        <v>36882821</v>
      </c>
      <c r="M148" s="17">
        <f t="shared" si="232"/>
        <v>2175619</v>
      </c>
      <c r="N148" s="17">
        <f t="shared" si="232"/>
        <v>2724470</v>
      </c>
      <c r="O148" s="14">
        <f t="shared" si="232"/>
        <v>207.73430000000002</v>
      </c>
      <c r="P148" s="14">
        <f t="shared" si="232"/>
        <v>161.5994</v>
      </c>
      <c r="Q148" s="180">
        <f t="shared" si="232"/>
        <v>46.134900000000002</v>
      </c>
      <c r="R148" s="178">
        <f t="shared" si="232"/>
        <v>0</v>
      </c>
      <c r="S148" s="17">
        <f t="shared" si="232"/>
        <v>-135700</v>
      </c>
      <c r="T148" s="17">
        <f t="shared" si="232"/>
        <v>0</v>
      </c>
      <c r="U148" s="17">
        <f t="shared" si="232"/>
        <v>0</v>
      </c>
      <c r="V148" s="17">
        <f t="shared" si="232"/>
        <v>-135700</v>
      </c>
      <c r="W148" s="17">
        <f t="shared" si="232"/>
        <v>0</v>
      </c>
      <c r="X148" s="17">
        <f t="shared" si="232"/>
        <v>0</v>
      </c>
      <c r="Y148" s="17">
        <f t="shared" si="232"/>
        <v>0</v>
      </c>
      <c r="Z148" s="17">
        <f t="shared" si="232"/>
        <v>0</v>
      </c>
      <c r="AA148" s="17">
        <f t="shared" si="232"/>
        <v>-135700</v>
      </c>
      <c r="AB148" s="17">
        <f t="shared" si="232"/>
        <v>-45867</v>
      </c>
      <c r="AC148" s="17">
        <f t="shared" si="232"/>
        <v>-2714</v>
      </c>
      <c r="AD148" s="17">
        <f t="shared" si="232"/>
        <v>3950</v>
      </c>
      <c r="AE148" s="17">
        <f t="shared" si="232"/>
        <v>0</v>
      </c>
      <c r="AF148" s="17">
        <f t="shared" si="232"/>
        <v>3950</v>
      </c>
      <c r="AG148" s="17">
        <f t="shared" si="232"/>
        <v>-180331</v>
      </c>
      <c r="AH148" s="14">
        <f t="shared" si="232"/>
        <v>0</v>
      </c>
      <c r="AI148" s="14">
        <f t="shared" si="232"/>
        <v>0</v>
      </c>
      <c r="AJ148" s="14">
        <f t="shared" si="232"/>
        <v>-0.38</v>
      </c>
      <c r="AK148" s="14">
        <f t="shared" si="232"/>
        <v>0</v>
      </c>
      <c r="AL148" s="14">
        <f t="shared" si="232"/>
        <v>0</v>
      </c>
      <c r="AM148" s="14">
        <f t="shared" si="232"/>
        <v>0</v>
      </c>
      <c r="AN148" s="14">
        <f t="shared" si="232"/>
        <v>0</v>
      </c>
      <c r="AO148" s="14">
        <f t="shared" si="232"/>
        <v>-0.38</v>
      </c>
      <c r="AP148" s="14">
        <f t="shared" si="232"/>
        <v>0</v>
      </c>
      <c r="AQ148" s="18">
        <f t="shared" si="232"/>
        <v>-0.38</v>
      </c>
      <c r="AR148" s="179">
        <f t="shared" si="232"/>
        <v>150723352</v>
      </c>
      <c r="AS148" s="17">
        <f t="shared" si="232"/>
        <v>108645123</v>
      </c>
      <c r="AT148" s="17">
        <f t="shared" si="232"/>
        <v>339950</v>
      </c>
      <c r="AU148" s="17">
        <f t="shared" si="232"/>
        <v>36836954</v>
      </c>
      <c r="AV148" s="17">
        <f t="shared" si="232"/>
        <v>2172905</v>
      </c>
      <c r="AW148" s="17">
        <f t="shared" si="232"/>
        <v>2728420</v>
      </c>
      <c r="AX148" s="14">
        <f t="shared" si="232"/>
        <v>207.35430000000002</v>
      </c>
      <c r="AY148" s="14">
        <f t="shared" si="232"/>
        <v>161.21940000000001</v>
      </c>
      <c r="AZ148" s="18">
        <f t="shared" si="232"/>
        <v>46.134900000000002</v>
      </c>
    </row>
    <row r="149" spans="2:52" s="99" customFormat="1" ht="12.95" customHeight="1" x14ac:dyDescent="0.25">
      <c r="D149" s="344"/>
      <c r="E149" s="345"/>
      <c r="F149" s="344"/>
      <c r="G149" s="346"/>
      <c r="H149" s="2">
        <v>3114</v>
      </c>
      <c r="I149" s="178">
        <f t="shared" ref="I149:AZ149" si="233">SUMIF($F$12:$F$463,"=3114",I$12:I$463)</f>
        <v>0</v>
      </c>
      <c r="J149" s="17">
        <f t="shared" si="233"/>
        <v>0</v>
      </c>
      <c r="K149" s="17">
        <f t="shared" si="233"/>
        <v>0</v>
      </c>
      <c r="L149" s="17">
        <f t="shared" si="233"/>
        <v>0</v>
      </c>
      <c r="M149" s="17">
        <f t="shared" si="233"/>
        <v>0</v>
      </c>
      <c r="N149" s="17">
        <f t="shared" si="233"/>
        <v>0</v>
      </c>
      <c r="O149" s="14">
        <f t="shared" si="233"/>
        <v>0</v>
      </c>
      <c r="P149" s="14">
        <f t="shared" si="233"/>
        <v>0</v>
      </c>
      <c r="Q149" s="180">
        <f t="shared" si="233"/>
        <v>0</v>
      </c>
      <c r="R149" s="178">
        <f t="shared" si="233"/>
        <v>0</v>
      </c>
      <c r="S149" s="17">
        <f t="shared" si="233"/>
        <v>0</v>
      </c>
      <c r="T149" s="17">
        <f t="shared" si="233"/>
        <v>0</v>
      </c>
      <c r="U149" s="17">
        <f t="shared" si="233"/>
        <v>0</v>
      </c>
      <c r="V149" s="17">
        <f t="shared" si="233"/>
        <v>0</v>
      </c>
      <c r="W149" s="17">
        <f t="shared" si="233"/>
        <v>0</v>
      </c>
      <c r="X149" s="17">
        <f t="shared" si="233"/>
        <v>0</v>
      </c>
      <c r="Y149" s="17">
        <f t="shared" si="233"/>
        <v>0</v>
      </c>
      <c r="Z149" s="17">
        <f t="shared" si="233"/>
        <v>0</v>
      </c>
      <c r="AA149" s="17">
        <f t="shared" si="233"/>
        <v>0</v>
      </c>
      <c r="AB149" s="17">
        <f t="shared" si="233"/>
        <v>0</v>
      </c>
      <c r="AC149" s="17">
        <f t="shared" si="233"/>
        <v>0</v>
      </c>
      <c r="AD149" s="17">
        <f t="shared" si="233"/>
        <v>0</v>
      </c>
      <c r="AE149" s="17">
        <f t="shared" si="233"/>
        <v>0</v>
      </c>
      <c r="AF149" s="17">
        <f t="shared" si="233"/>
        <v>0</v>
      </c>
      <c r="AG149" s="17">
        <f t="shared" si="233"/>
        <v>0</v>
      </c>
      <c r="AH149" s="14">
        <f t="shared" si="233"/>
        <v>0</v>
      </c>
      <c r="AI149" s="14">
        <f t="shared" si="233"/>
        <v>0</v>
      </c>
      <c r="AJ149" s="14">
        <f t="shared" si="233"/>
        <v>0</v>
      </c>
      <c r="AK149" s="14">
        <f t="shared" si="233"/>
        <v>0</v>
      </c>
      <c r="AL149" s="14">
        <f t="shared" si="233"/>
        <v>0</v>
      </c>
      <c r="AM149" s="14">
        <f t="shared" si="233"/>
        <v>0</v>
      </c>
      <c r="AN149" s="14">
        <f t="shared" si="233"/>
        <v>0</v>
      </c>
      <c r="AO149" s="14">
        <f t="shared" si="233"/>
        <v>0</v>
      </c>
      <c r="AP149" s="14">
        <f t="shared" si="233"/>
        <v>0</v>
      </c>
      <c r="AQ149" s="18">
        <f t="shared" si="233"/>
        <v>0</v>
      </c>
      <c r="AR149" s="179">
        <f t="shared" si="233"/>
        <v>0</v>
      </c>
      <c r="AS149" s="17">
        <f t="shared" si="233"/>
        <v>0</v>
      </c>
      <c r="AT149" s="17">
        <f t="shared" si="233"/>
        <v>0</v>
      </c>
      <c r="AU149" s="17">
        <f t="shared" si="233"/>
        <v>0</v>
      </c>
      <c r="AV149" s="17">
        <f t="shared" si="233"/>
        <v>0</v>
      </c>
      <c r="AW149" s="17">
        <f t="shared" si="233"/>
        <v>0</v>
      </c>
      <c r="AX149" s="14">
        <f t="shared" si="233"/>
        <v>0</v>
      </c>
      <c r="AY149" s="14">
        <f t="shared" si="233"/>
        <v>0</v>
      </c>
      <c r="AZ149" s="18">
        <f t="shared" si="233"/>
        <v>0</v>
      </c>
    </row>
    <row r="150" spans="2:52" s="99" customFormat="1" ht="12.95" customHeight="1" x14ac:dyDescent="0.25">
      <c r="D150" s="344"/>
      <c r="E150" s="345"/>
      <c r="F150" s="344"/>
      <c r="G150" s="346"/>
      <c r="H150" s="2">
        <v>3117</v>
      </c>
      <c r="I150" s="178">
        <f t="shared" ref="I150:AZ150" si="234">SUMIF($F$12:$F$463,"=3117",I$12:I$463)</f>
        <v>17903767</v>
      </c>
      <c r="J150" s="17">
        <f t="shared" si="234"/>
        <v>12987089</v>
      </c>
      <c r="K150" s="17">
        <f t="shared" si="234"/>
        <v>24310</v>
      </c>
      <c r="L150" s="17">
        <f t="shared" si="234"/>
        <v>4397856</v>
      </c>
      <c r="M150" s="17">
        <f t="shared" si="234"/>
        <v>259742</v>
      </c>
      <c r="N150" s="17">
        <f t="shared" si="234"/>
        <v>234770</v>
      </c>
      <c r="O150" s="14">
        <f t="shared" si="234"/>
        <v>26.349799999999998</v>
      </c>
      <c r="P150" s="14">
        <f t="shared" si="234"/>
        <v>18.905999999999995</v>
      </c>
      <c r="Q150" s="180">
        <f t="shared" si="234"/>
        <v>7.4438000000000013</v>
      </c>
      <c r="R150" s="178">
        <f t="shared" si="234"/>
        <v>0</v>
      </c>
      <c r="S150" s="17">
        <f t="shared" si="234"/>
        <v>47606</v>
      </c>
      <c r="T150" s="17">
        <f t="shared" si="234"/>
        <v>0</v>
      </c>
      <c r="U150" s="17">
        <f t="shared" si="234"/>
        <v>0</v>
      </c>
      <c r="V150" s="17">
        <f t="shared" si="234"/>
        <v>47606</v>
      </c>
      <c r="W150" s="17">
        <f t="shared" si="234"/>
        <v>0</v>
      </c>
      <c r="X150" s="17">
        <f t="shared" si="234"/>
        <v>0</v>
      </c>
      <c r="Y150" s="17">
        <f t="shared" si="234"/>
        <v>0</v>
      </c>
      <c r="Z150" s="17">
        <f t="shared" si="234"/>
        <v>0</v>
      </c>
      <c r="AA150" s="17">
        <f t="shared" si="234"/>
        <v>47606</v>
      </c>
      <c r="AB150" s="17">
        <f t="shared" si="234"/>
        <v>16091</v>
      </c>
      <c r="AC150" s="17">
        <f t="shared" si="234"/>
        <v>952</v>
      </c>
      <c r="AD150" s="17">
        <f t="shared" si="234"/>
        <v>0</v>
      </c>
      <c r="AE150" s="17">
        <f t="shared" si="234"/>
        <v>0</v>
      </c>
      <c r="AF150" s="17">
        <f t="shared" si="234"/>
        <v>0</v>
      </c>
      <c r="AG150" s="17">
        <f t="shared" si="234"/>
        <v>64649</v>
      </c>
      <c r="AH150" s="14">
        <f t="shared" si="234"/>
        <v>0</v>
      </c>
      <c r="AI150" s="14">
        <f t="shared" si="234"/>
        <v>0</v>
      </c>
      <c r="AJ150" s="14">
        <f t="shared" si="234"/>
        <v>0.15</v>
      </c>
      <c r="AK150" s="14">
        <f t="shared" si="234"/>
        <v>0</v>
      </c>
      <c r="AL150" s="14">
        <f t="shared" si="234"/>
        <v>0</v>
      </c>
      <c r="AM150" s="14">
        <f t="shared" si="234"/>
        <v>0</v>
      </c>
      <c r="AN150" s="14">
        <f t="shared" si="234"/>
        <v>0</v>
      </c>
      <c r="AO150" s="14">
        <f t="shared" si="234"/>
        <v>0.15</v>
      </c>
      <c r="AP150" s="14">
        <f t="shared" si="234"/>
        <v>0</v>
      </c>
      <c r="AQ150" s="18">
        <f t="shared" si="234"/>
        <v>0.15</v>
      </c>
      <c r="AR150" s="179">
        <f t="shared" si="234"/>
        <v>17968416</v>
      </c>
      <c r="AS150" s="17">
        <f t="shared" si="234"/>
        <v>13034695</v>
      </c>
      <c r="AT150" s="17">
        <f t="shared" si="234"/>
        <v>24310</v>
      </c>
      <c r="AU150" s="17">
        <f t="shared" si="234"/>
        <v>4413947</v>
      </c>
      <c r="AV150" s="17">
        <f t="shared" si="234"/>
        <v>260694</v>
      </c>
      <c r="AW150" s="17">
        <f t="shared" si="234"/>
        <v>234770</v>
      </c>
      <c r="AX150" s="14">
        <f t="shared" si="234"/>
        <v>26.499799999999997</v>
      </c>
      <c r="AY150" s="14">
        <f t="shared" si="234"/>
        <v>19.055999999999994</v>
      </c>
      <c r="AZ150" s="18">
        <f t="shared" si="234"/>
        <v>7.4438000000000013</v>
      </c>
    </row>
    <row r="151" spans="2:52" s="99" customFormat="1" ht="12.95" customHeight="1" x14ac:dyDescent="0.25">
      <c r="D151" s="344"/>
      <c r="E151" s="345"/>
      <c r="F151" s="344"/>
      <c r="G151" s="346"/>
      <c r="H151" s="2">
        <v>3122</v>
      </c>
      <c r="I151" s="178">
        <f t="shared" ref="I151:AZ151" si="235">SUMIF($F$12:$F$463,"=3122",I$12:I$463)</f>
        <v>0</v>
      </c>
      <c r="J151" s="17">
        <f t="shared" si="235"/>
        <v>0</v>
      </c>
      <c r="K151" s="17">
        <f t="shared" si="235"/>
        <v>0</v>
      </c>
      <c r="L151" s="17">
        <f t="shared" si="235"/>
        <v>0</v>
      </c>
      <c r="M151" s="17">
        <f t="shared" si="235"/>
        <v>0</v>
      </c>
      <c r="N151" s="17">
        <f t="shared" si="235"/>
        <v>0</v>
      </c>
      <c r="O151" s="14">
        <f t="shared" si="235"/>
        <v>0</v>
      </c>
      <c r="P151" s="14">
        <f t="shared" si="235"/>
        <v>0</v>
      </c>
      <c r="Q151" s="180">
        <f t="shared" si="235"/>
        <v>0</v>
      </c>
      <c r="R151" s="178">
        <f t="shared" si="235"/>
        <v>0</v>
      </c>
      <c r="S151" s="17">
        <f t="shared" si="235"/>
        <v>0</v>
      </c>
      <c r="T151" s="17">
        <f t="shared" si="235"/>
        <v>0</v>
      </c>
      <c r="U151" s="17">
        <f t="shared" si="235"/>
        <v>0</v>
      </c>
      <c r="V151" s="17">
        <f t="shared" si="235"/>
        <v>0</v>
      </c>
      <c r="W151" s="17">
        <f t="shared" si="235"/>
        <v>0</v>
      </c>
      <c r="X151" s="17">
        <f t="shared" si="235"/>
        <v>0</v>
      </c>
      <c r="Y151" s="17">
        <f t="shared" si="235"/>
        <v>0</v>
      </c>
      <c r="Z151" s="17">
        <f t="shared" si="235"/>
        <v>0</v>
      </c>
      <c r="AA151" s="17">
        <f t="shared" si="235"/>
        <v>0</v>
      </c>
      <c r="AB151" s="17">
        <f t="shared" si="235"/>
        <v>0</v>
      </c>
      <c r="AC151" s="17">
        <f t="shared" si="235"/>
        <v>0</v>
      </c>
      <c r="AD151" s="17">
        <f t="shared" si="235"/>
        <v>0</v>
      </c>
      <c r="AE151" s="17">
        <f t="shared" si="235"/>
        <v>0</v>
      </c>
      <c r="AF151" s="17">
        <f t="shared" si="235"/>
        <v>0</v>
      </c>
      <c r="AG151" s="17">
        <f t="shared" si="235"/>
        <v>0</v>
      </c>
      <c r="AH151" s="14">
        <f t="shared" si="235"/>
        <v>0</v>
      </c>
      <c r="AI151" s="14">
        <f t="shared" si="235"/>
        <v>0</v>
      </c>
      <c r="AJ151" s="14">
        <f t="shared" si="235"/>
        <v>0</v>
      </c>
      <c r="AK151" s="14">
        <f t="shared" si="235"/>
        <v>0</v>
      </c>
      <c r="AL151" s="14">
        <f t="shared" si="235"/>
        <v>0</v>
      </c>
      <c r="AM151" s="14">
        <f t="shared" si="235"/>
        <v>0</v>
      </c>
      <c r="AN151" s="14">
        <f t="shared" si="235"/>
        <v>0</v>
      </c>
      <c r="AO151" s="14">
        <f t="shared" si="235"/>
        <v>0</v>
      </c>
      <c r="AP151" s="14">
        <f t="shared" si="235"/>
        <v>0</v>
      </c>
      <c r="AQ151" s="18">
        <f t="shared" si="235"/>
        <v>0</v>
      </c>
      <c r="AR151" s="179">
        <f t="shared" si="235"/>
        <v>0</v>
      </c>
      <c r="AS151" s="17">
        <f t="shared" si="235"/>
        <v>0</v>
      </c>
      <c r="AT151" s="17">
        <f t="shared" si="235"/>
        <v>0</v>
      </c>
      <c r="AU151" s="17">
        <f t="shared" si="235"/>
        <v>0</v>
      </c>
      <c r="AV151" s="17">
        <f t="shared" si="235"/>
        <v>0</v>
      </c>
      <c r="AW151" s="17">
        <f t="shared" si="235"/>
        <v>0</v>
      </c>
      <c r="AX151" s="14">
        <f t="shared" si="235"/>
        <v>0</v>
      </c>
      <c r="AY151" s="14">
        <f t="shared" si="235"/>
        <v>0</v>
      </c>
      <c r="AZ151" s="18">
        <f t="shared" si="235"/>
        <v>0</v>
      </c>
    </row>
    <row r="152" spans="2:52" s="99" customFormat="1" ht="12.95" customHeight="1" x14ac:dyDescent="0.25">
      <c r="D152" s="344"/>
      <c r="E152" s="345"/>
      <c r="F152" s="344"/>
      <c r="G152" s="346"/>
      <c r="H152" s="2">
        <v>3124</v>
      </c>
      <c r="I152" s="178">
        <f t="shared" ref="I152:AZ152" si="236">SUMIF($F$12:$F$463,"=3124",I$12:I$463)</f>
        <v>0</v>
      </c>
      <c r="J152" s="17">
        <f t="shared" si="236"/>
        <v>0</v>
      </c>
      <c r="K152" s="17">
        <f t="shared" si="236"/>
        <v>0</v>
      </c>
      <c r="L152" s="17">
        <f t="shared" si="236"/>
        <v>0</v>
      </c>
      <c r="M152" s="17">
        <f t="shared" si="236"/>
        <v>0</v>
      </c>
      <c r="N152" s="17">
        <f t="shared" si="236"/>
        <v>0</v>
      </c>
      <c r="O152" s="14">
        <f t="shared" si="236"/>
        <v>0</v>
      </c>
      <c r="P152" s="14">
        <f t="shared" si="236"/>
        <v>0</v>
      </c>
      <c r="Q152" s="180">
        <f t="shared" si="236"/>
        <v>0</v>
      </c>
      <c r="R152" s="178">
        <f t="shared" si="236"/>
        <v>0</v>
      </c>
      <c r="S152" s="17">
        <f t="shared" si="236"/>
        <v>0</v>
      </c>
      <c r="T152" s="17">
        <f t="shared" si="236"/>
        <v>0</v>
      </c>
      <c r="U152" s="17">
        <f t="shared" si="236"/>
        <v>0</v>
      </c>
      <c r="V152" s="17">
        <f t="shared" si="236"/>
        <v>0</v>
      </c>
      <c r="W152" s="17">
        <f t="shared" si="236"/>
        <v>0</v>
      </c>
      <c r="X152" s="17">
        <f t="shared" si="236"/>
        <v>0</v>
      </c>
      <c r="Y152" s="17">
        <f t="shared" si="236"/>
        <v>0</v>
      </c>
      <c r="Z152" s="17">
        <f t="shared" si="236"/>
        <v>0</v>
      </c>
      <c r="AA152" s="17">
        <f t="shared" si="236"/>
        <v>0</v>
      </c>
      <c r="AB152" s="17">
        <f t="shared" si="236"/>
        <v>0</v>
      </c>
      <c r="AC152" s="17">
        <f t="shared" si="236"/>
        <v>0</v>
      </c>
      <c r="AD152" s="17">
        <f t="shared" si="236"/>
        <v>0</v>
      </c>
      <c r="AE152" s="17">
        <f t="shared" si="236"/>
        <v>0</v>
      </c>
      <c r="AF152" s="17">
        <f t="shared" si="236"/>
        <v>0</v>
      </c>
      <c r="AG152" s="17">
        <f t="shared" si="236"/>
        <v>0</v>
      </c>
      <c r="AH152" s="14">
        <f t="shared" si="236"/>
        <v>0</v>
      </c>
      <c r="AI152" s="14">
        <f t="shared" si="236"/>
        <v>0</v>
      </c>
      <c r="AJ152" s="14">
        <f t="shared" si="236"/>
        <v>0</v>
      </c>
      <c r="AK152" s="14">
        <f t="shared" si="236"/>
        <v>0</v>
      </c>
      <c r="AL152" s="14">
        <f t="shared" si="236"/>
        <v>0</v>
      </c>
      <c r="AM152" s="14">
        <f t="shared" si="236"/>
        <v>0</v>
      </c>
      <c r="AN152" s="14">
        <f t="shared" si="236"/>
        <v>0</v>
      </c>
      <c r="AO152" s="14">
        <f t="shared" si="236"/>
        <v>0</v>
      </c>
      <c r="AP152" s="14">
        <f t="shared" si="236"/>
        <v>0</v>
      </c>
      <c r="AQ152" s="18">
        <f t="shared" si="236"/>
        <v>0</v>
      </c>
      <c r="AR152" s="179">
        <f t="shared" si="236"/>
        <v>0</v>
      </c>
      <c r="AS152" s="17">
        <f t="shared" si="236"/>
        <v>0</v>
      </c>
      <c r="AT152" s="17">
        <f t="shared" si="236"/>
        <v>0</v>
      </c>
      <c r="AU152" s="17">
        <f t="shared" si="236"/>
        <v>0</v>
      </c>
      <c r="AV152" s="17">
        <f t="shared" si="236"/>
        <v>0</v>
      </c>
      <c r="AW152" s="17">
        <f t="shared" si="236"/>
        <v>0</v>
      </c>
      <c r="AX152" s="14">
        <f t="shared" si="236"/>
        <v>0</v>
      </c>
      <c r="AY152" s="14">
        <f t="shared" si="236"/>
        <v>0</v>
      </c>
      <c r="AZ152" s="18">
        <f t="shared" si="236"/>
        <v>0</v>
      </c>
    </row>
    <row r="153" spans="2:52" s="99" customFormat="1" ht="12.95" customHeight="1" x14ac:dyDescent="0.25">
      <c r="D153" s="344"/>
      <c r="E153" s="345"/>
      <c r="F153" s="344"/>
      <c r="G153" s="346"/>
      <c r="H153" s="2">
        <v>3141</v>
      </c>
      <c r="I153" s="178">
        <f t="shared" ref="I153:AZ153" si="237">SUMIF($F$12:$F$463,"=3141",I$12:I$463)</f>
        <v>20060332</v>
      </c>
      <c r="J153" s="17">
        <f t="shared" si="237"/>
        <v>14668913</v>
      </c>
      <c r="K153" s="17">
        <f t="shared" si="237"/>
        <v>20800</v>
      </c>
      <c r="L153" s="17">
        <f t="shared" si="237"/>
        <v>4965124</v>
      </c>
      <c r="M153" s="17">
        <f t="shared" si="237"/>
        <v>293377</v>
      </c>
      <c r="N153" s="17">
        <f t="shared" si="237"/>
        <v>112118</v>
      </c>
      <c r="O153" s="14">
        <f t="shared" si="237"/>
        <v>46.370000000000005</v>
      </c>
      <c r="P153" s="14">
        <f t="shared" si="237"/>
        <v>0</v>
      </c>
      <c r="Q153" s="180">
        <f t="shared" si="237"/>
        <v>46.370000000000005</v>
      </c>
      <c r="R153" s="178">
        <f t="shared" si="237"/>
        <v>0</v>
      </c>
      <c r="S153" s="17">
        <f t="shared" si="237"/>
        <v>0</v>
      </c>
      <c r="T153" s="17">
        <f t="shared" si="237"/>
        <v>0</v>
      </c>
      <c r="U153" s="17">
        <f t="shared" si="237"/>
        <v>0</v>
      </c>
      <c r="V153" s="17">
        <f t="shared" si="237"/>
        <v>0</v>
      </c>
      <c r="W153" s="17">
        <f t="shared" si="237"/>
        <v>0</v>
      </c>
      <c r="X153" s="17">
        <f t="shared" si="237"/>
        <v>0</v>
      </c>
      <c r="Y153" s="17">
        <f t="shared" si="237"/>
        <v>0</v>
      </c>
      <c r="Z153" s="17">
        <f t="shared" si="237"/>
        <v>0</v>
      </c>
      <c r="AA153" s="17">
        <f t="shared" si="237"/>
        <v>0</v>
      </c>
      <c r="AB153" s="17">
        <f t="shared" si="237"/>
        <v>0</v>
      </c>
      <c r="AC153" s="17">
        <f t="shared" si="237"/>
        <v>0</v>
      </c>
      <c r="AD153" s="17">
        <f t="shared" si="237"/>
        <v>0</v>
      </c>
      <c r="AE153" s="17">
        <f t="shared" si="237"/>
        <v>0</v>
      </c>
      <c r="AF153" s="17">
        <f t="shared" si="237"/>
        <v>0</v>
      </c>
      <c r="AG153" s="17">
        <f t="shared" si="237"/>
        <v>0</v>
      </c>
      <c r="AH153" s="14">
        <f t="shared" si="237"/>
        <v>0</v>
      </c>
      <c r="AI153" s="14">
        <f t="shared" si="237"/>
        <v>0</v>
      </c>
      <c r="AJ153" s="14">
        <f t="shared" si="237"/>
        <v>0</v>
      </c>
      <c r="AK153" s="14">
        <f t="shared" si="237"/>
        <v>0</v>
      </c>
      <c r="AL153" s="14">
        <f t="shared" si="237"/>
        <v>0</v>
      </c>
      <c r="AM153" s="14">
        <f t="shared" si="237"/>
        <v>0</v>
      </c>
      <c r="AN153" s="14">
        <f t="shared" si="237"/>
        <v>0</v>
      </c>
      <c r="AO153" s="14">
        <f t="shared" si="237"/>
        <v>0</v>
      </c>
      <c r="AP153" s="14">
        <f t="shared" si="237"/>
        <v>0</v>
      </c>
      <c r="AQ153" s="18">
        <f t="shared" si="237"/>
        <v>0</v>
      </c>
      <c r="AR153" s="179">
        <f t="shared" si="237"/>
        <v>20060332</v>
      </c>
      <c r="AS153" s="17">
        <f t="shared" si="237"/>
        <v>14668913</v>
      </c>
      <c r="AT153" s="17">
        <f t="shared" si="237"/>
        <v>20800</v>
      </c>
      <c r="AU153" s="17">
        <f t="shared" si="237"/>
        <v>4965124</v>
      </c>
      <c r="AV153" s="17">
        <f t="shared" si="237"/>
        <v>293377</v>
      </c>
      <c r="AW153" s="17">
        <f t="shared" si="237"/>
        <v>112118</v>
      </c>
      <c r="AX153" s="14">
        <f t="shared" si="237"/>
        <v>46.370000000000005</v>
      </c>
      <c r="AY153" s="14">
        <f t="shared" si="237"/>
        <v>0</v>
      </c>
      <c r="AZ153" s="18">
        <f t="shared" si="237"/>
        <v>46.370000000000005</v>
      </c>
    </row>
    <row r="154" spans="2:52" s="99" customFormat="1" ht="12.95" customHeight="1" x14ac:dyDescent="0.25">
      <c r="D154" s="344"/>
      <c r="E154" s="345"/>
      <c r="F154" s="344"/>
      <c r="G154" s="346"/>
      <c r="H154" s="2">
        <v>3143</v>
      </c>
      <c r="I154" s="178">
        <f t="shared" ref="I154:AZ154" si="238">SUMIF($F$12:$F$463,"=3143",I$12:I$463)</f>
        <v>15669300</v>
      </c>
      <c r="J154" s="17">
        <f t="shared" si="238"/>
        <v>11519958</v>
      </c>
      <c r="K154" s="17">
        <f t="shared" si="238"/>
        <v>3250</v>
      </c>
      <c r="L154" s="17">
        <f t="shared" si="238"/>
        <v>3894844</v>
      </c>
      <c r="M154" s="17">
        <f t="shared" si="238"/>
        <v>230398</v>
      </c>
      <c r="N154" s="17">
        <f t="shared" si="238"/>
        <v>20850</v>
      </c>
      <c r="O154" s="14">
        <f t="shared" si="238"/>
        <v>24.130499999999998</v>
      </c>
      <c r="P154" s="14">
        <f t="shared" si="238"/>
        <v>21.6462</v>
      </c>
      <c r="Q154" s="180">
        <f t="shared" si="238"/>
        <v>2.4843000000000002</v>
      </c>
      <c r="R154" s="178">
        <f t="shared" si="238"/>
        <v>0</v>
      </c>
      <c r="S154" s="17">
        <f t="shared" si="238"/>
        <v>0</v>
      </c>
      <c r="T154" s="17">
        <f t="shared" si="238"/>
        <v>0</v>
      </c>
      <c r="U154" s="17">
        <f t="shared" si="238"/>
        <v>0</v>
      </c>
      <c r="V154" s="17">
        <f t="shared" si="238"/>
        <v>0</v>
      </c>
      <c r="W154" s="17">
        <f t="shared" si="238"/>
        <v>0</v>
      </c>
      <c r="X154" s="17">
        <f t="shared" si="238"/>
        <v>0</v>
      </c>
      <c r="Y154" s="17">
        <f t="shared" si="238"/>
        <v>0</v>
      </c>
      <c r="Z154" s="17">
        <f t="shared" si="238"/>
        <v>0</v>
      </c>
      <c r="AA154" s="17">
        <f t="shared" si="238"/>
        <v>0</v>
      </c>
      <c r="AB154" s="17">
        <f t="shared" si="238"/>
        <v>0</v>
      </c>
      <c r="AC154" s="17">
        <f t="shared" si="238"/>
        <v>0</v>
      </c>
      <c r="AD154" s="17">
        <f t="shared" si="238"/>
        <v>0</v>
      </c>
      <c r="AE154" s="17">
        <f t="shared" si="238"/>
        <v>0</v>
      </c>
      <c r="AF154" s="17">
        <f t="shared" si="238"/>
        <v>0</v>
      </c>
      <c r="AG154" s="17">
        <f t="shared" si="238"/>
        <v>0</v>
      </c>
      <c r="AH154" s="14">
        <f t="shared" si="238"/>
        <v>0</v>
      </c>
      <c r="AI154" s="14">
        <f t="shared" si="238"/>
        <v>0</v>
      </c>
      <c r="AJ154" s="14">
        <f t="shared" si="238"/>
        <v>0</v>
      </c>
      <c r="AK154" s="14">
        <f t="shared" si="238"/>
        <v>0</v>
      </c>
      <c r="AL154" s="14">
        <f t="shared" si="238"/>
        <v>0</v>
      </c>
      <c r="AM154" s="14">
        <f t="shared" si="238"/>
        <v>0</v>
      </c>
      <c r="AN154" s="14">
        <f t="shared" si="238"/>
        <v>0</v>
      </c>
      <c r="AO154" s="14">
        <f t="shared" si="238"/>
        <v>0</v>
      </c>
      <c r="AP154" s="14">
        <f t="shared" si="238"/>
        <v>0</v>
      </c>
      <c r="AQ154" s="18">
        <f t="shared" si="238"/>
        <v>0</v>
      </c>
      <c r="AR154" s="179">
        <f t="shared" si="238"/>
        <v>15669300</v>
      </c>
      <c r="AS154" s="17">
        <f t="shared" si="238"/>
        <v>11519958</v>
      </c>
      <c r="AT154" s="17">
        <f t="shared" si="238"/>
        <v>3250</v>
      </c>
      <c r="AU154" s="17">
        <f t="shared" si="238"/>
        <v>3894844</v>
      </c>
      <c r="AV154" s="17">
        <f t="shared" si="238"/>
        <v>230398</v>
      </c>
      <c r="AW154" s="17">
        <f t="shared" si="238"/>
        <v>20850</v>
      </c>
      <c r="AX154" s="14">
        <f t="shared" si="238"/>
        <v>24.130499999999998</v>
      </c>
      <c r="AY154" s="14">
        <f t="shared" si="238"/>
        <v>21.6462</v>
      </c>
      <c r="AZ154" s="18">
        <f t="shared" si="238"/>
        <v>2.4843000000000002</v>
      </c>
    </row>
    <row r="155" spans="2:52" s="99" customFormat="1" ht="12.95" customHeight="1" x14ac:dyDescent="0.25">
      <c r="D155" s="344"/>
      <c r="E155" s="345"/>
      <c r="F155" s="344"/>
      <c r="G155" s="346"/>
      <c r="H155" s="2">
        <v>3231</v>
      </c>
      <c r="I155" s="178">
        <f t="shared" ref="I155:AZ155" si="239">SUMIF($F$12:$F$463,"=3231",I$12:I$463)</f>
        <v>19917605</v>
      </c>
      <c r="J155" s="17">
        <f t="shared" si="239"/>
        <v>14531896</v>
      </c>
      <c r="K155" s="17">
        <f t="shared" si="239"/>
        <v>85800</v>
      </c>
      <c r="L155" s="17">
        <f t="shared" si="239"/>
        <v>4940781</v>
      </c>
      <c r="M155" s="17">
        <f t="shared" si="239"/>
        <v>290638</v>
      </c>
      <c r="N155" s="17">
        <f t="shared" si="239"/>
        <v>68490</v>
      </c>
      <c r="O155" s="14">
        <f t="shared" si="239"/>
        <v>26.958199999999998</v>
      </c>
      <c r="P155" s="14">
        <f t="shared" si="239"/>
        <v>24.058700000000002</v>
      </c>
      <c r="Q155" s="180">
        <f t="shared" si="239"/>
        <v>2.8994999999999997</v>
      </c>
      <c r="R155" s="178">
        <f t="shared" si="239"/>
        <v>0</v>
      </c>
      <c r="S155" s="17">
        <f t="shared" si="239"/>
        <v>0</v>
      </c>
      <c r="T155" s="17">
        <f t="shared" si="239"/>
        <v>0</v>
      </c>
      <c r="U155" s="17">
        <f t="shared" si="239"/>
        <v>0</v>
      </c>
      <c r="V155" s="17">
        <f t="shared" si="239"/>
        <v>0</v>
      </c>
      <c r="W155" s="17">
        <f t="shared" si="239"/>
        <v>0</v>
      </c>
      <c r="X155" s="17">
        <f t="shared" si="239"/>
        <v>0</v>
      </c>
      <c r="Y155" s="17">
        <f t="shared" si="239"/>
        <v>0</v>
      </c>
      <c r="Z155" s="17">
        <f t="shared" si="239"/>
        <v>0</v>
      </c>
      <c r="AA155" s="17">
        <f t="shared" si="239"/>
        <v>0</v>
      </c>
      <c r="AB155" s="17">
        <f t="shared" si="239"/>
        <v>0</v>
      </c>
      <c r="AC155" s="17">
        <f t="shared" si="239"/>
        <v>0</v>
      </c>
      <c r="AD155" s="17">
        <f t="shared" si="239"/>
        <v>0</v>
      </c>
      <c r="AE155" s="17">
        <f t="shared" si="239"/>
        <v>0</v>
      </c>
      <c r="AF155" s="17">
        <f t="shared" si="239"/>
        <v>0</v>
      </c>
      <c r="AG155" s="17">
        <f t="shared" si="239"/>
        <v>0</v>
      </c>
      <c r="AH155" s="14">
        <f t="shared" si="239"/>
        <v>0</v>
      </c>
      <c r="AI155" s="14">
        <f t="shared" si="239"/>
        <v>0</v>
      </c>
      <c r="AJ155" s="14">
        <f t="shared" si="239"/>
        <v>0</v>
      </c>
      <c r="AK155" s="14">
        <f t="shared" si="239"/>
        <v>0</v>
      </c>
      <c r="AL155" s="14">
        <f t="shared" si="239"/>
        <v>0</v>
      </c>
      <c r="AM155" s="14">
        <f t="shared" si="239"/>
        <v>0</v>
      </c>
      <c r="AN155" s="14">
        <f t="shared" si="239"/>
        <v>0</v>
      </c>
      <c r="AO155" s="14">
        <f t="shared" si="239"/>
        <v>0</v>
      </c>
      <c r="AP155" s="14">
        <f t="shared" si="239"/>
        <v>0</v>
      </c>
      <c r="AQ155" s="18">
        <f t="shared" si="239"/>
        <v>0</v>
      </c>
      <c r="AR155" s="179">
        <f t="shared" si="239"/>
        <v>19917605</v>
      </c>
      <c r="AS155" s="17">
        <f t="shared" si="239"/>
        <v>14531896</v>
      </c>
      <c r="AT155" s="17">
        <f t="shared" si="239"/>
        <v>85800</v>
      </c>
      <c r="AU155" s="17">
        <f t="shared" si="239"/>
        <v>4940781</v>
      </c>
      <c r="AV155" s="17">
        <f t="shared" si="239"/>
        <v>290638</v>
      </c>
      <c r="AW155" s="17">
        <f t="shared" si="239"/>
        <v>68490</v>
      </c>
      <c r="AX155" s="14">
        <f t="shared" si="239"/>
        <v>26.958199999999998</v>
      </c>
      <c r="AY155" s="14">
        <f t="shared" si="239"/>
        <v>24.058700000000002</v>
      </c>
      <c r="AZ155" s="18">
        <f t="shared" si="239"/>
        <v>2.8994999999999997</v>
      </c>
    </row>
    <row r="156" spans="2:52" s="99" customFormat="1" ht="12.95" customHeight="1" thickBot="1" x14ac:dyDescent="0.3">
      <c r="D156" s="344"/>
      <c r="E156" s="345"/>
      <c r="F156" s="344"/>
      <c r="G156" s="346"/>
      <c r="H156" s="162">
        <v>3233</v>
      </c>
      <c r="I156" s="181">
        <f t="shared" ref="I156:AZ156" si="240">SUMIF($F$12:$F$463,"=3233",I$12:I$463)</f>
        <v>2616069</v>
      </c>
      <c r="J156" s="182">
        <f t="shared" si="240"/>
        <v>1924764</v>
      </c>
      <c r="K156" s="182">
        <f t="shared" si="240"/>
        <v>0</v>
      </c>
      <c r="L156" s="182">
        <f t="shared" si="240"/>
        <v>650570</v>
      </c>
      <c r="M156" s="182">
        <f t="shared" si="240"/>
        <v>38495</v>
      </c>
      <c r="N156" s="182">
        <f t="shared" si="240"/>
        <v>2240</v>
      </c>
      <c r="O156" s="183">
        <f t="shared" si="240"/>
        <v>4.1100000000000003</v>
      </c>
      <c r="P156" s="183">
        <f t="shared" si="240"/>
        <v>2.93</v>
      </c>
      <c r="Q156" s="186">
        <f t="shared" si="240"/>
        <v>1.18</v>
      </c>
      <c r="R156" s="181">
        <f t="shared" si="240"/>
        <v>0</v>
      </c>
      <c r="S156" s="182">
        <f t="shared" si="240"/>
        <v>0</v>
      </c>
      <c r="T156" s="182">
        <f t="shared" si="240"/>
        <v>0</v>
      </c>
      <c r="U156" s="182">
        <f t="shared" si="240"/>
        <v>0</v>
      </c>
      <c r="V156" s="182">
        <f t="shared" si="240"/>
        <v>0</v>
      </c>
      <c r="W156" s="182">
        <f t="shared" si="240"/>
        <v>0</v>
      </c>
      <c r="X156" s="182">
        <f t="shared" si="240"/>
        <v>0</v>
      </c>
      <c r="Y156" s="182">
        <f t="shared" si="240"/>
        <v>0</v>
      </c>
      <c r="Z156" s="182">
        <f t="shared" si="240"/>
        <v>0</v>
      </c>
      <c r="AA156" s="182">
        <f t="shared" si="240"/>
        <v>0</v>
      </c>
      <c r="AB156" s="182">
        <f t="shared" si="240"/>
        <v>0</v>
      </c>
      <c r="AC156" s="182">
        <f t="shared" si="240"/>
        <v>0</v>
      </c>
      <c r="AD156" s="182">
        <f t="shared" si="240"/>
        <v>0</v>
      </c>
      <c r="AE156" s="182">
        <f t="shared" si="240"/>
        <v>13160</v>
      </c>
      <c r="AF156" s="182">
        <f t="shared" si="240"/>
        <v>13160</v>
      </c>
      <c r="AG156" s="182">
        <f t="shared" si="240"/>
        <v>13160</v>
      </c>
      <c r="AH156" s="183">
        <f t="shared" si="240"/>
        <v>0</v>
      </c>
      <c r="AI156" s="183">
        <f t="shared" si="240"/>
        <v>0</v>
      </c>
      <c r="AJ156" s="183">
        <f t="shared" si="240"/>
        <v>0</v>
      </c>
      <c r="AK156" s="183">
        <f t="shared" si="240"/>
        <v>0</v>
      </c>
      <c r="AL156" s="183">
        <f t="shared" si="240"/>
        <v>0</v>
      </c>
      <c r="AM156" s="183">
        <f t="shared" si="240"/>
        <v>0</v>
      </c>
      <c r="AN156" s="183">
        <f t="shared" si="240"/>
        <v>0</v>
      </c>
      <c r="AO156" s="183">
        <f t="shared" si="240"/>
        <v>0</v>
      </c>
      <c r="AP156" s="183">
        <f t="shared" si="240"/>
        <v>0</v>
      </c>
      <c r="AQ156" s="184">
        <f t="shared" si="240"/>
        <v>0</v>
      </c>
      <c r="AR156" s="185">
        <f t="shared" si="240"/>
        <v>2629229</v>
      </c>
      <c r="AS156" s="182">
        <f t="shared" si="240"/>
        <v>1924764</v>
      </c>
      <c r="AT156" s="182">
        <f t="shared" si="240"/>
        <v>0</v>
      </c>
      <c r="AU156" s="182">
        <f t="shared" si="240"/>
        <v>650570</v>
      </c>
      <c r="AV156" s="182">
        <f t="shared" si="240"/>
        <v>38495</v>
      </c>
      <c r="AW156" s="182">
        <f t="shared" si="240"/>
        <v>15400</v>
      </c>
      <c r="AX156" s="183">
        <f t="shared" si="240"/>
        <v>4.1100000000000003</v>
      </c>
      <c r="AY156" s="183">
        <f t="shared" si="240"/>
        <v>2.93</v>
      </c>
      <c r="AZ156" s="184">
        <f t="shared" si="240"/>
        <v>1.18</v>
      </c>
    </row>
    <row r="157" spans="2:52" ht="12.95" customHeight="1" x14ac:dyDescent="0.25"/>
    <row r="158" spans="2:52" ht="12.95" customHeight="1" x14ac:dyDescent="0.25"/>
  </sheetData>
  <mergeCells count="25">
    <mergeCell ref="A3:E3"/>
    <mergeCell ref="AC7:AC10"/>
    <mergeCell ref="AK8:AL9"/>
    <mergeCell ref="I6:Q7"/>
    <mergeCell ref="I8:I10"/>
    <mergeCell ref="J8:N9"/>
    <mergeCell ref="O8:O10"/>
    <mergeCell ref="P8:Q9"/>
    <mergeCell ref="R6:AQ6"/>
    <mergeCell ref="AH7:AQ7"/>
    <mergeCell ref="AM8:AN9"/>
    <mergeCell ref="AO8:AQ9"/>
    <mergeCell ref="AG7:AG10"/>
    <mergeCell ref="AH8:AI9"/>
    <mergeCell ref="AJ8:AJ9"/>
    <mergeCell ref="AR6:AZ7"/>
    <mergeCell ref="R7:V9"/>
    <mergeCell ref="W7:Z9"/>
    <mergeCell ref="AA7:AA10"/>
    <mergeCell ref="AB7:AB10"/>
    <mergeCell ref="AD7:AF9"/>
    <mergeCell ref="AR8:AR10"/>
    <mergeCell ref="AS8:AW9"/>
    <mergeCell ref="AX8:AX10"/>
    <mergeCell ref="AY8:AZ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219"/>
  <sheetViews>
    <sheetView workbookViewId="0">
      <pane xSplit="8" ySplit="11" topLeftCell="I191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ColWidth="9.140625" defaultRowHeight="15" x14ac:dyDescent="0.25"/>
  <cols>
    <col min="1" max="1" width="5" style="434" customWidth="1"/>
    <col min="2" max="2" width="8" style="342" customWidth="1"/>
    <col min="3" max="3" width="10.28515625" style="342" customWidth="1"/>
    <col min="4" max="4" width="9.42578125" style="342" customWidth="1"/>
    <col min="5" max="5" width="26.28515625" style="283" customWidth="1"/>
    <col min="6" max="6" width="5.5703125" style="283" bestFit="1" customWidth="1"/>
    <col min="7" max="7" width="10.7109375" style="283" customWidth="1"/>
    <col min="8" max="8" width="8.5703125" style="435" customWidth="1"/>
    <col min="9" max="14" width="10.42578125" style="347" customWidth="1"/>
    <col min="15" max="15" width="11.28515625" style="348" customWidth="1"/>
    <col min="16" max="17" width="10.42578125" style="348" customWidth="1"/>
    <col min="18" max="20" width="9.140625" style="347" customWidth="1"/>
    <col min="21" max="21" width="9.7109375" style="347" customWidth="1"/>
    <col min="22" max="33" width="9.140625" style="347" customWidth="1"/>
    <col min="34" max="43" width="9.140625" style="348" customWidth="1"/>
    <col min="44" max="44" width="12" style="347" customWidth="1"/>
    <col min="45" max="45" width="11.28515625" style="347" customWidth="1"/>
    <col min="46" max="46" width="9.140625" style="347" customWidth="1"/>
    <col min="47" max="47" width="12.5703125" style="347" customWidth="1"/>
    <col min="48" max="49" width="9.140625" style="347" customWidth="1"/>
    <col min="50" max="50" width="11.42578125" style="348" customWidth="1"/>
    <col min="51" max="52" width="9.28515625" style="348" customWidth="1"/>
    <col min="53" max="16384" width="9.140625" style="283"/>
  </cols>
  <sheetData>
    <row r="1" spans="1:52" ht="12" customHeight="1" x14ac:dyDescent="0.25">
      <c r="A1" s="401" t="s">
        <v>2</v>
      </c>
      <c r="B1" s="441"/>
      <c r="C1" s="281"/>
      <c r="D1" s="441"/>
      <c r="E1" s="441"/>
      <c r="F1" s="282"/>
      <c r="G1" s="282"/>
      <c r="H1" s="282"/>
    </row>
    <row r="2" spans="1:52" ht="12" customHeight="1" x14ac:dyDescent="0.25">
      <c r="A2" s="401" t="s">
        <v>3</v>
      </c>
      <c r="B2" s="441"/>
      <c r="C2" s="281"/>
      <c r="D2" s="441"/>
      <c r="E2" s="441"/>
      <c r="F2" s="282"/>
      <c r="G2" s="282"/>
      <c r="H2" s="282"/>
    </row>
    <row r="3" spans="1:52" ht="12" customHeight="1" x14ac:dyDescent="0.25">
      <c r="A3" s="811" t="s">
        <v>4</v>
      </c>
      <c r="B3" s="811"/>
      <c r="C3" s="811"/>
      <c r="D3" s="811"/>
      <c r="E3" s="811"/>
      <c r="F3" s="282"/>
      <c r="G3" s="282"/>
      <c r="H3" s="282"/>
    </row>
    <row r="4" spans="1:52" ht="12" customHeight="1" x14ac:dyDescent="0.25">
      <c r="A4" s="402"/>
      <c r="B4" s="441"/>
      <c r="C4" s="441"/>
      <c r="D4" s="441"/>
      <c r="E4" s="441"/>
      <c r="F4" s="282"/>
      <c r="G4" s="282"/>
      <c r="H4" s="282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285"/>
    </row>
    <row r="6" spans="1:52" x14ac:dyDescent="0.25">
      <c r="A6" s="402"/>
      <c r="B6" s="284"/>
      <c r="C6" s="284"/>
      <c r="D6" s="284"/>
      <c r="E6" s="282"/>
      <c r="F6" s="282"/>
      <c r="G6" s="282"/>
      <c r="H6" s="282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402"/>
      <c r="B7" s="286"/>
      <c r="C7" s="99"/>
      <c r="D7" s="287"/>
      <c r="E7" s="286"/>
      <c r="F7" s="282"/>
      <c r="G7" s="282"/>
      <c r="H7" s="282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403"/>
      <c r="B8" s="289"/>
      <c r="C8" s="289"/>
      <c r="D8" s="289"/>
      <c r="E8" s="289"/>
      <c r="F8" s="289"/>
      <c r="G8" s="289"/>
      <c r="H8" s="289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5.75" customHeight="1" thickBot="1" x14ac:dyDescent="0.3">
      <c r="A9" s="401" t="s">
        <v>818</v>
      </c>
      <c r="B9" s="99"/>
      <c r="C9" s="99"/>
      <c r="D9" s="291"/>
      <c r="E9" s="99"/>
      <c r="F9" s="292"/>
      <c r="G9" s="293"/>
      <c r="H9" s="293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3">
      <c r="A10" s="404" t="s">
        <v>794</v>
      </c>
      <c r="B10" s="295" t="s">
        <v>560</v>
      </c>
      <c r="C10" s="295" t="s">
        <v>561</v>
      </c>
      <c r="D10" s="295" t="s">
        <v>265</v>
      </c>
      <c r="E10" s="174" t="s">
        <v>796</v>
      </c>
      <c r="F10" s="295" t="s">
        <v>0</v>
      </c>
      <c r="G10" s="296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300" customFormat="1" ht="19.5" customHeight="1" thickBot="1" x14ac:dyDescent="0.25">
      <c r="A11" s="405" t="s">
        <v>562</v>
      </c>
      <c r="B11" s="298" t="s">
        <v>563</v>
      </c>
      <c r="C11" s="298" t="s">
        <v>267</v>
      </c>
      <c r="D11" s="298" t="s">
        <v>268</v>
      </c>
      <c r="E11" s="298" t="s">
        <v>564</v>
      </c>
      <c r="F11" s="298" t="s">
        <v>0</v>
      </c>
      <c r="G11" s="298" t="s">
        <v>565</v>
      </c>
      <c r="H11" s="299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4.25" customHeight="1" x14ac:dyDescent="0.25">
      <c r="A12" s="301">
        <v>1</v>
      </c>
      <c r="B12" s="302">
        <v>5490</v>
      </c>
      <c r="C12" s="302">
        <v>600099474</v>
      </c>
      <c r="D12" s="302">
        <v>71173854</v>
      </c>
      <c r="E12" s="406" t="s">
        <v>483</v>
      </c>
      <c r="F12" s="302">
        <v>3111</v>
      </c>
      <c r="G12" s="407" t="s">
        <v>326</v>
      </c>
      <c r="H12" s="408" t="s">
        <v>278</v>
      </c>
      <c r="I12" s="494">
        <v>13416902</v>
      </c>
      <c r="J12" s="489">
        <v>9820104</v>
      </c>
      <c r="K12" s="489">
        <v>0</v>
      </c>
      <c r="L12" s="489">
        <v>3319195</v>
      </c>
      <c r="M12" s="489">
        <v>196403</v>
      </c>
      <c r="N12" s="489">
        <v>81200</v>
      </c>
      <c r="O12" s="490">
        <v>22.122299999999999</v>
      </c>
      <c r="P12" s="491">
        <v>17.399999999999999</v>
      </c>
      <c r="Q12" s="500">
        <v>4.7222999999999997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 t="shared" ref="Z12:Z17" si="0">SUM(W12:Y12)</f>
        <v>0</v>
      </c>
      <c r="AA12" s="475">
        <f t="shared" ref="AA12:AA17" si="1">V12+Z12</f>
        <v>0</v>
      </c>
      <c r="AB12" s="155">
        <f t="shared" ref="AB12:AB17" si="2">ROUND((V12+W12+X12)*33.8%,0)</f>
        <v>0</v>
      </c>
      <c r="AC12" s="155">
        <f t="shared" ref="AC12:AC17" si="3"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476">
        <v>0</v>
      </c>
      <c r="AO12" s="476">
        <f>AH12+AJ12+AK12+AM12</f>
        <v>0</v>
      </c>
      <c r="AP12" s="476">
        <f>AI12+AN12+AL12</f>
        <v>0</v>
      </c>
      <c r="AQ12" s="478">
        <f>SUM(AO12:AP12)</f>
        <v>0</v>
      </c>
      <c r="AR12" s="474">
        <f t="shared" ref="AR12:AR17" si="4">I12+AG12</f>
        <v>13416902</v>
      </c>
      <c r="AS12" s="475">
        <f t="shared" ref="AS12:AS17" si="5">J12+V12</f>
        <v>9820104</v>
      </c>
      <c r="AT12" s="475">
        <f>K12+Z12</f>
        <v>0</v>
      </c>
      <c r="AU12" s="475">
        <f t="shared" ref="AU12:AV17" si="6">L12+AB12</f>
        <v>3319195</v>
      </c>
      <c r="AV12" s="475">
        <f t="shared" si="6"/>
        <v>196403</v>
      </c>
      <c r="AW12" s="475">
        <f t="shared" ref="AW12:AW17" si="7">N12+AF12</f>
        <v>81200</v>
      </c>
      <c r="AX12" s="476">
        <f t="shared" ref="AX12:AX17" si="8">O12+AQ12</f>
        <v>22.122299999999999</v>
      </c>
      <c r="AY12" s="476">
        <f t="shared" ref="AY12:AZ17" si="9">P12+AO12</f>
        <v>17.399999999999999</v>
      </c>
      <c r="AZ12" s="478">
        <f t="shared" si="9"/>
        <v>4.7222999999999997</v>
      </c>
    </row>
    <row r="13" spans="1:52" ht="12" customHeight="1" x14ac:dyDescent="0.25">
      <c r="A13" s="313">
        <v>1</v>
      </c>
      <c r="B13" s="409">
        <v>5490</v>
      </c>
      <c r="C13" s="409">
        <v>600099474</v>
      </c>
      <c r="D13" s="409">
        <v>71173854</v>
      </c>
      <c r="E13" s="410" t="s">
        <v>483</v>
      </c>
      <c r="F13" s="409">
        <v>3111</v>
      </c>
      <c r="G13" s="364" t="s">
        <v>314</v>
      </c>
      <c r="H13" s="318" t="s">
        <v>278</v>
      </c>
      <c r="I13" s="494">
        <v>2128681</v>
      </c>
      <c r="J13" s="489">
        <v>1567512</v>
      </c>
      <c r="K13" s="489">
        <v>0</v>
      </c>
      <c r="L13" s="489">
        <v>529819</v>
      </c>
      <c r="M13" s="489">
        <v>31350</v>
      </c>
      <c r="N13" s="489">
        <v>0</v>
      </c>
      <c r="O13" s="490">
        <v>4</v>
      </c>
      <c r="P13" s="491">
        <v>4</v>
      </c>
      <c r="Q13" s="500">
        <v>0</v>
      </c>
      <c r="R13" s="502">
        <f t="shared" ref="R13:R76" si="10">W13*-1</f>
        <v>0</v>
      </c>
      <c r="S13" s="492">
        <v>0</v>
      </c>
      <c r="T13" s="492">
        <v>0</v>
      </c>
      <c r="U13" s="492">
        <v>0</v>
      </c>
      <c r="V13" s="492">
        <f t="shared" ref="V13:V76" si="11">SUM(R13:U13)</f>
        <v>0</v>
      </c>
      <c r="W13" s="492">
        <v>0</v>
      </c>
      <c r="X13" s="492">
        <v>0</v>
      </c>
      <c r="Y13" s="492">
        <v>0</v>
      </c>
      <c r="Z13" s="492">
        <f t="shared" si="0"/>
        <v>0</v>
      </c>
      <c r="AA13" s="492">
        <f t="shared" si="1"/>
        <v>0</v>
      </c>
      <c r="AB13" s="74">
        <f t="shared" si="2"/>
        <v>0</v>
      </c>
      <c r="AC13" s="74">
        <f t="shared" si="3"/>
        <v>0</v>
      </c>
      <c r="AD13" s="492">
        <v>0</v>
      </c>
      <c r="AE13" s="492">
        <v>0</v>
      </c>
      <c r="AF13" s="492">
        <f t="shared" ref="AF13:AF76" si="12">SUM(AD13:AE13)</f>
        <v>0</v>
      </c>
      <c r="AG13" s="492">
        <f t="shared" ref="AG13:AG76" si="13">AA13+AB13+AC13+AF13</f>
        <v>0</v>
      </c>
      <c r="AH13" s="493">
        <v>0</v>
      </c>
      <c r="AI13" s="493">
        <v>0</v>
      </c>
      <c r="AJ13" s="493">
        <v>0</v>
      </c>
      <c r="AK13" s="493">
        <v>0</v>
      </c>
      <c r="AL13" s="493">
        <v>0</v>
      </c>
      <c r="AM13" s="493">
        <v>0</v>
      </c>
      <c r="AN13" s="493">
        <v>0</v>
      </c>
      <c r="AO13" s="493">
        <f t="shared" ref="AO13:AO17" si="14">AH13+AJ13+AM13</f>
        <v>0</v>
      </c>
      <c r="AP13" s="493">
        <f t="shared" ref="AP13:AP17" si="15">AI13+AN13</f>
        <v>0</v>
      </c>
      <c r="AQ13" s="495">
        <f t="shared" ref="AQ13:AQ76" si="16">SUM(AO13:AP13)</f>
        <v>0</v>
      </c>
      <c r="AR13" s="501">
        <f t="shared" si="4"/>
        <v>2128681</v>
      </c>
      <c r="AS13" s="492">
        <f t="shared" si="5"/>
        <v>1567512</v>
      </c>
      <c r="AT13" s="492">
        <f>K13+Z13</f>
        <v>0</v>
      </c>
      <c r="AU13" s="492">
        <f t="shared" si="6"/>
        <v>529819</v>
      </c>
      <c r="AV13" s="492">
        <f t="shared" si="6"/>
        <v>31350</v>
      </c>
      <c r="AW13" s="492">
        <f t="shared" si="7"/>
        <v>0</v>
      </c>
      <c r="AX13" s="493">
        <f t="shared" si="8"/>
        <v>4</v>
      </c>
      <c r="AY13" s="493">
        <f t="shared" si="9"/>
        <v>4</v>
      </c>
      <c r="AZ13" s="495">
        <f t="shared" si="9"/>
        <v>0</v>
      </c>
    </row>
    <row r="14" spans="1:52" ht="12.95" customHeight="1" x14ac:dyDescent="0.25">
      <c r="A14" s="313">
        <v>1</v>
      </c>
      <c r="B14" s="229">
        <v>5490</v>
      </c>
      <c r="C14" s="409">
        <v>600099474</v>
      </c>
      <c r="D14" s="229">
        <v>71173854</v>
      </c>
      <c r="E14" s="411" t="s">
        <v>483</v>
      </c>
      <c r="F14" s="229">
        <v>3114</v>
      </c>
      <c r="G14" s="364" t="s">
        <v>559</v>
      </c>
      <c r="H14" s="318" t="s">
        <v>278</v>
      </c>
      <c r="I14" s="494">
        <v>5953045</v>
      </c>
      <c r="J14" s="489">
        <v>4360122</v>
      </c>
      <c r="K14" s="489">
        <v>0</v>
      </c>
      <c r="L14" s="489">
        <v>1473721</v>
      </c>
      <c r="M14" s="489">
        <v>87202</v>
      </c>
      <c r="N14" s="489">
        <v>32000</v>
      </c>
      <c r="O14" s="490">
        <v>8.1664999999999992</v>
      </c>
      <c r="P14" s="491">
        <v>5</v>
      </c>
      <c r="Q14" s="500">
        <v>3.1665000000000001</v>
      </c>
      <c r="R14" s="502">
        <f t="shared" si="10"/>
        <v>0</v>
      </c>
      <c r="S14" s="492">
        <v>0</v>
      </c>
      <c r="T14" s="492">
        <v>0</v>
      </c>
      <c r="U14" s="492">
        <v>0</v>
      </c>
      <c r="V14" s="492">
        <f t="shared" si="11"/>
        <v>0</v>
      </c>
      <c r="W14" s="492">
        <v>0</v>
      </c>
      <c r="X14" s="492">
        <v>0</v>
      </c>
      <c r="Y14" s="492">
        <v>0</v>
      </c>
      <c r="Z14" s="492">
        <f t="shared" si="0"/>
        <v>0</v>
      </c>
      <c r="AA14" s="492">
        <f t="shared" si="1"/>
        <v>0</v>
      </c>
      <c r="AB14" s="74">
        <f t="shared" si="2"/>
        <v>0</v>
      </c>
      <c r="AC14" s="74">
        <f t="shared" si="3"/>
        <v>0</v>
      </c>
      <c r="AD14" s="492">
        <v>0</v>
      </c>
      <c r="AE14" s="492">
        <v>0</v>
      </c>
      <c r="AF14" s="492">
        <f t="shared" si="12"/>
        <v>0</v>
      </c>
      <c r="AG14" s="492">
        <f t="shared" si="13"/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 t="shared" si="14"/>
        <v>0</v>
      </c>
      <c r="AP14" s="493">
        <f t="shared" si="15"/>
        <v>0</v>
      </c>
      <c r="AQ14" s="495">
        <f t="shared" si="16"/>
        <v>0</v>
      </c>
      <c r="AR14" s="501">
        <f t="shared" si="4"/>
        <v>5953045</v>
      </c>
      <c r="AS14" s="492">
        <f t="shared" si="5"/>
        <v>4360122</v>
      </c>
      <c r="AT14" s="492">
        <f t="shared" ref="AT14:AT17" si="17">K14+Z14</f>
        <v>0</v>
      </c>
      <c r="AU14" s="492">
        <f t="shared" si="6"/>
        <v>1473721</v>
      </c>
      <c r="AV14" s="492">
        <f t="shared" si="6"/>
        <v>87202</v>
      </c>
      <c r="AW14" s="492">
        <f t="shared" si="7"/>
        <v>32000</v>
      </c>
      <c r="AX14" s="493">
        <f t="shared" si="8"/>
        <v>8.1664999999999992</v>
      </c>
      <c r="AY14" s="493">
        <f t="shared" si="9"/>
        <v>5</v>
      </c>
      <c r="AZ14" s="495">
        <f t="shared" si="9"/>
        <v>3.1665000000000001</v>
      </c>
    </row>
    <row r="15" spans="1:52" ht="12.95" customHeight="1" x14ac:dyDescent="0.25">
      <c r="A15" s="313">
        <v>1</v>
      </c>
      <c r="B15" s="409">
        <v>5490</v>
      </c>
      <c r="C15" s="409">
        <v>600099474</v>
      </c>
      <c r="D15" s="409">
        <v>71173854</v>
      </c>
      <c r="E15" s="410" t="s">
        <v>483</v>
      </c>
      <c r="F15" s="229">
        <v>3114</v>
      </c>
      <c r="G15" s="356" t="s">
        <v>313</v>
      </c>
      <c r="H15" s="318" t="s">
        <v>279</v>
      </c>
      <c r="I15" s="494">
        <v>592117</v>
      </c>
      <c r="J15" s="489">
        <v>436022</v>
      </c>
      <c r="K15" s="489">
        <v>0</v>
      </c>
      <c r="L15" s="489">
        <v>147375</v>
      </c>
      <c r="M15" s="489">
        <v>8720</v>
      </c>
      <c r="N15" s="489">
        <v>0</v>
      </c>
      <c r="O15" s="490">
        <v>1.23</v>
      </c>
      <c r="P15" s="491">
        <v>1.23</v>
      </c>
      <c r="Q15" s="500">
        <v>0</v>
      </c>
      <c r="R15" s="502">
        <f t="shared" si="10"/>
        <v>0</v>
      </c>
      <c r="S15" s="492">
        <v>0</v>
      </c>
      <c r="T15" s="492">
        <v>0</v>
      </c>
      <c r="U15" s="492">
        <v>0</v>
      </c>
      <c r="V15" s="492">
        <f t="shared" si="11"/>
        <v>0</v>
      </c>
      <c r="W15" s="492">
        <v>0</v>
      </c>
      <c r="X15" s="492">
        <v>0</v>
      </c>
      <c r="Y15" s="492">
        <v>0</v>
      </c>
      <c r="Z15" s="492">
        <f t="shared" si="0"/>
        <v>0</v>
      </c>
      <c r="AA15" s="492">
        <f t="shared" si="1"/>
        <v>0</v>
      </c>
      <c r="AB15" s="74">
        <f t="shared" si="2"/>
        <v>0</v>
      </c>
      <c r="AC15" s="74">
        <f t="shared" si="3"/>
        <v>0</v>
      </c>
      <c r="AD15" s="492">
        <v>0</v>
      </c>
      <c r="AE15" s="492">
        <v>0</v>
      </c>
      <c r="AF15" s="492">
        <f t="shared" si="12"/>
        <v>0</v>
      </c>
      <c r="AG15" s="492">
        <f t="shared" si="13"/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 t="shared" si="14"/>
        <v>0</v>
      </c>
      <c r="AP15" s="493">
        <f t="shared" si="15"/>
        <v>0</v>
      </c>
      <c r="AQ15" s="495">
        <f t="shared" si="16"/>
        <v>0</v>
      </c>
      <c r="AR15" s="501">
        <f t="shared" si="4"/>
        <v>592117</v>
      </c>
      <c r="AS15" s="492">
        <f t="shared" si="5"/>
        <v>436022</v>
      </c>
      <c r="AT15" s="492">
        <f t="shared" si="17"/>
        <v>0</v>
      </c>
      <c r="AU15" s="492">
        <f t="shared" si="6"/>
        <v>147375</v>
      </c>
      <c r="AV15" s="492">
        <f t="shared" si="6"/>
        <v>8720</v>
      </c>
      <c r="AW15" s="492">
        <f t="shared" si="7"/>
        <v>0</v>
      </c>
      <c r="AX15" s="493">
        <f t="shared" si="8"/>
        <v>1.23</v>
      </c>
      <c r="AY15" s="493">
        <f t="shared" si="9"/>
        <v>1.23</v>
      </c>
      <c r="AZ15" s="495">
        <f t="shared" si="9"/>
        <v>0</v>
      </c>
    </row>
    <row r="16" spans="1:52" ht="12.95" customHeight="1" x14ac:dyDescent="0.25">
      <c r="A16" s="313">
        <v>1</v>
      </c>
      <c r="B16" s="229">
        <v>5490</v>
      </c>
      <c r="C16" s="409">
        <v>600099474</v>
      </c>
      <c r="D16" s="229">
        <v>71173854</v>
      </c>
      <c r="E16" s="411" t="s">
        <v>483</v>
      </c>
      <c r="F16" s="229">
        <v>3114</v>
      </c>
      <c r="G16" s="364" t="s">
        <v>314</v>
      </c>
      <c r="H16" s="318" t="s">
        <v>278</v>
      </c>
      <c r="I16" s="494">
        <v>3994231</v>
      </c>
      <c r="J16" s="489">
        <v>2941260</v>
      </c>
      <c r="K16" s="489">
        <v>0</v>
      </c>
      <c r="L16" s="489">
        <v>994146</v>
      </c>
      <c r="M16" s="489">
        <v>58825</v>
      </c>
      <c r="N16" s="489">
        <v>0</v>
      </c>
      <c r="O16" s="490">
        <v>7.5</v>
      </c>
      <c r="P16" s="491">
        <v>7.5</v>
      </c>
      <c r="Q16" s="500">
        <v>0</v>
      </c>
      <c r="R16" s="502">
        <f t="shared" si="10"/>
        <v>0</v>
      </c>
      <c r="S16" s="492">
        <v>0</v>
      </c>
      <c r="T16" s="492">
        <v>0</v>
      </c>
      <c r="U16" s="492">
        <v>0</v>
      </c>
      <c r="V16" s="492">
        <f t="shared" si="11"/>
        <v>0</v>
      </c>
      <c r="W16" s="492">
        <v>0</v>
      </c>
      <c r="X16" s="492">
        <v>0</v>
      </c>
      <c r="Y16" s="492">
        <v>0</v>
      </c>
      <c r="Z16" s="492">
        <f t="shared" si="0"/>
        <v>0</v>
      </c>
      <c r="AA16" s="492">
        <f t="shared" si="1"/>
        <v>0</v>
      </c>
      <c r="AB16" s="74">
        <f t="shared" si="2"/>
        <v>0</v>
      </c>
      <c r="AC16" s="74">
        <f t="shared" si="3"/>
        <v>0</v>
      </c>
      <c r="AD16" s="492">
        <v>0</v>
      </c>
      <c r="AE16" s="492">
        <v>0</v>
      </c>
      <c r="AF16" s="492">
        <f t="shared" si="12"/>
        <v>0</v>
      </c>
      <c r="AG16" s="492">
        <f t="shared" si="13"/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si="14"/>
        <v>0</v>
      </c>
      <c r="AP16" s="493">
        <f t="shared" si="15"/>
        <v>0</v>
      </c>
      <c r="AQ16" s="495">
        <f t="shared" si="16"/>
        <v>0</v>
      </c>
      <c r="AR16" s="501">
        <f t="shared" si="4"/>
        <v>3994231</v>
      </c>
      <c r="AS16" s="492">
        <f t="shared" si="5"/>
        <v>2941260</v>
      </c>
      <c r="AT16" s="492">
        <f t="shared" si="17"/>
        <v>0</v>
      </c>
      <c r="AU16" s="492">
        <f t="shared" si="6"/>
        <v>994146</v>
      </c>
      <c r="AV16" s="492">
        <f t="shared" si="6"/>
        <v>58825</v>
      </c>
      <c r="AW16" s="492">
        <f t="shared" si="7"/>
        <v>0</v>
      </c>
      <c r="AX16" s="493">
        <f t="shared" si="8"/>
        <v>7.5</v>
      </c>
      <c r="AY16" s="493">
        <f t="shared" si="9"/>
        <v>7.5</v>
      </c>
      <c r="AZ16" s="495">
        <f t="shared" si="9"/>
        <v>0</v>
      </c>
    </row>
    <row r="17" spans="1:52" ht="12.95" customHeight="1" x14ac:dyDescent="0.25">
      <c r="A17" s="313">
        <v>1</v>
      </c>
      <c r="B17" s="409">
        <v>5490</v>
      </c>
      <c r="C17" s="409">
        <v>600099474</v>
      </c>
      <c r="D17" s="409">
        <v>71173854</v>
      </c>
      <c r="E17" s="410" t="s">
        <v>483</v>
      </c>
      <c r="F17" s="409">
        <v>3141</v>
      </c>
      <c r="G17" s="412" t="s">
        <v>316</v>
      </c>
      <c r="H17" s="318" t="s">
        <v>279</v>
      </c>
      <c r="I17" s="494">
        <v>1869270</v>
      </c>
      <c r="J17" s="489">
        <v>1369197</v>
      </c>
      <c r="K17" s="489">
        <v>0</v>
      </c>
      <c r="L17" s="489">
        <v>462789</v>
      </c>
      <c r="M17" s="489">
        <v>27384</v>
      </c>
      <c r="N17" s="489">
        <v>9900</v>
      </c>
      <c r="O17" s="490">
        <v>4.3099999999999996</v>
      </c>
      <c r="P17" s="491">
        <v>0</v>
      </c>
      <c r="Q17" s="500">
        <v>4.3099999999999996</v>
      </c>
      <c r="R17" s="502">
        <f t="shared" si="10"/>
        <v>0</v>
      </c>
      <c r="S17" s="492">
        <v>0</v>
      </c>
      <c r="T17" s="492">
        <v>0</v>
      </c>
      <c r="U17" s="492">
        <v>0</v>
      </c>
      <c r="V17" s="492">
        <f t="shared" si="11"/>
        <v>0</v>
      </c>
      <c r="W17" s="492">
        <v>0</v>
      </c>
      <c r="X17" s="492">
        <v>0</v>
      </c>
      <c r="Y17" s="492">
        <v>0</v>
      </c>
      <c r="Z17" s="492">
        <f t="shared" si="0"/>
        <v>0</v>
      </c>
      <c r="AA17" s="492">
        <f t="shared" si="1"/>
        <v>0</v>
      </c>
      <c r="AB17" s="74">
        <f t="shared" si="2"/>
        <v>0</v>
      </c>
      <c r="AC17" s="74">
        <f t="shared" si="3"/>
        <v>0</v>
      </c>
      <c r="AD17" s="492">
        <v>0</v>
      </c>
      <c r="AE17" s="492">
        <v>0</v>
      </c>
      <c r="AF17" s="492">
        <f t="shared" si="12"/>
        <v>0</v>
      </c>
      <c r="AG17" s="492">
        <f t="shared" si="13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14"/>
        <v>0</v>
      </c>
      <c r="AP17" s="493">
        <f t="shared" si="15"/>
        <v>0</v>
      </c>
      <c r="AQ17" s="495">
        <f t="shared" si="16"/>
        <v>0</v>
      </c>
      <c r="AR17" s="501">
        <f t="shared" si="4"/>
        <v>1869270</v>
      </c>
      <c r="AS17" s="492">
        <f t="shared" si="5"/>
        <v>1369197</v>
      </c>
      <c r="AT17" s="492">
        <f t="shared" si="17"/>
        <v>0</v>
      </c>
      <c r="AU17" s="492">
        <f t="shared" si="6"/>
        <v>462789</v>
      </c>
      <c r="AV17" s="492">
        <f t="shared" si="6"/>
        <v>27384</v>
      </c>
      <c r="AW17" s="492">
        <f t="shared" si="7"/>
        <v>9900</v>
      </c>
      <c r="AX17" s="493">
        <f t="shared" si="8"/>
        <v>4.3099999999999996</v>
      </c>
      <c r="AY17" s="493">
        <f t="shared" si="9"/>
        <v>0</v>
      </c>
      <c r="AZ17" s="495">
        <f t="shared" si="9"/>
        <v>4.3099999999999996</v>
      </c>
    </row>
    <row r="18" spans="1:52" ht="12.95" customHeight="1" x14ac:dyDescent="0.25">
      <c r="A18" s="230">
        <v>1</v>
      </c>
      <c r="B18" s="50">
        <v>5490</v>
      </c>
      <c r="C18" s="50">
        <v>600099474</v>
      </c>
      <c r="D18" s="50">
        <v>71173854</v>
      </c>
      <c r="E18" s="413" t="s">
        <v>484</v>
      </c>
      <c r="F18" s="50"/>
      <c r="G18" s="413"/>
      <c r="H18" s="194"/>
      <c r="I18" s="635">
        <v>27954246</v>
      </c>
      <c r="J18" s="631">
        <v>20494217</v>
      </c>
      <c r="K18" s="631">
        <v>0</v>
      </c>
      <c r="L18" s="631">
        <v>6927045</v>
      </c>
      <c r="M18" s="631">
        <v>409884</v>
      </c>
      <c r="N18" s="631">
        <v>123100</v>
      </c>
      <c r="O18" s="632">
        <v>47.328799999999994</v>
      </c>
      <c r="P18" s="632">
        <v>35.129999999999995</v>
      </c>
      <c r="Q18" s="637">
        <v>12.198799999999999</v>
      </c>
      <c r="R18" s="635">
        <f t="shared" ref="R18:AZ18" si="18">SUM(R12:R17)</f>
        <v>0</v>
      </c>
      <c r="S18" s="631">
        <f t="shared" si="18"/>
        <v>0</v>
      </c>
      <c r="T18" s="631">
        <f t="shared" si="18"/>
        <v>0</v>
      </c>
      <c r="U18" s="631">
        <f t="shared" si="18"/>
        <v>0</v>
      </c>
      <c r="V18" s="631">
        <f t="shared" si="18"/>
        <v>0</v>
      </c>
      <c r="W18" s="631">
        <f t="shared" si="18"/>
        <v>0</v>
      </c>
      <c r="X18" s="631">
        <f t="shared" si="18"/>
        <v>0</v>
      </c>
      <c r="Y18" s="631">
        <f t="shared" si="18"/>
        <v>0</v>
      </c>
      <c r="Z18" s="631">
        <f t="shared" si="18"/>
        <v>0</v>
      </c>
      <c r="AA18" s="631">
        <f t="shared" si="18"/>
        <v>0</v>
      </c>
      <c r="AB18" s="631">
        <f t="shared" si="18"/>
        <v>0</v>
      </c>
      <c r="AC18" s="631">
        <f t="shared" si="18"/>
        <v>0</v>
      </c>
      <c r="AD18" s="631">
        <f t="shared" si="18"/>
        <v>0</v>
      </c>
      <c r="AE18" s="631">
        <f t="shared" si="18"/>
        <v>0</v>
      </c>
      <c r="AF18" s="631">
        <f t="shared" si="18"/>
        <v>0</v>
      </c>
      <c r="AG18" s="631">
        <f t="shared" si="18"/>
        <v>0</v>
      </c>
      <c r="AH18" s="632">
        <f t="shared" si="18"/>
        <v>0</v>
      </c>
      <c r="AI18" s="632">
        <f t="shared" si="18"/>
        <v>0</v>
      </c>
      <c r="AJ18" s="632">
        <f t="shared" si="18"/>
        <v>0</v>
      </c>
      <c r="AK18" s="632">
        <f t="shared" si="18"/>
        <v>0</v>
      </c>
      <c r="AL18" s="632">
        <f t="shared" si="18"/>
        <v>0</v>
      </c>
      <c r="AM18" s="632">
        <f t="shared" si="18"/>
        <v>0</v>
      </c>
      <c r="AN18" s="632">
        <f t="shared" si="18"/>
        <v>0</v>
      </c>
      <c r="AO18" s="632">
        <f t="shared" si="18"/>
        <v>0</v>
      </c>
      <c r="AP18" s="632">
        <f t="shared" si="18"/>
        <v>0</v>
      </c>
      <c r="AQ18" s="414">
        <f t="shared" si="18"/>
        <v>0</v>
      </c>
      <c r="AR18" s="639">
        <f t="shared" si="18"/>
        <v>27954246</v>
      </c>
      <c r="AS18" s="631">
        <f t="shared" si="18"/>
        <v>20494217</v>
      </c>
      <c r="AT18" s="631">
        <f t="shared" si="18"/>
        <v>0</v>
      </c>
      <c r="AU18" s="631">
        <f t="shared" si="18"/>
        <v>6927045</v>
      </c>
      <c r="AV18" s="631">
        <f t="shared" si="18"/>
        <v>409884</v>
      </c>
      <c r="AW18" s="631">
        <f t="shared" si="18"/>
        <v>123100</v>
      </c>
      <c r="AX18" s="632">
        <f t="shared" si="18"/>
        <v>47.328799999999994</v>
      </c>
      <c r="AY18" s="632">
        <f t="shared" si="18"/>
        <v>35.129999999999995</v>
      </c>
      <c r="AZ18" s="414">
        <f t="shared" si="18"/>
        <v>12.198799999999999</v>
      </c>
    </row>
    <row r="19" spans="1:52" ht="12.95" customHeight="1" x14ac:dyDescent="0.25">
      <c r="A19" s="313">
        <v>2</v>
      </c>
      <c r="B19" s="415">
        <v>5460</v>
      </c>
      <c r="C19" s="415">
        <v>600098621</v>
      </c>
      <c r="D19" s="415">
        <v>72743549</v>
      </c>
      <c r="E19" s="228" t="s">
        <v>485</v>
      </c>
      <c r="F19" s="415">
        <v>3111</v>
      </c>
      <c r="G19" s="412" t="s">
        <v>326</v>
      </c>
      <c r="H19" s="416" t="s">
        <v>278</v>
      </c>
      <c r="I19" s="494">
        <v>5239970</v>
      </c>
      <c r="J19" s="489">
        <v>3802051</v>
      </c>
      <c r="K19" s="489">
        <v>32500</v>
      </c>
      <c r="L19" s="489">
        <v>1296078</v>
      </c>
      <c r="M19" s="489">
        <v>76041</v>
      </c>
      <c r="N19" s="489">
        <v>33300</v>
      </c>
      <c r="O19" s="490">
        <v>8.129999999999999</v>
      </c>
      <c r="P19" s="491">
        <v>6</v>
      </c>
      <c r="Q19" s="500">
        <v>2.13</v>
      </c>
      <c r="R19" s="502">
        <f t="shared" si="10"/>
        <v>0</v>
      </c>
      <c r="S19" s="492">
        <v>0</v>
      </c>
      <c r="T19" s="492">
        <v>0</v>
      </c>
      <c r="U19" s="492">
        <v>0</v>
      </c>
      <c r="V19" s="492">
        <f t="shared" si="11"/>
        <v>0</v>
      </c>
      <c r="W19" s="713">
        <v>0</v>
      </c>
      <c r="X19" s="492">
        <v>0</v>
      </c>
      <c r="Y19" s="492">
        <v>0</v>
      </c>
      <c r="Z19" s="492">
        <f>SUM(W19:Y19)</f>
        <v>0</v>
      </c>
      <c r="AA19" s="492">
        <f>V19+Z19</f>
        <v>0</v>
      </c>
      <c r="AB19" s="74">
        <f>ROUND((V19+W19+X19)*33.8%,0)</f>
        <v>0</v>
      </c>
      <c r="AC19" s="74">
        <f>ROUND(V19*2%,0)</f>
        <v>0</v>
      </c>
      <c r="AD19" s="492">
        <v>0</v>
      </c>
      <c r="AE19" s="492">
        <v>0</v>
      </c>
      <c r="AF19" s="492">
        <f t="shared" si="12"/>
        <v>0</v>
      </c>
      <c r="AG19" s="492">
        <f t="shared" si="13"/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>AH19+AJ19+AM19</f>
        <v>0</v>
      </c>
      <c r="AP19" s="493">
        <f>AI19+AN19</f>
        <v>0</v>
      </c>
      <c r="AQ19" s="495">
        <f t="shared" si="16"/>
        <v>0</v>
      </c>
      <c r="AR19" s="501">
        <f>I19+AG19</f>
        <v>5239970</v>
      </c>
      <c r="AS19" s="492">
        <f>J19+V19</f>
        <v>3802051</v>
      </c>
      <c r="AT19" s="492">
        <f t="shared" ref="AT19:AT21" si="19">K19+Z19</f>
        <v>32500</v>
      </c>
      <c r="AU19" s="492">
        <f t="shared" ref="AU19:AV21" si="20">L19+AB19</f>
        <v>1296078</v>
      </c>
      <c r="AV19" s="492">
        <f t="shared" si="20"/>
        <v>76041</v>
      </c>
      <c r="AW19" s="492">
        <f>N19+AF19</f>
        <v>33300</v>
      </c>
      <c r="AX19" s="493">
        <f>O19+AQ19</f>
        <v>8.129999999999999</v>
      </c>
      <c r="AY19" s="493">
        <f t="shared" ref="AY19:AZ21" si="21">P19+AO19</f>
        <v>6</v>
      </c>
      <c r="AZ19" s="495">
        <f t="shared" si="21"/>
        <v>2.13</v>
      </c>
    </row>
    <row r="20" spans="1:52" ht="12.95" customHeight="1" x14ac:dyDescent="0.25">
      <c r="A20" s="313">
        <v>2</v>
      </c>
      <c r="B20" s="229">
        <v>5460</v>
      </c>
      <c r="C20" s="229">
        <v>600098621</v>
      </c>
      <c r="D20" s="229">
        <v>72743549</v>
      </c>
      <c r="E20" s="411" t="s">
        <v>485</v>
      </c>
      <c r="F20" s="415">
        <v>3111</v>
      </c>
      <c r="G20" s="356" t="s">
        <v>313</v>
      </c>
      <c r="H20" s="318" t="s">
        <v>279</v>
      </c>
      <c r="I20" s="494">
        <v>470471</v>
      </c>
      <c r="J20" s="489">
        <v>346444</v>
      </c>
      <c r="K20" s="489">
        <v>0</v>
      </c>
      <c r="L20" s="489">
        <v>117098</v>
      </c>
      <c r="M20" s="489">
        <v>6929</v>
      </c>
      <c r="N20" s="489">
        <v>0</v>
      </c>
      <c r="O20" s="490">
        <v>1</v>
      </c>
      <c r="P20" s="491">
        <v>1</v>
      </c>
      <c r="Q20" s="500">
        <v>0</v>
      </c>
      <c r="R20" s="502">
        <f t="shared" si="10"/>
        <v>0</v>
      </c>
      <c r="S20" s="492">
        <v>0</v>
      </c>
      <c r="T20" s="492">
        <v>0</v>
      </c>
      <c r="U20" s="492">
        <v>0</v>
      </c>
      <c r="V20" s="492">
        <f t="shared" si="11"/>
        <v>0</v>
      </c>
      <c r="W20" s="492">
        <v>0</v>
      </c>
      <c r="X20" s="492">
        <v>0</v>
      </c>
      <c r="Y20" s="492">
        <v>0</v>
      </c>
      <c r="Z20" s="492">
        <f>SUM(W20:Y20)</f>
        <v>0</v>
      </c>
      <c r="AA20" s="492">
        <f>V20+Z20</f>
        <v>0</v>
      </c>
      <c r="AB20" s="74">
        <f>ROUND((V20+W20+X20)*33.8%,0)</f>
        <v>0</v>
      </c>
      <c r="AC20" s="74">
        <f>ROUND(V20*2%,0)</f>
        <v>0</v>
      </c>
      <c r="AD20" s="492">
        <v>0</v>
      </c>
      <c r="AE20" s="492">
        <v>0</v>
      </c>
      <c r="AF20" s="492">
        <f t="shared" si="12"/>
        <v>0</v>
      </c>
      <c r="AG20" s="492">
        <f t="shared" si="13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>AH20+AJ20+AM20</f>
        <v>0</v>
      </c>
      <c r="AP20" s="493">
        <f>AI20+AN20</f>
        <v>0</v>
      </c>
      <c r="AQ20" s="495">
        <f t="shared" si="16"/>
        <v>0</v>
      </c>
      <c r="AR20" s="501">
        <f>I20+AG20</f>
        <v>470471</v>
      </c>
      <c r="AS20" s="492">
        <f>J20+V20</f>
        <v>346444</v>
      </c>
      <c r="AT20" s="492">
        <f t="shared" si="19"/>
        <v>0</v>
      </c>
      <c r="AU20" s="492">
        <f t="shared" si="20"/>
        <v>117098</v>
      </c>
      <c r="AV20" s="492">
        <f t="shared" si="20"/>
        <v>6929</v>
      </c>
      <c r="AW20" s="492">
        <f>N20+AF20</f>
        <v>0</v>
      </c>
      <c r="AX20" s="493">
        <f>O20+AQ20</f>
        <v>1</v>
      </c>
      <c r="AY20" s="493">
        <f t="shared" si="21"/>
        <v>1</v>
      </c>
      <c r="AZ20" s="495">
        <f t="shared" si="21"/>
        <v>0</v>
      </c>
    </row>
    <row r="21" spans="1:52" ht="12.95" customHeight="1" x14ac:dyDescent="0.25">
      <c r="A21" s="313">
        <v>2</v>
      </c>
      <c r="B21" s="229">
        <v>5460</v>
      </c>
      <c r="C21" s="229">
        <v>600098621</v>
      </c>
      <c r="D21" s="229">
        <v>72743549</v>
      </c>
      <c r="E21" s="411" t="s">
        <v>485</v>
      </c>
      <c r="F21" s="229">
        <v>3141</v>
      </c>
      <c r="G21" s="412" t="s">
        <v>316</v>
      </c>
      <c r="H21" s="318" t="s">
        <v>279</v>
      </c>
      <c r="I21" s="494">
        <v>896607</v>
      </c>
      <c r="J21" s="489">
        <v>657080</v>
      </c>
      <c r="K21" s="489">
        <v>0</v>
      </c>
      <c r="L21" s="489">
        <v>222093</v>
      </c>
      <c r="M21" s="489">
        <v>13142</v>
      </c>
      <c r="N21" s="489">
        <v>4292</v>
      </c>
      <c r="O21" s="490">
        <v>2.0699999999999998</v>
      </c>
      <c r="P21" s="491">
        <v>0</v>
      </c>
      <c r="Q21" s="500">
        <v>2.0699999999999998</v>
      </c>
      <c r="R21" s="502">
        <f t="shared" si="10"/>
        <v>0</v>
      </c>
      <c r="S21" s="492">
        <v>0</v>
      </c>
      <c r="T21" s="492">
        <v>0</v>
      </c>
      <c r="U21" s="492">
        <v>0</v>
      </c>
      <c r="V21" s="492">
        <f t="shared" si="11"/>
        <v>0</v>
      </c>
      <c r="W21" s="492">
        <v>0</v>
      </c>
      <c r="X21" s="492">
        <v>0</v>
      </c>
      <c r="Y21" s="492">
        <v>0</v>
      </c>
      <c r="Z21" s="492">
        <f>SUM(W21:Y21)</f>
        <v>0</v>
      </c>
      <c r="AA21" s="492">
        <f>V21+Z21</f>
        <v>0</v>
      </c>
      <c r="AB21" s="74">
        <f>ROUND((V21+W21+X21)*33.8%,0)</f>
        <v>0</v>
      </c>
      <c r="AC21" s="74">
        <f>ROUND(V21*2%,0)</f>
        <v>0</v>
      </c>
      <c r="AD21" s="492">
        <v>0</v>
      </c>
      <c r="AE21" s="492">
        <v>0</v>
      </c>
      <c r="AF21" s="492">
        <f t="shared" si="12"/>
        <v>0</v>
      </c>
      <c r="AG21" s="492">
        <f t="shared" si="13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>AH21+AJ21+AM21</f>
        <v>0</v>
      </c>
      <c r="AP21" s="493">
        <f>AI21+AN21</f>
        <v>0</v>
      </c>
      <c r="AQ21" s="495">
        <f t="shared" si="16"/>
        <v>0</v>
      </c>
      <c r="AR21" s="501">
        <f>I21+AG21</f>
        <v>896607</v>
      </c>
      <c r="AS21" s="492">
        <f>J21+V21</f>
        <v>657080</v>
      </c>
      <c r="AT21" s="492">
        <f t="shared" si="19"/>
        <v>0</v>
      </c>
      <c r="AU21" s="492">
        <f t="shared" si="20"/>
        <v>222093</v>
      </c>
      <c r="AV21" s="492">
        <f t="shared" si="20"/>
        <v>13142</v>
      </c>
      <c r="AW21" s="492">
        <f>N21+AF21</f>
        <v>4292</v>
      </c>
      <c r="AX21" s="493">
        <f>O21+AQ21</f>
        <v>2.0699999999999998</v>
      </c>
      <c r="AY21" s="493">
        <f t="shared" si="21"/>
        <v>0</v>
      </c>
      <c r="AZ21" s="495">
        <f t="shared" si="21"/>
        <v>2.0699999999999998</v>
      </c>
    </row>
    <row r="22" spans="1:52" ht="12.95" customHeight="1" x14ac:dyDescent="0.25">
      <c r="A22" s="230">
        <v>2</v>
      </c>
      <c r="B22" s="50">
        <v>5460</v>
      </c>
      <c r="C22" s="50">
        <v>600098621</v>
      </c>
      <c r="D22" s="50">
        <v>72743549</v>
      </c>
      <c r="E22" s="413" t="s">
        <v>486</v>
      </c>
      <c r="F22" s="50"/>
      <c r="G22" s="413"/>
      <c r="H22" s="194"/>
      <c r="I22" s="584">
        <v>6607048</v>
      </c>
      <c r="J22" s="580">
        <v>4805575</v>
      </c>
      <c r="K22" s="580">
        <v>32500</v>
      </c>
      <c r="L22" s="580">
        <v>1635269</v>
      </c>
      <c r="M22" s="580">
        <v>96112</v>
      </c>
      <c r="N22" s="580">
        <v>37592</v>
      </c>
      <c r="O22" s="581">
        <v>11.2</v>
      </c>
      <c r="P22" s="581">
        <v>7</v>
      </c>
      <c r="Q22" s="586">
        <v>4.1999999999999993</v>
      </c>
      <c r="R22" s="584">
        <f t="shared" ref="R22:AZ22" si="22">SUM(R19:R21)</f>
        <v>0</v>
      </c>
      <c r="S22" s="580">
        <f t="shared" si="22"/>
        <v>0</v>
      </c>
      <c r="T22" s="580">
        <f t="shared" si="22"/>
        <v>0</v>
      </c>
      <c r="U22" s="580">
        <f t="shared" si="22"/>
        <v>0</v>
      </c>
      <c r="V22" s="580">
        <f t="shared" si="22"/>
        <v>0</v>
      </c>
      <c r="W22" s="580">
        <f t="shared" si="22"/>
        <v>0</v>
      </c>
      <c r="X22" s="580">
        <f t="shared" si="22"/>
        <v>0</v>
      </c>
      <c r="Y22" s="580">
        <f t="shared" si="22"/>
        <v>0</v>
      </c>
      <c r="Z22" s="580">
        <f t="shared" si="22"/>
        <v>0</v>
      </c>
      <c r="AA22" s="580">
        <f t="shared" si="22"/>
        <v>0</v>
      </c>
      <c r="AB22" s="580">
        <f t="shared" si="22"/>
        <v>0</v>
      </c>
      <c r="AC22" s="580">
        <f t="shared" si="22"/>
        <v>0</v>
      </c>
      <c r="AD22" s="580">
        <f t="shared" si="22"/>
        <v>0</v>
      </c>
      <c r="AE22" s="580">
        <f t="shared" si="22"/>
        <v>0</v>
      </c>
      <c r="AF22" s="580">
        <f t="shared" si="22"/>
        <v>0</v>
      </c>
      <c r="AG22" s="580">
        <f t="shared" si="22"/>
        <v>0</v>
      </c>
      <c r="AH22" s="581">
        <f t="shared" si="22"/>
        <v>0</v>
      </c>
      <c r="AI22" s="581">
        <f t="shared" si="22"/>
        <v>0</v>
      </c>
      <c r="AJ22" s="581">
        <f t="shared" si="22"/>
        <v>0</v>
      </c>
      <c r="AK22" s="581">
        <f t="shared" si="22"/>
        <v>0</v>
      </c>
      <c r="AL22" s="581">
        <f t="shared" si="22"/>
        <v>0</v>
      </c>
      <c r="AM22" s="581">
        <f t="shared" si="22"/>
        <v>0</v>
      </c>
      <c r="AN22" s="581">
        <f t="shared" si="22"/>
        <v>0</v>
      </c>
      <c r="AO22" s="581">
        <f t="shared" si="22"/>
        <v>0</v>
      </c>
      <c r="AP22" s="581">
        <f t="shared" si="22"/>
        <v>0</v>
      </c>
      <c r="AQ22" s="312">
        <f t="shared" si="22"/>
        <v>0</v>
      </c>
      <c r="AR22" s="588">
        <f t="shared" si="22"/>
        <v>6607048</v>
      </c>
      <c r="AS22" s="580">
        <f t="shared" si="22"/>
        <v>4805575</v>
      </c>
      <c r="AT22" s="580">
        <f t="shared" si="22"/>
        <v>32500</v>
      </c>
      <c r="AU22" s="580">
        <f t="shared" si="22"/>
        <v>1635269</v>
      </c>
      <c r="AV22" s="580">
        <f t="shared" si="22"/>
        <v>96112</v>
      </c>
      <c r="AW22" s="580">
        <f t="shared" si="22"/>
        <v>37592</v>
      </c>
      <c r="AX22" s="581">
        <f t="shared" si="22"/>
        <v>11.2</v>
      </c>
      <c r="AY22" s="581">
        <f t="shared" si="22"/>
        <v>7</v>
      </c>
      <c r="AZ22" s="312">
        <f t="shared" si="22"/>
        <v>4.1999999999999993</v>
      </c>
    </row>
    <row r="23" spans="1:52" ht="12.95" customHeight="1" x14ac:dyDescent="0.25">
      <c r="A23" s="313">
        <v>3</v>
      </c>
      <c r="B23" s="415">
        <v>5462</v>
      </c>
      <c r="C23" s="415">
        <v>600098851</v>
      </c>
      <c r="D23" s="415">
        <v>72743620</v>
      </c>
      <c r="E23" s="228" t="s">
        <v>487</v>
      </c>
      <c r="F23" s="415">
        <v>3111</v>
      </c>
      <c r="G23" s="412" t="s">
        <v>326</v>
      </c>
      <c r="H23" s="318" t="s">
        <v>278</v>
      </c>
      <c r="I23" s="494">
        <v>4749237</v>
      </c>
      <c r="J23" s="489">
        <v>3479998</v>
      </c>
      <c r="K23" s="489">
        <v>0</v>
      </c>
      <c r="L23" s="489">
        <v>1176239</v>
      </c>
      <c r="M23" s="489">
        <v>69600</v>
      </c>
      <c r="N23" s="489">
        <v>23400</v>
      </c>
      <c r="O23" s="490">
        <v>7.9841999999999995</v>
      </c>
      <c r="P23" s="491">
        <v>6</v>
      </c>
      <c r="Q23" s="500">
        <v>1.9842</v>
      </c>
      <c r="R23" s="502">
        <f t="shared" si="10"/>
        <v>0</v>
      </c>
      <c r="S23" s="492">
        <v>0</v>
      </c>
      <c r="T23" s="492">
        <v>0</v>
      </c>
      <c r="U23" s="492">
        <v>0</v>
      </c>
      <c r="V23" s="492">
        <f t="shared" si="11"/>
        <v>0</v>
      </c>
      <c r="W23" s="492">
        <v>0</v>
      </c>
      <c r="X23" s="492">
        <v>0</v>
      </c>
      <c r="Y23" s="492">
        <v>0</v>
      </c>
      <c r="Z23" s="492">
        <f>SUM(W23:Y23)</f>
        <v>0</v>
      </c>
      <c r="AA23" s="492">
        <f>V23+Z23</f>
        <v>0</v>
      </c>
      <c r="AB23" s="74">
        <f>ROUND((V23+W23+X23)*33.8%,0)</f>
        <v>0</v>
      </c>
      <c r="AC23" s="74">
        <f>ROUND(V23*2%,0)</f>
        <v>0</v>
      </c>
      <c r="AD23" s="492">
        <v>0</v>
      </c>
      <c r="AE23" s="492">
        <v>0</v>
      </c>
      <c r="AF23" s="492">
        <f t="shared" si="12"/>
        <v>0</v>
      </c>
      <c r="AG23" s="492">
        <f t="shared" si="13"/>
        <v>0</v>
      </c>
      <c r="AH23" s="493">
        <v>0</v>
      </c>
      <c r="AI23" s="493">
        <v>0</v>
      </c>
      <c r="AJ23" s="493">
        <v>0</v>
      </c>
      <c r="AK23" s="493">
        <v>0</v>
      </c>
      <c r="AL23" s="493">
        <v>0</v>
      </c>
      <c r="AM23" s="493">
        <v>0</v>
      </c>
      <c r="AN23" s="493">
        <v>0</v>
      </c>
      <c r="AO23" s="493">
        <f>AH23+AJ23+AM23</f>
        <v>0</v>
      </c>
      <c r="AP23" s="493">
        <f>AI23+AN23</f>
        <v>0</v>
      </c>
      <c r="AQ23" s="495">
        <f t="shared" si="16"/>
        <v>0</v>
      </c>
      <c r="AR23" s="501">
        <f>I23+AG23</f>
        <v>4749237</v>
      </c>
      <c r="AS23" s="492">
        <f>J23+V23</f>
        <v>3479998</v>
      </c>
      <c r="AT23" s="492">
        <f t="shared" ref="AT23:AT25" si="23">K23+Z23</f>
        <v>0</v>
      </c>
      <c r="AU23" s="492">
        <f t="shared" ref="AU23:AV25" si="24">L23+AB23</f>
        <v>1176239</v>
      </c>
      <c r="AV23" s="492">
        <f t="shared" si="24"/>
        <v>69600</v>
      </c>
      <c r="AW23" s="492">
        <f>N23+AF23</f>
        <v>23400</v>
      </c>
      <c r="AX23" s="493">
        <f>O23+AQ23</f>
        <v>7.9841999999999995</v>
      </c>
      <c r="AY23" s="493">
        <f t="shared" ref="AY23:AZ25" si="25">P23+AO23</f>
        <v>6</v>
      </c>
      <c r="AZ23" s="495">
        <f t="shared" si="25"/>
        <v>1.9842</v>
      </c>
    </row>
    <row r="24" spans="1:52" ht="12.95" customHeight="1" x14ac:dyDescent="0.25">
      <c r="A24" s="313">
        <v>3</v>
      </c>
      <c r="B24" s="415">
        <v>5462</v>
      </c>
      <c r="C24" s="415">
        <v>600098851</v>
      </c>
      <c r="D24" s="415">
        <v>72743620</v>
      </c>
      <c r="E24" s="228" t="s">
        <v>487</v>
      </c>
      <c r="F24" s="415">
        <v>3111</v>
      </c>
      <c r="G24" s="412" t="s">
        <v>313</v>
      </c>
      <c r="H24" s="318" t="s">
        <v>279</v>
      </c>
      <c r="I24" s="494">
        <v>0</v>
      </c>
      <c r="J24" s="489">
        <v>0</v>
      </c>
      <c r="K24" s="489">
        <v>0</v>
      </c>
      <c r="L24" s="489">
        <v>0</v>
      </c>
      <c r="M24" s="489">
        <v>0</v>
      </c>
      <c r="N24" s="489">
        <v>0</v>
      </c>
      <c r="O24" s="490">
        <v>0</v>
      </c>
      <c r="P24" s="491">
        <v>0</v>
      </c>
      <c r="Q24" s="500">
        <v>0</v>
      </c>
      <c r="R24" s="502">
        <f t="shared" si="10"/>
        <v>0</v>
      </c>
      <c r="S24" s="492">
        <v>0</v>
      </c>
      <c r="T24" s="492">
        <v>0</v>
      </c>
      <c r="U24" s="492">
        <v>0</v>
      </c>
      <c r="V24" s="492">
        <f t="shared" si="11"/>
        <v>0</v>
      </c>
      <c r="W24" s="492">
        <v>0</v>
      </c>
      <c r="X24" s="492">
        <v>0</v>
      </c>
      <c r="Y24" s="492">
        <v>0</v>
      </c>
      <c r="Z24" s="492">
        <f>SUM(W24:Y24)</f>
        <v>0</v>
      </c>
      <c r="AA24" s="492">
        <f>V24+Z24</f>
        <v>0</v>
      </c>
      <c r="AB24" s="74">
        <f>ROUND((V24+W24+X24)*33.8%,0)</f>
        <v>0</v>
      </c>
      <c r="AC24" s="74">
        <f>ROUND(V24*2%,0)</f>
        <v>0</v>
      </c>
      <c r="AD24" s="492">
        <v>0</v>
      </c>
      <c r="AE24" s="492">
        <v>0</v>
      </c>
      <c r="AF24" s="492">
        <f t="shared" si="12"/>
        <v>0</v>
      </c>
      <c r="AG24" s="492">
        <f t="shared" si="13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>AH24+AJ24+AM24</f>
        <v>0</v>
      </c>
      <c r="AP24" s="493">
        <f>AI24+AN24</f>
        <v>0</v>
      </c>
      <c r="AQ24" s="495">
        <f t="shared" si="16"/>
        <v>0</v>
      </c>
      <c r="AR24" s="501">
        <f>I24+AG24</f>
        <v>0</v>
      </c>
      <c r="AS24" s="492">
        <f>J24+V24</f>
        <v>0</v>
      </c>
      <c r="AT24" s="492">
        <f t="shared" si="23"/>
        <v>0</v>
      </c>
      <c r="AU24" s="492">
        <f t="shared" si="24"/>
        <v>0</v>
      </c>
      <c r="AV24" s="492">
        <f t="shared" si="24"/>
        <v>0</v>
      </c>
      <c r="AW24" s="492">
        <f>N24+AF24</f>
        <v>0</v>
      </c>
      <c r="AX24" s="493">
        <f>O24+AQ24</f>
        <v>0</v>
      </c>
      <c r="AY24" s="493">
        <f t="shared" si="25"/>
        <v>0</v>
      </c>
      <c r="AZ24" s="495">
        <f t="shared" si="25"/>
        <v>0</v>
      </c>
    </row>
    <row r="25" spans="1:52" ht="12.95" customHeight="1" x14ac:dyDescent="0.25">
      <c r="A25" s="313">
        <v>3</v>
      </c>
      <c r="B25" s="415">
        <v>5462</v>
      </c>
      <c r="C25" s="415">
        <v>600098851</v>
      </c>
      <c r="D25" s="415">
        <v>72743620</v>
      </c>
      <c r="E25" s="228" t="s">
        <v>487</v>
      </c>
      <c r="F25" s="415">
        <v>3141</v>
      </c>
      <c r="G25" s="412" t="s">
        <v>316</v>
      </c>
      <c r="H25" s="318" t="s">
        <v>279</v>
      </c>
      <c r="I25" s="494">
        <v>706361</v>
      </c>
      <c r="J25" s="489">
        <v>517927</v>
      </c>
      <c r="K25" s="489">
        <v>0</v>
      </c>
      <c r="L25" s="489">
        <v>175059</v>
      </c>
      <c r="M25" s="489">
        <v>10359</v>
      </c>
      <c r="N25" s="489">
        <v>3016</v>
      </c>
      <c r="O25" s="490">
        <v>1.63</v>
      </c>
      <c r="P25" s="491">
        <v>0</v>
      </c>
      <c r="Q25" s="500">
        <v>1.63</v>
      </c>
      <c r="R25" s="502">
        <f t="shared" si="10"/>
        <v>0</v>
      </c>
      <c r="S25" s="492">
        <v>0</v>
      </c>
      <c r="T25" s="492">
        <v>0</v>
      </c>
      <c r="U25" s="492">
        <v>0</v>
      </c>
      <c r="V25" s="492">
        <f t="shared" si="11"/>
        <v>0</v>
      </c>
      <c r="W25" s="492">
        <v>0</v>
      </c>
      <c r="X25" s="492">
        <v>0</v>
      </c>
      <c r="Y25" s="492">
        <v>0</v>
      </c>
      <c r="Z25" s="492">
        <f>SUM(W25:Y25)</f>
        <v>0</v>
      </c>
      <c r="AA25" s="492">
        <f>V25+Z25</f>
        <v>0</v>
      </c>
      <c r="AB25" s="74">
        <f>ROUND((V25+W25+X25)*33.8%,0)</f>
        <v>0</v>
      </c>
      <c r="AC25" s="74">
        <f>ROUND(V25*2%,0)</f>
        <v>0</v>
      </c>
      <c r="AD25" s="492">
        <v>0</v>
      </c>
      <c r="AE25" s="492">
        <v>0</v>
      </c>
      <c r="AF25" s="492">
        <f t="shared" si="12"/>
        <v>0</v>
      </c>
      <c r="AG25" s="492">
        <f t="shared" si="13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>AH25+AJ25+AM25</f>
        <v>0</v>
      </c>
      <c r="AP25" s="493">
        <f>AI25+AN25</f>
        <v>0</v>
      </c>
      <c r="AQ25" s="495">
        <f t="shared" si="16"/>
        <v>0</v>
      </c>
      <c r="AR25" s="501">
        <f>I25+AG25</f>
        <v>706361</v>
      </c>
      <c r="AS25" s="492">
        <f>J25+V25</f>
        <v>517927</v>
      </c>
      <c r="AT25" s="492">
        <f t="shared" si="23"/>
        <v>0</v>
      </c>
      <c r="AU25" s="492">
        <f t="shared" si="24"/>
        <v>175059</v>
      </c>
      <c r="AV25" s="492">
        <f t="shared" si="24"/>
        <v>10359</v>
      </c>
      <c r="AW25" s="492">
        <f>N25+AF25</f>
        <v>3016</v>
      </c>
      <c r="AX25" s="493">
        <f>O25+AQ25</f>
        <v>1.63</v>
      </c>
      <c r="AY25" s="493">
        <f t="shared" si="25"/>
        <v>0</v>
      </c>
      <c r="AZ25" s="495">
        <f t="shared" si="25"/>
        <v>1.63</v>
      </c>
    </row>
    <row r="26" spans="1:52" ht="12.95" customHeight="1" x14ac:dyDescent="0.25">
      <c r="A26" s="230">
        <v>3</v>
      </c>
      <c r="B26" s="51">
        <v>5462</v>
      </c>
      <c r="C26" s="51">
        <v>600098851</v>
      </c>
      <c r="D26" s="51">
        <v>72743620</v>
      </c>
      <c r="E26" s="417" t="s">
        <v>488</v>
      </c>
      <c r="F26" s="51"/>
      <c r="G26" s="417"/>
      <c r="H26" s="195"/>
      <c r="I26" s="636">
        <v>5455598</v>
      </c>
      <c r="J26" s="633">
        <v>3997925</v>
      </c>
      <c r="K26" s="633">
        <v>0</v>
      </c>
      <c r="L26" s="633">
        <v>1351298</v>
      </c>
      <c r="M26" s="633">
        <v>79959</v>
      </c>
      <c r="N26" s="633">
        <v>26416</v>
      </c>
      <c r="O26" s="634">
        <v>9.6142000000000003</v>
      </c>
      <c r="P26" s="634">
        <v>6</v>
      </c>
      <c r="Q26" s="638">
        <v>3.6141999999999999</v>
      </c>
      <c r="R26" s="636">
        <f t="shared" ref="R26:AZ26" si="26">SUM(R23:R25)</f>
        <v>0</v>
      </c>
      <c r="S26" s="633">
        <f t="shared" si="26"/>
        <v>0</v>
      </c>
      <c r="T26" s="633">
        <f t="shared" si="26"/>
        <v>0</v>
      </c>
      <c r="U26" s="633">
        <f t="shared" si="26"/>
        <v>0</v>
      </c>
      <c r="V26" s="633">
        <f t="shared" si="26"/>
        <v>0</v>
      </c>
      <c r="W26" s="633">
        <f t="shared" si="26"/>
        <v>0</v>
      </c>
      <c r="X26" s="633">
        <f t="shared" si="26"/>
        <v>0</v>
      </c>
      <c r="Y26" s="633">
        <f t="shared" si="26"/>
        <v>0</v>
      </c>
      <c r="Z26" s="633">
        <f t="shared" si="26"/>
        <v>0</v>
      </c>
      <c r="AA26" s="633">
        <f t="shared" si="26"/>
        <v>0</v>
      </c>
      <c r="AB26" s="633">
        <f t="shared" si="26"/>
        <v>0</v>
      </c>
      <c r="AC26" s="633">
        <f t="shared" si="26"/>
        <v>0</v>
      </c>
      <c r="AD26" s="633">
        <f t="shared" si="26"/>
        <v>0</v>
      </c>
      <c r="AE26" s="633">
        <f t="shared" si="26"/>
        <v>0</v>
      </c>
      <c r="AF26" s="633">
        <f t="shared" si="26"/>
        <v>0</v>
      </c>
      <c r="AG26" s="633">
        <f t="shared" si="26"/>
        <v>0</v>
      </c>
      <c r="AH26" s="634">
        <f t="shared" si="26"/>
        <v>0</v>
      </c>
      <c r="AI26" s="634">
        <f t="shared" si="26"/>
        <v>0</v>
      </c>
      <c r="AJ26" s="634">
        <f t="shared" si="26"/>
        <v>0</v>
      </c>
      <c r="AK26" s="634">
        <f t="shared" si="26"/>
        <v>0</v>
      </c>
      <c r="AL26" s="634">
        <f t="shared" si="26"/>
        <v>0</v>
      </c>
      <c r="AM26" s="634">
        <f t="shared" si="26"/>
        <v>0</v>
      </c>
      <c r="AN26" s="634">
        <f t="shared" si="26"/>
        <v>0</v>
      </c>
      <c r="AO26" s="634">
        <f t="shared" si="26"/>
        <v>0</v>
      </c>
      <c r="AP26" s="634">
        <f t="shared" si="26"/>
        <v>0</v>
      </c>
      <c r="AQ26" s="418">
        <f t="shared" si="26"/>
        <v>0</v>
      </c>
      <c r="AR26" s="640">
        <f t="shared" si="26"/>
        <v>5455598</v>
      </c>
      <c r="AS26" s="633">
        <f t="shared" si="26"/>
        <v>3997925</v>
      </c>
      <c r="AT26" s="633">
        <f t="shared" si="26"/>
        <v>0</v>
      </c>
      <c r="AU26" s="633">
        <f t="shared" si="26"/>
        <v>1351298</v>
      </c>
      <c r="AV26" s="633">
        <f t="shared" si="26"/>
        <v>79959</v>
      </c>
      <c r="AW26" s="633">
        <f t="shared" si="26"/>
        <v>26416</v>
      </c>
      <c r="AX26" s="634">
        <f t="shared" si="26"/>
        <v>9.6142000000000003</v>
      </c>
      <c r="AY26" s="634">
        <f t="shared" si="26"/>
        <v>6</v>
      </c>
      <c r="AZ26" s="418">
        <f t="shared" si="26"/>
        <v>3.6141999999999999</v>
      </c>
    </row>
    <row r="27" spans="1:52" ht="12.95" customHeight="1" x14ac:dyDescent="0.25">
      <c r="A27" s="313">
        <v>4</v>
      </c>
      <c r="B27" s="229">
        <v>5464</v>
      </c>
      <c r="C27" s="229">
        <v>600098869</v>
      </c>
      <c r="D27" s="229">
        <v>72743719</v>
      </c>
      <c r="E27" s="419" t="s">
        <v>489</v>
      </c>
      <c r="F27" s="420">
        <v>3111</v>
      </c>
      <c r="G27" s="412" t="s">
        <v>326</v>
      </c>
      <c r="H27" s="318" t="s">
        <v>278</v>
      </c>
      <c r="I27" s="494">
        <v>4993740</v>
      </c>
      <c r="J27" s="489">
        <v>3636855</v>
      </c>
      <c r="K27" s="489">
        <v>19500</v>
      </c>
      <c r="L27" s="489">
        <v>1235848</v>
      </c>
      <c r="M27" s="489">
        <v>72737</v>
      </c>
      <c r="N27" s="489">
        <v>28800</v>
      </c>
      <c r="O27" s="490">
        <v>8.1142000000000003</v>
      </c>
      <c r="P27" s="491">
        <v>5.98</v>
      </c>
      <c r="Q27" s="500">
        <v>2.1341999999999999</v>
      </c>
      <c r="R27" s="502">
        <f t="shared" si="10"/>
        <v>0</v>
      </c>
      <c r="S27" s="492">
        <v>0</v>
      </c>
      <c r="T27" s="492">
        <v>0</v>
      </c>
      <c r="U27" s="492">
        <v>0</v>
      </c>
      <c r="V27" s="492">
        <f t="shared" si="11"/>
        <v>0</v>
      </c>
      <c r="W27" s="713">
        <v>0</v>
      </c>
      <c r="X27" s="492">
        <v>0</v>
      </c>
      <c r="Y27" s="492">
        <v>0</v>
      </c>
      <c r="Z27" s="492">
        <f>SUM(W27:Y27)</f>
        <v>0</v>
      </c>
      <c r="AA27" s="492">
        <f>V27+Z27</f>
        <v>0</v>
      </c>
      <c r="AB27" s="74">
        <f>ROUND((V27+W27+X27)*33.8%,0)</f>
        <v>0</v>
      </c>
      <c r="AC27" s="74">
        <f>ROUND(V27*2%,0)</f>
        <v>0</v>
      </c>
      <c r="AD27" s="492">
        <v>0</v>
      </c>
      <c r="AE27" s="492">
        <v>0</v>
      </c>
      <c r="AF27" s="492">
        <f t="shared" si="12"/>
        <v>0</v>
      </c>
      <c r="AG27" s="492">
        <f t="shared" si="13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>AH27+AJ27+AM27</f>
        <v>0</v>
      </c>
      <c r="AP27" s="493">
        <f>AI27+AN27</f>
        <v>0</v>
      </c>
      <c r="AQ27" s="495">
        <f t="shared" si="16"/>
        <v>0</v>
      </c>
      <c r="AR27" s="501">
        <f>I27+AG27</f>
        <v>4993740</v>
      </c>
      <c r="AS27" s="492">
        <f>J27+V27</f>
        <v>3636855</v>
      </c>
      <c r="AT27" s="492">
        <f t="shared" ref="AT27:AT29" si="27">K27+Z27</f>
        <v>19500</v>
      </c>
      <c r="AU27" s="492">
        <f t="shared" ref="AU27:AV29" si="28">L27+AB27</f>
        <v>1235848</v>
      </c>
      <c r="AV27" s="492">
        <f t="shared" si="28"/>
        <v>72737</v>
      </c>
      <c r="AW27" s="492">
        <f>N27+AF27</f>
        <v>28800</v>
      </c>
      <c r="AX27" s="493">
        <f>O27+AQ27</f>
        <v>8.1142000000000003</v>
      </c>
      <c r="AY27" s="493">
        <f t="shared" ref="AY27:AZ29" si="29">P27+AO27</f>
        <v>5.98</v>
      </c>
      <c r="AZ27" s="495">
        <f t="shared" si="29"/>
        <v>2.1341999999999999</v>
      </c>
    </row>
    <row r="28" spans="1:52" ht="12.95" customHeight="1" x14ac:dyDescent="0.25">
      <c r="A28" s="313">
        <v>4</v>
      </c>
      <c r="B28" s="229">
        <v>5464</v>
      </c>
      <c r="C28" s="229">
        <v>600098869</v>
      </c>
      <c r="D28" s="229">
        <v>72743719</v>
      </c>
      <c r="E28" s="410" t="s">
        <v>489</v>
      </c>
      <c r="F28" s="420">
        <v>3111</v>
      </c>
      <c r="G28" s="356" t="s">
        <v>313</v>
      </c>
      <c r="H28" s="318" t="s">
        <v>279</v>
      </c>
      <c r="I28" s="494">
        <v>0</v>
      </c>
      <c r="J28" s="489">
        <v>0</v>
      </c>
      <c r="K28" s="489">
        <v>0</v>
      </c>
      <c r="L28" s="489">
        <v>0</v>
      </c>
      <c r="M28" s="489">
        <v>0</v>
      </c>
      <c r="N28" s="489">
        <v>0</v>
      </c>
      <c r="O28" s="490">
        <v>0</v>
      </c>
      <c r="P28" s="491">
        <v>0</v>
      </c>
      <c r="Q28" s="500">
        <v>0</v>
      </c>
      <c r="R28" s="502">
        <f t="shared" si="10"/>
        <v>0</v>
      </c>
      <c r="S28" s="492">
        <v>0</v>
      </c>
      <c r="T28" s="492">
        <v>0</v>
      </c>
      <c r="U28" s="492">
        <v>0</v>
      </c>
      <c r="V28" s="492">
        <f t="shared" si="11"/>
        <v>0</v>
      </c>
      <c r="W28" s="713">
        <v>0</v>
      </c>
      <c r="X28" s="492">
        <v>0</v>
      </c>
      <c r="Y28" s="492">
        <v>0</v>
      </c>
      <c r="Z28" s="492">
        <f>SUM(W28:Y28)</f>
        <v>0</v>
      </c>
      <c r="AA28" s="492">
        <f>V28+Z28</f>
        <v>0</v>
      </c>
      <c r="AB28" s="74">
        <f>ROUND((V28+W28+X28)*33.8%,0)</f>
        <v>0</v>
      </c>
      <c r="AC28" s="74">
        <f>ROUND(V28*2%,0)</f>
        <v>0</v>
      </c>
      <c r="AD28" s="492">
        <v>0</v>
      </c>
      <c r="AE28" s="492">
        <v>0</v>
      </c>
      <c r="AF28" s="492">
        <f t="shared" si="12"/>
        <v>0</v>
      </c>
      <c r="AG28" s="492">
        <f t="shared" si="13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>AH28+AJ28+AM28</f>
        <v>0</v>
      </c>
      <c r="AP28" s="493">
        <f>AI28+AN28</f>
        <v>0</v>
      </c>
      <c r="AQ28" s="495">
        <f t="shared" si="16"/>
        <v>0</v>
      </c>
      <c r="AR28" s="501">
        <f>I28+AG28</f>
        <v>0</v>
      </c>
      <c r="AS28" s="492">
        <f>J28+V28</f>
        <v>0</v>
      </c>
      <c r="AT28" s="492">
        <f t="shared" si="27"/>
        <v>0</v>
      </c>
      <c r="AU28" s="492">
        <f t="shared" si="28"/>
        <v>0</v>
      </c>
      <c r="AV28" s="492">
        <f t="shared" si="28"/>
        <v>0</v>
      </c>
      <c r="AW28" s="492">
        <f>N28+AF28</f>
        <v>0</v>
      </c>
      <c r="AX28" s="493">
        <f>O28+AQ28</f>
        <v>0</v>
      </c>
      <c r="AY28" s="493">
        <f t="shared" si="29"/>
        <v>0</v>
      </c>
      <c r="AZ28" s="495">
        <f t="shared" si="29"/>
        <v>0</v>
      </c>
    </row>
    <row r="29" spans="1:52" ht="12.95" customHeight="1" x14ac:dyDescent="0.25">
      <c r="A29" s="313">
        <v>4</v>
      </c>
      <c r="B29" s="229">
        <v>5464</v>
      </c>
      <c r="C29" s="229">
        <v>600098869</v>
      </c>
      <c r="D29" s="229">
        <v>72743719</v>
      </c>
      <c r="E29" s="410" t="s">
        <v>489</v>
      </c>
      <c r="F29" s="421">
        <v>3141</v>
      </c>
      <c r="G29" s="412" t="s">
        <v>316</v>
      </c>
      <c r="H29" s="318" t="s">
        <v>279</v>
      </c>
      <c r="I29" s="494">
        <v>812791</v>
      </c>
      <c r="J29" s="489">
        <v>592585</v>
      </c>
      <c r="K29" s="489">
        <v>3250</v>
      </c>
      <c r="L29" s="489">
        <v>201392</v>
      </c>
      <c r="M29" s="489">
        <v>11852</v>
      </c>
      <c r="N29" s="489">
        <v>3712</v>
      </c>
      <c r="O29" s="490">
        <v>1.88</v>
      </c>
      <c r="P29" s="491">
        <v>0</v>
      </c>
      <c r="Q29" s="500">
        <v>1.88</v>
      </c>
      <c r="R29" s="502">
        <f t="shared" si="10"/>
        <v>0</v>
      </c>
      <c r="S29" s="492">
        <v>0</v>
      </c>
      <c r="T29" s="492">
        <v>0</v>
      </c>
      <c r="U29" s="492">
        <v>0</v>
      </c>
      <c r="V29" s="492">
        <f t="shared" si="11"/>
        <v>0</v>
      </c>
      <c r="W29" s="713">
        <v>0</v>
      </c>
      <c r="X29" s="492">
        <v>0</v>
      </c>
      <c r="Y29" s="492">
        <v>0</v>
      </c>
      <c r="Z29" s="492">
        <f>SUM(W29:Y29)</f>
        <v>0</v>
      </c>
      <c r="AA29" s="492">
        <f>V29+Z29</f>
        <v>0</v>
      </c>
      <c r="AB29" s="74">
        <f>ROUND((V29+W29+X29)*33.8%,0)</f>
        <v>0</v>
      </c>
      <c r="AC29" s="74">
        <f>ROUND(V29*2%,0)</f>
        <v>0</v>
      </c>
      <c r="AD29" s="492">
        <v>0</v>
      </c>
      <c r="AE29" s="492">
        <v>0</v>
      </c>
      <c r="AF29" s="492">
        <f t="shared" si="12"/>
        <v>0</v>
      </c>
      <c r="AG29" s="492">
        <f t="shared" si="13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>AH29+AJ29+AM29</f>
        <v>0</v>
      </c>
      <c r="AP29" s="493">
        <f>AI29+AN29</f>
        <v>0</v>
      </c>
      <c r="AQ29" s="495">
        <f t="shared" si="16"/>
        <v>0</v>
      </c>
      <c r="AR29" s="501">
        <f>I29+AG29</f>
        <v>812791</v>
      </c>
      <c r="AS29" s="492">
        <f>J29+V29</f>
        <v>592585</v>
      </c>
      <c r="AT29" s="492">
        <f t="shared" si="27"/>
        <v>3250</v>
      </c>
      <c r="AU29" s="492">
        <f t="shared" si="28"/>
        <v>201392</v>
      </c>
      <c r="AV29" s="492">
        <f t="shared" si="28"/>
        <v>11852</v>
      </c>
      <c r="AW29" s="492">
        <f>N29+AF29</f>
        <v>3712</v>
      </c>
      <c r="AX29" s="493">
        <f>O29+AQ29</f>
        <v>1.88</v>
      </c>
      <c r="AY29" s="493">
        <f t="shared" si="29"/>
        <v>0</v>
      </c>
      <c r="AZ29" s="495">
        <f t="shared" si="29"/>
        <v>1.88</v>
      </c>
    </row>
    <row r="30" spans="1:52" ht="12.95" customHeight="1" x14ac:dyDescent="0.25">
      <c r="A30" s="230">
        <v>4</v>
      </c>
      <c r="B30" s="50">
        <v>5464</v>
      </c>
      <c r="C30" s="50">
        <v>600098869</v>
      </c>
      <c r="D30" s="50">
        <v>72743719</v>
      </c>
      <c r="E30" s="422" t="s">
        <v>490</v>
      </c>
      <c r="F30" s="423"/>
      <c r="G30" s="422"/>
      <c r="H30" s="424"/>
      <c r="I30" s="584">
        <v>5806531</v>
      </c>
      <c r="J30" s="580">
        <v>4229440</v>
      </c>
      <c r="K30" s="580">
        <v>22750</v>
      </c>
      <c r="L30" s="580">
        <v>1437240</v>
      </c>
      <c r="M30" s="580">
        <v>84589</v>
      </c>
      <c r="N30" s="580">
        <v>32512</v>
      </c>
      <c r="O30" s="581">
        <v>9.9941999999999993</v>
      </c>
      <c r="P30" s="581">
        <v>5.98</v>
      </c>
      <c r="Q30" s="586">
        <v>4.0141999999999998</v>
      </c>
      <c r="R30" s="584">
        <f t="shared" ref="R30:AZ30" si="30">SUM(R27:R29)</f>
        <v>0</v>
      </c>
      <c r="S30" s="580">
        <f t="shared" si="30"/>
        <v>0</v>
      </c>
      <c r="T30" s="580">
        <f t="shared" si="30"/>
        <v>0</v>
      </c>
      <c r="U30" s="580">
        <f t="shared" si="30"/>
        <v>0</v>
      </c>
      <c r="V30" s="580">
        <f t="shared" si="30"/>
        <v>0</v>
      </c>
      <c r="W30" s="580">
        <f t="shared" si="30"/>
        <v>0</v>
      </c>
      <c r="X30" s="580">
        <f t="shared" si="30"/>
        <v>0</v>
      </c>
      <c r="Y30" s="580">
        <f t="shared" si="30"/>
        <v>0</v>
      </c>
      <c r="Z30" s="580">
        <f t="shared" si="30"/>
        <v>0</v>
      </c>
      <c r="AA30" s="580">
        <f t="shared" si="30"/>
        <v>0</v>
      </c>
      <c r="AB30" s="580">
        <f t="shared" si="30"/>
        <v>0</v>
      </c>
      <c r="AC30" s="580">
        <f t="shared" si="30"/>
        <v>0</v>
      </c>
      <c r="AD30" s="580">
        <f t="shared" si="30"/>
        <v>0</v>
      </c>
      <c r="AE30" s="580">
        <f t="shared" si="30"/>
        <v>0</v>
      </c>
      <c r="AF30" s="580">
        <f t="shared" si="30"/>
        <v>0</v>
      </c>
      <c r="AG30" s="580">
        <f t="shared" si="30"/>
        <v>0</v>
      </c>
      <c r="AH30" s="581">
        <f t="shared" si="30"/>
        <v>0</v>
      </c>
      <c r="AI30" s="581">
        <f t="shared" si="30"/>
        <v>0</v>
      </c>
      <c r="AJ30" s="581">
        <f t="shared" si="30"/>
        <v>0</v>
      </c>
      <c r="AK30" s="581">
        <f t="shared" si="30"/>
        <v>0</v>
      </c>
      <c r="AL30" s="581">
        <f t="shared" si="30"/>
        <v>0</v>
      </c>
      <c r="AM30" s="581">
        <f t="shared" si="30"/>
        <v>0</v>
      </c>
      <c r="AN30" s="581">
        <f t="shared" si="30"/>
        <v>0</v>
      </c>
      <c r="AO30" s="581">
        <f t="shared" si="30"/>
        <v>0</v>
      </c>
      <c r="AP30" s="581">
        <f t="shared" si="30"/>
        <v>0</v>
      </c>
      <c r="AQ30" s="312">
        <f t="shared" si="30"/>
        <v>0</v>
      </c>
      <c r="AR30" s="588">
        <f t="shared" si="30"/>
        <v>5806531</v>
      </c>
      <c r="AS30" s="580">
        <f t="shared" si="30"/>
        <v>4229440</v>
      </c>
      <c r="AT30" s="580">
        <f t="shared" si="30"/>
        <v>22750</v>
      </c>
      <c r="AU30" s="580">
        <f t="shared" si="30"/>
        <v>1437240</v>
      </c>
      <c r="AV30" s="580">
        <f t="shared" si="30"/>
        <v>84589</v>
      </c>
      <c r="AW30" s="580">
        <f t="shared" si="30"/>
        <v>32512</v>
      </c>
      <c r="AX30" s="581">
        <f t="shared" si="30"/>
        <v>9.9941999999999993</v>
      </c>
      <c r="AY30" s="581">
        <f t="shared" si="30"/>
        <v>5.98</v>
      </c>
      <c r="AZ30" s="312">
        <f t="shared" si="30"/>
        <v>4.0141999999999998</v>
      </c>
    </row>
    <row r="31" spans="1:52" ht="12.95" customHeight="1" x14ac:dyDescent="0.25">
      <c r="A31" s="313">
        <v>5</v>
      </c>
      <c r="B31" s="229">
        <v>5467</v>
      </c>
      <c r="C31" s="229">
        <v>600098648</v>
      </c>
      <c r="D31" s="229">
        <v>72743948</v>
      </c>
      <c r="E31" s="411" t="s">
        <v>491</v>
      </c>
      <c r="F31" s="229">
        <v>3111</v>
      </c>
      <c r="G31" s="412" t="s">
        <v>326</v>
      </c>
      <c r="H31" s="318" t="s">
        <v>278</v>
      </c>
      <c r="I31" s="494">
        <v>4636759</v>
      </c>
      <c r="J31" s="489">
        <v>3397834</v>
      </c>
      <c r="K31" s="489">
        <v>0</v>
      </c>
      <c r="L31" s="489">
        <v>1148468</v>
      </c>
      <c r="M31" s="489">
        <v>67957</v>
      </c>
      <c r="N31" s="489">
        <v>22500</v>
      </c>
      <c r="O31" s="490">
        <v>7.9841999999999995</v>
      </c>
      <c r="P31" s="491">
        <v>6</v>
      </c>
      <c r="Q31" s="500">
        <v>1.9842</v>
      </c>
      <c r="R31" s="502">
        <f t="shared" si="10"/>
        <v>0</v>
      </c>
      <c r="S31" s="492">
        <v>0</v>
      </c>
      <c r="T31" s="492">
        <v>0</v>
      </c>
      <c r="U31" s="492">
        <v>0</v>
      </c>
      <c r="V31" s="492">
        <f t="shared" si="11"/>
        <v>0</v>
      </c>
      <c r="W31" s="492">
        <v>0</v>
      </c>
      <c r="X31" s="492">
        <v>0</v>
      </c>
      <c r="Y31" s="492">
        <v>0</v>
      </c>
      <c r="Z31" s="492">
        <f>SUM(W31:Y31)</f>
        <v>0</v>
      </c>
      <c r="AA31" s="492">
        <f>V31+Z31</f>
        <v>0</v>
      </c>
      <c r="AB31" s="74">
        <f>ROUND((V31+W31+X31)*33.8%,0)</f>
        <v>0</v>
      </c>
      <c r="AC31" s="74">
        <f>ROUND(V31*2%,0)</f>
        <v>0</v>
      </c>
      <c r="AD31" s="492">
        <v>0</v>
      </c>
      <c r="AE31" s="492">
        <v>0</v>
      </c>
      <c r="AF31" s="492">
        <f t="shared" si="12"/>
        <v>0</v>
      </c>
      <c r="AG31" s="492">
        <f t="shared" si="13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>AH31+AJ31+AM31</f>
        <v>0</v>
      </c>
      <c r="AP31" s="493">
        <f>AI31+AN31</f>
        <v>0</v>
      </c>
      <c r="AQ31" s="495">
        <f t="shared" si="16"/>
        <v>0</v>
      </c>
      <c r="AR31" s="501">
        <f>I31+AG31</f>
        <v>4636759</v>
      </c>
      <c r="AS31" s="492">
        <f>J31+V31</f>
        <v>3397834</v>
      </c>
      <c r="AT31" s="492">
        <f t="shared" ref="AT31:AT33" si="31">K31+Z31</f>
        <v>0</v>
      </c>
      <c r="AU31" s="492">
        <f t="shared" ref="AU31:AV33" si="32">L31+AB31</f>
        <v>1148468</v>
      </c>
      <c r="AV31" s="492">
        <f t="shared" si="32"/>
        <v>67957</v>
      </c>
      <c r="AW31" s="492">
        <f>N31+AF31</f>
        <v>22500</v>
      </c>
      <c r="AX31" s="493">
        <f>O31+AQ31</f>
        <v>7.9841999999999995</v>
      </c>
      <c r="AY31" s="493">
        <f t="shared" ref="AY31:AZ33" si="33">P31+AO31</f>
        <v>6</v>
      </c>
      <c r="AZ31" s="495">
        <f t="shared" si="33"/>
        <v>1.9842</v>
      </c>
    </row>
    <row r="32" spans="1:52" ht="12.95" customHeight="1" x14ac:dyDescent="0.25">
      <c r="A32" s="313">
        <v>5</v>
      </c>
      <c r="B32" s="229">
        <v>5467</v>
      </c>
      <c r="C32" s="229">
        <v>600098648</v>
      </c>
      <c r="D32" s="229">
        <v>72743948</v>
      </c>
      <c r="E32" s="410" t="s">
        <v>491</v>
      </c>
      <c r="F32" s="229">
        <v>3111</v>
      </c>
      <c r="G32" s="356" t="s">
        <v>313</v>
      </c>
      <c r="H32" s="318" t="s">
        <v>279</v>
      </c>
      <c r="I32" s="494">
        <v>470470</v>
      </c>
      <c r="J32" s="489">
        <v>346443</v>
      </c>
      <c r="K32" s="489">
        <v>0</v>
      </c>
      <c r="L32" s="489">
        <v>117098</v>
      </c>
      <c r="M32" s="489">
        <v>6929</v>
      </c>
      <c r="N32" s="489">
        <v>0</v>
      </c>
      <c r="O32" s="490">
        <v>1</v>
      </c>
      <c r="P32" s="491">
        <v>1</v>
      </c>
      <c r="Q32" s="500">
        <v>0</v>
      </c>
      <c r="R32" s="502">
        <f t="shared" si="10"/>
        <v>0</v>
      </c>
      <c r="S32" s="492">
        <v>0</v>
      </c>
      <c r="T32" s="492">
        <v>0</v>
      </c>
      <c r="U32" s="492">
        <v>0</v>
      </c>
      <c r="V32" s="492">
        <f t="shared" si="11"/>
        <v>0</v>
      </c>
      <c r="W32" s="492">
        <v>0</v>
      </c>
      <c r="X32" s="492">
        <v>0</v>
      </c>
      <c r="Y32" s="492">
        <v>0</v>
      </c>
      <c r="Z32" s="492">
        <f>SUM(W32:Y32)</f>
        <v>0</v>
      </c>
      <c r="AA32" s="492">
        <f>V32+Z32</f>
        <v>0</v>
      </c>
      <c r="AB32" s="74">
        <f>ROUND((V32+W32+X32)*33.8%,0)</f>
        <v>0</v>
      </c>
      <c r="AC32" s="74">
        <f>ROUND(V32*2%,0)</f>
        <v>0</v>
      </c>
      <c r="AD32" s="492">
        <v>0</v>
      </c>
      <c r="AE32" s="492">
        <v>0</v>
      </c>
      <c r="AF32" s="492">
        <f t="shared" si="12"/>
        <v>0</v>
      </c>
      <c r="AG32" s="492">
        <f t="shared" si="13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>AH32+AJ32+AM32</f>
        <v>0</v>
      </c>
      <c r="AP32" s="493">
        <f>AI32+AN32</f>
        <v>0</v>
      </c>
      <c r="AQ32" s="495">
        <f t="shared" si="16"/>
        <v>0</v>
      </c>
      <c r="AR32" s="501">
        <f>I32+AG32</f>
        <v>470470</v>
      </c>
      <c r="AS32" s="492">
        <f>J32+V32</f>
        <v>346443</v>
      </c>
      <c r="AT32" s="492">
        <f t="shared" si="31"/>
        <v>0</v>
      </c>
      <c r="AU32" s="492">
        <f t="shared" si="32"/>
        <v>117098</v>
      </c>
      <c r="AV32" s="492">
        <f t="shared" si="32"/>
        <v>6929</v>
      </c>
      <c r="AW32" s="492">
        <f>N32+AF32</f>
        <v>0</v>
      </c>
      <c r="AX32" s="493">
        <f>O32+AQ32</f>
        <v>1</v>
      </c>
      <c r="AY32" s="493">
        <f t="shared" si="33"/>
        <v>1</v>
      </c>
      <c r="AZ32" s="495">
        <f t="shared" si="33"/>
        <v>0</v>
      </c>
    </row>
    <row r="33" spans="1:52" ht="12.95" customHeight="1" x14ac:dyDescent="0.25">
      <c r="A33" s="313">
        <v>5</v>
      </c>
      <c r="B33" s="229">
        <v>5467</v>
      </c>
      <c r="C33" s="229">
        <v>600098648</v>
      </c>
      <c r="D33" s="229">
        <v>72743948</v>
      </c>
      <c r="E33" s="410" t="s">
        <v>491</v>
      </c>
      <c r="F33" s="421">
        <v>3141</v>
      </c>
      <c r="G33" s="412" t="s">
        <v>316</v>
      </c>
      <c r="H33" s="318" t="s">
        <v>279</v>
      </c>
      <c r="I33" s="494">
        <v>687718</v>
      </c>
      <c r="J33" s="489">
        <v>504284</v>
      </c>
      <c r="K33" s="489">
        <v>0</v>
      </c>
      <c r="L33" s="489">
        <v>170448</v>
      </c>
      <c r="M33" s="489">
        <v>10086</v>
      </c>
      <c r="N33" s="489">
        <v>2900</v>
      </c>
      <c r="O33" s="490">
        <v>1.59</v>
      </c>
      <c r="P33" s="491">
        <v>0</v>
      </c>
      <c r="Q33" s="500">
        <v>1.59</v>
      </c>
      <c r="R33" s="502">
        <f t="shared" si="10"/>
        <v>0</v>
      </c>
      <c r="S33" s="492">
        <v>0</v>
      </c>
      <c r="T33" s="492">
        <v>0</v>
      </c>
      <c r="U33" s="492">
        <v>0</v>
      </c>
      <c r="V33" s="492">
        <f t="shared" si="11"/>
        <v>0</v>
      </c>
      <c r="W33" s="492">
        <v>0</v>
      </c>
      <c r="X33" s="492">
        <v>0</v>
      </c>
      <c r="Y33" s="492">
        <v>0</v>
      </c>
      <c r="Z33" s="492">
        <f>SUM(W33:Y33)</f>
        <v>0</v>
      </c>
      <c r="AA33" s="492">
        <f>V33+Z33</f>
        <v>0</v>
      </c>
      <c r="AB33" s="74">
        <f>ROUND((V33+W33+X33)*33.8%,0)</f>
        <v>0</v>
      </c>
      <c r="AC33" s="74">
        <f>ROUND(V33*2%,0)</f>
        <v>0</v>
      </c>
      <c r="AD33" s="492">
        <v>0</v>
      </c>
      <c r="AE33" s="492">
        <v>0</v>
      </c>
      <c r="AF33" s="492">
        <f t="shared" si="12"/>
        <v>0</v>
      </c>
      <c r="AG33" s="492">
        <f t="shared" si="13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>AH33+AJ33+AM33</f>
        <v>0</v>
      </c>
      <c r="AP33" s="493">
        <f>AI33+AN33</f>
        <v>0</v>
      </c>
      <c r="AQ33" s="495">
        <f t="shared" si="16"/>
        <v>0</v>
      </c>
      <c r="AR33" s="501">
        <f>I33+AG33</f>
        <v>687718</v>
      </c>
      <c r="AS33" s="492">
        <f>J33+V33</f>
        <v>504284</v>
      </c>
      <c r="AT33" s="492">
        <f t="shared" si="31"/>
        <v>0</v>
      </c>
      <c r="AU33" s="492">
        <f t="shared" si="32"/>
        <v>170448</v>
      </c>
      <c r="AV33" s="492">
        <f t="shared" si="32"/>
        <v>10086</v>
      </c>
      <c r="AW33" s="492">
        <f>N33+AF33</f>
        <v>2900</v>
      </c>
      <c r="AX33" s="493">
        <f>O33+AQ33</f>
        <v>1.59</v>
      </c>
      <c r="AY33" s="493">
        <f t="shared" si="33"/>
        <v>0</v>
      </c>
      <c r="AZ33" s="495">
        <f t="shared" si="33"/>
        <v>1.59</v>
      </c>
    </row>
    <row r="34" spans="1:52" ht="12.95" customHeight="1" x14ac:dyDescent="0.25">
      <c r="A34" s="230">
        <v>5</v>
      </c>
      <c r="B34" s="51">
        <v>5467</v>
      </c>
      <c r="C34" s="51">
        <v>600098648</v>
      </c>
      <c r="D34" s="51">
        <v>72743948</v>
      </c>
      <c r="E34" s="422" t="s">
        <v>492</v>
      </c>
      <c r="F34" s="423"/>
      <c r="G34" s="422"/>
      <c r="H34" s="424"/>
      <c r="I34" s="636">
        <v>5794947</v>
      </c>
      <c r="J34" s="633">
        <v>4248561</v>
      </c>
      <c r="K34" s="633">
        <v>0</v>
      </c>
      <c r="L34" s="633">
        <v>1436014</v>
      </c>
      <c r="M34" s="633">
        <v>84972</v>
      </c>
      <c r="N34" s="633">
        <v>25400</v>
      </c>
      <c r="O34" s="634">
        <v>10.574199999999999</v>
      </c>
      <c r="P34" s="634">
        <v>7</v>
      </c>
      <c r="Q34" s="638">
        <v>3.5742000000000003</v>
      </c>
      <c r="R34" s="636">
        <f t="shared" ref="R34:AZ34" si="34">SUM(R31:R33)</f>
        <v>0</v>
      </c>
      <c r="S34" s="633">
        <f t="shared" si="34"/>
        <v>0</v>
      </c>
      <c r="T34" s="633">
        <f t="shared" si="34"/>
        <v>0</v>
      </c>
      <c r="U34" s="633">
        <f t="shared" si="34"/>
        <v>0</v>
      </c>
      <c r="V34" s="633">
        <f t="shared" si="34"/>
        <v>0</v>
      </c>
      <c r="W34" s="633">
        <f t="shared" si="34"/>
        <v>0</v>
      </c>
      <c r="X34" s="633">
        <f t="shared" si="34"/>
        <v>0</v>
      </c>
      <c r="Y34" s="633">
        <f t="shared" si="34"/>
        <v>0</v>
      </c>
      <c r="Z34" s="633">
        <f t="shared" si="34"/>
        <v>0</v>
      </c>
      <c r="AA34" s="633">
        <f t="shared" si="34"/>
        <v>0</v>
      </c>
      <c r="AB34" s="633">
        <f t="shared" si="34"/>
        <v>0</v>
      </c>
      <c r="AC34" s="633">
        <f t="shared" si="34"/>
        <v>0</v>
      </c>
      <c r="AD34" s="633">
        <f t="shared" si="34"/>
        <v>0</v>
      </c>
      <c r="AE34" s="633">
        <f t="shared" si="34"/>
        <v>0</v>
      </c>
      <c r="AF34" s="633">
        <f t="shared" si="34"/>
        <v>0</v>
      </c>
      <c r="AG34" s="633">
        <f t="shared" si="34"/>
        <v>0</v>
      </c>
      <c r="AH34" s="634">
        <f t="shared" si="34"/>
        <v>0</v>
      </c>
      <c r="AI34" s="634">
        <f t="shared" si="34"/>
        <v>0</v>
      </c>
      <c r="AJ34" s="634">
        <f t="shared" si="34"/>
        <v>0</v>
      </c>
      <c r="AK34" s="634">
        <f t="shared" si="34"/>
        <v>0</v>
      </c>
      <c r="AL34" s="634">
        <f t="shared" si="34"/>
        <v>0</v>
      </c>
      <c r="AM34" s="634">
        <f t="shared" si="34"/>
        <v>0</v>
      </c>
      <c r="AN34" s="634">
        <f t="shared" si="34"/>
        <v>0</v>
      </c>
      <c r="AO34" s="634">
        <f t="shared" si="34"/>
        <v>0</v>
      </c>
      <c r="AP34" s="634">
        <f t="shared" si="34"/>
        <v>0</v>
      </c>
      <c r="AQ34" s="418">
        <f t="shared" si="34"/>
        <v>0</v>
      </c>
      <c r="AR34" s="640">
        <f t="shared" si="34"/>
        <v>5794947</v>
      </c>
      <c r="AS34" s="633">
        <f t="shared" si="34"/>
        <v>4248561</v>
      </c>
      <c r="AT34" s="633">
        <f t="shared" si="34"/>
        <v>0</v>
      </c>
      <c r="AU34" s="633">
        <f t="shared" si="34"/>
        <v>1436014</v>
      </c>
      <c r="AV34" s="633">
        <f t="shared" si="34"/>
        <v>84972</v>
      </c>
      <c r="AW34" s="633">
        <f t="shared" si="34"/>
        <v>25400</v>
      </c>
      <c r="AX34" s="634">
        <f t="shared" si="34"/>
        <v>10.574199999999999</v>
      </c>
      <c r="AY34" s="634">
        <f t="shared" si="34"/>
        <v>7</v>
      </c>
      <c r="AZ34" s="418">
        <f t="shared" si="34"/>
        <v>3.5742000000000003</v>
      </c>
    </row>
    <row r="35" spans="1:52" ht="12.95" customHeight="1" x14ac:dyDescent="0.25">
      <c r="A35" s="313">
        <v>6</v>
      </c>
      <c r="B35" s="229">
        <v>5463</v>
      </c>
      <c r="C35" s="229">
        <v>600098877</v>
      </c>
      <c r="D35" s="229">
        <v>72743786</v>
      </c>
      <c r="E35" s="228" t="s">
        <v>493</v>
      </c>
      <c r="F35" s="229">
        <v>3111</v>
      </c>
      <c r="G35" s="412" t="s">
        <v>326</v>
      </c>
      <c r="H35" s="318" t="s">
        <v>278</v>
      </c>
      <c r="I35" s="494">
        <v>4908971</v>
      </c>
      <c r="J35" s="489">
        <v>3569625</v>
      </c>
      <c r="K35" s="489">
        <v>28080</v>
      </c>
      <c r="L35" s="489">
        <v>1216024</v>
      </c>
      <c r="M35" s="489">
        <v>71392</v>
      </c>
      <c r="N35" s="489">
        <v>23850</v>
      </c>
      <c r="O35" s="490">
        <v>8.2261000000000006</v>
      </c>
      <c r="P35" s="491">
        <v>6.2419000000000002</v>
      </c>
      <c r="Q35" s="500">
        <v>1.9842</v>
      </c>
      <c r="R35" s="502">
        <f t="shared" si="10"/>
        <v>0</v>
      </c>
      <c r="S35" s="492">
        <v>0</v>
      </c>
      <c r="T35" s="492">
        <v>0</v>
      </c>
      <c r="U35" s="492">
        <v>0</v>
      </c>
      <c r="V35" s="492">
        <f t="shared" si="11"/>
        <v>0</v>
      </c>
      <c r="W35" s="713">
        <v>0</v>
      </c>
      <c r="X35" s="492">
        <v>0</v>
      </c>
      <c r="Y35" s="492">
        <v>0</v>
      </c>
      <c r="Z35" s="492">
        <f>SUM(W35:Y35)</f>
        <v>0</v>
      </c>
      <c r="AA35" s="492">
        <f>V35+Z35</f>
        <v>0</v>
      </c>
      <c r="AB35" s="74">
        <f>ROUND((V35+W35+X35)*33.8%,0)</f>
        <v>0</v>
      </c>
      <c r="AC35" s="74">
        <f>ROUND(V35*2%,0)</f>
        <v>0</v>
      </c>
      <c r="AD35" s="492">
        <v>0</v>
      </c>
      <c r="AE35" s="492">
        <v>0</v>
      </c>
      <c r="AF35" s="492">
        <f t="shared" si="12"/>
        <v>0</v>
      </c>
      <c r="AG35" s="492">
        <f t="shared" si="13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>AH35+AJ35+AM35</f>
        <v>0</v>
      </c>
      <c r="AP35" s="493">
        <f>AI35+AN35</f>
        <v>0</v>
      </c>
      <c r="AQ35" s="495">
        <f t="shared" si="16"/>
        <v>0</v>
      </c>
      <c r="AR35" s="501">
        <f>I35+AG35</f>
        <v>4908971</v>
      </c>
      <c r="AS35" s="492">
        <f>J35+V35</f>
        <v>3569625</v>
      </c>
      <c r="AT35" s="492">
        <f t="shared" ref="AT35:AT37" si="35">K35+Z35</f>
        <v>28080</v>
      </c>
      <c r="AU35" s="492">
        <f t="shared" ref="AU35:AV37" si="36">L35+AB35</f>
        <v>1216024</v>
      </c>
      <c r="AV35" s="492">
        <f t="shared" si="36"/>
        <v>71392</v>
      </c>
      <c r="AW35" s="492">
        <f>N35+AF35</f>
        <v>23850</v>
      </c>
      <c r="AX35" s="493">
        <f>O35+AQ35</f>
        <v>8.2261000000000006</v>
      </c>
      <c r="AY35" s="493">
        <f t="shared" ref="AY35:AZ37" si="37">P35+AO35</f>
        <v>6.2419000000000002</v>
      </c>
      <c r="AZ35" s="495">
        <f t="shared" si="37"/>
        <v>1.9842</v>
      </c>
    </row>
    <row r="36" spans="1:52" ht="12.95" customHeight="1" x14ac:dyDescent="0.25">
      <c r="A36" s="313">
        <v>6</v>
      </c>
      <c r="B36" s="229">
        <v>5463</v>
      </c>
      <c r="C36" s="229">
        <v>600098877</v>
      </c>
      <c r="D36" s="229">
        <v>72743786</v>
      </c>
      <c r="E36" s="411" t="s">
        <v>493</v>
      </c>
      <c r="F36" s="229">
        <v>3111</v>
      </c>
      <c r="G36" s="356" t="s">
        <v>313</v>
      </c>
      <c r="H36" s="318" t="s">
        <v>279</v>
      </c>
      <c r="I36" s="494">
        <v>117618</v>
      </c>
      <c r="J36" s="489">
        <v>86611</v>
      </c>
      <c r="K36" s="489">
        <v>0</v>
      </c>
      <c r="L36" s="489">
        <v>29275</v>
      </c>
      <c r="M36" s="489">
        <v>1732</v>
      </c>
      <c r="N36" s="489">
        <v>0</v>
      </c>
      <c r="O36" s="490">
        <v>0.25</v>
      </c>
      <c r="P36" s="491">
        <v>0.25</v>
      </c>
      <c r="Q36" s="500">
        <v>0</v>
      </c>
      <c r="R36" s="502">
        <f t="shared" si="10"/>
        <v>0</v>
      </c>
      <c r="S36" s="492">
        <v>0</v>
      </c>
      <c r="T36" s="492">
        <v>0</v>
      </c>
      <c r="U36" s="492">
        <v>0</v>
      </c>
      <c r="V36" s="492">
        <f t="shared" si="11"/>
        <v>0</v>
      </c>
      <c r="W36" s="713">
        <v>0</v>
      </c>
      <c r="X36" s="492">
        <v>0</v>
      </c>
      <c r="Y36" s="492">
        <v>0</v>
      </c>
      <c r="Z36" s="492">
        <f>SUM(W36:Y36)</f>
        <v>0</v>
      </c>
      <c r="AA36" s="492">
        <f>V36+Z36</f>
        <v>0</v>
      </c>
      <c r="AB36" s="74">
        <f>ROUND((V36+W36+X36)*33.8%,0)</f>
        <v>0</v>
      </c>
      <c r="AC36" s="74">
        <f>ROUND(V36*2%,0)</f>
        <v>0</v>
      </c>
      <c r="AD36" s="492">
        <v>0</v>
      </c>
      <c r="AE36" s="492">
        <v>0</v>
      </c>
      <c r="AF36" s="492">
        <f t="shared" si="12"/>
        <v>0</v>
      </c>
      <c r="AG36" s="492">
        <f t="shared" si="13"/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>AH36+AJ36+AM36</f>
        <v>0</v>
      </c>
      <c r="AP36" s="493">
        <f>AI36+AN36</f>
        <v>0</v>
      </c>
      <c r="AQ36" s="495">
        <f t="shared" si="16"/>
        <v>0</v>
      </c>
      <c r="AR36" s="501">
        <f>I36+AG36</f>
        <v>117618</v>
      </c>
      <c r="AS36" s="492">
        <f>J36+V36</f>
        <v>86611</v>
      </c>
      <c r="AT36" s="492">
        <f t="shared" si="35"/>
        <v>0</v>
      </c>
      <c r="AU36" s="492">
        <f t="shared" si="36"/>
        <v>29275</v>
      </c>
      <c r="AV36" s="492">
        <f t="shared" si="36"/>
        <v>1732</v>
      </c>
      <c r="AW36" s="492">
        <f>N36+AF36</f>
        <v>0</v>
      </c>
      <c r="AX36" s="493">
        <f>O36+AQ36</f>
        <v>0.25</v>
      </c>
      <c r="AY36" s="493">
        <f t="shared" si="37"/>
        <v>0.25</v>
      </c>
      <c r="AZ36" s="495">
        <f t="shared" si="37"/>
        <v>0</v>
      </c>
    </row>
    <row r="37" spans="1:52" ht="12.95" customHeight="1" x14ac:dyDescent="0.25">
      <c r="A37" s="313">
        <v>6</v>
      </c>
      <c r="B37" s="229">
        <v>5463</v>
      </c>
      <c r="C37" s="229">
        <v>600098877</v>
      </c>
      <c r="D37" s="229">
        <v>72743786</v>
      </c>
      <c r="E37" s="411" t="s">
        <v>493</v>
      </c>
      <c r="F37" s="229">
        <v>3141</v>
      </c>
      <c r="G37" s="412" t="s">
        <v>316</v>
      </c>
      <c r="H37" s="318" t="s">
        <v>279</v>
      </c>
      <c r="I37" s="494">
        <v>715571</v>
      </c>
      <c r="J37" s="489">
        <v>524667</v>
      </c>
      <c r="K37" s="489">
        <v>0</v>
      </c>
      <c r="L37" s="489">
        <v>177337</v>
      </c>
      <c r="M37" s="489">
        <v>10493</v>
      </c>
      <c r="N37" s="489">
        <v>3074</v>
      </c>
      <c r="O37" s="490">
        <v>1.65</v>
      </c>
      <c r="P37" s="491">
        <v>0</v>
      </c>
      <c r="Q37" s="500">
        <v>1.65</v>
      </c>
      <c r="R37" s="502">
        <f t="shared" si="10"/>
        <v>0</v>
      </c>
      <c r="S37" s="492">
        <v>0</v>
      </c>
      <c r="T37" s="492">
        <v>0</v>
      </c>
      <c r="U37" s="492">
        <v>0</v>
      </c>
      <c r="V37" s="492">
        <f t="shared" si="11"/>
        <v>0</v>
      </c>
      <c r="W37" s="713">
        <v>0</v>
      </c>
      <c r="X37" s="492">
        <v>0</v>
      </c>
      <c r="Y37" s="492">
        <v>0</v>
      </c>
      <c r="Z37" s="492">
        <f>SUM(W37:Y37)</f>
        <v>0</v>
      </c>
      <c r="AA37" s="492">
        <f>V37+Z37</f>
        <v>0</v>
      </c>
      <c r="AB37" s="74">
        <f>ROUND((V37+W37+X37)*33.8%,0)</f>
        <v>0</v>
      </c>
      <c r="AC37" s="74">
        <f>ROUND(V37*2%,0)</f>
        <v>0</v>
      </c>
      <c r="AD37" s="492">
        <v>0</v>
      </c>
      <c r="AE37" s="492">
        <v>0</v>
      </c>
      <c r="AF37" s="492">
        <f t="shared" si="12"/>
        <v>0</v>
      </c>
      <c r="AG37" s="492">
        <f t="shared" si="13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>AH37+AJ37+AM37</f>
        <v>0</v>
      </c>
      <c r="AP37" s="493">
        <f>AI37+AN37</f>
        <v>0</v>
      </c>
      <c r="AQ37" s="495">
        <f t="shared" si="16"/>
        <v>0</v>
      </c>
      <c r="AR37" s="501">
        <f>I37+AG37</f>
        <v>715571</v>
      </c>
      <c r="AS37" s="492">
        <f>J37+V37</f>
        <v>524667</v>
      </c>
      <c r="AT37" s="492">
        <f t="shared" si="35"/>
        <v>0</v>
      </c>
      <c r="AU37" s="492">
        <f t="shared" si="36"/>
        <v>177337</v>
      </c>
      <c r="AV37" s="492">
        <f t="shared" si="36"/>
        <v>10493</v>
      </c>
      <c r="AW37" s="492">
        <f>N37+AF37</f>
        <v>3074</v>
      </c>
      <c r="AX37" s="493">
        <f>O37+AQ37</f>
        <v>1.65</v>
      </c>
      <c r="AY37" s="493">
        <f t="shared" si="37"/>
        <v>0</v>
      </c>
      <c r="AZ37" s="495">
        <f t="shared" si="37"/>
        <v>1.65</v>
      </c>
    </row>
    <row r="38" spans="1:52" ht="12.95" customHeight="1" x14ac:dyDescent="0.25">
      <c r="A38" s="230">
        <v>6</v>
      </c>
      <c r="B38" s="50">
        <v>5463</v>
      </c>
      <c r="C38" s="50">
        <v>600098877</v>
      </c>
      <c r="D38" s="50">
        <v>72743786</v>
      </c>
      <c r="E38" s="413" t="s">
        <v>494</v>
      </c>
      <c r="F38" s="50"/>
      <c r="G38" s="413"/>
      <c r="H38" s="194"/>
      <c r="I38" s="635">
        <v>5742160</v>
      </c>
      <c r="J38" s="631">
        <v>4180903</v>
      </c>
      <c r="K38" s="631">
        <v>28080</v>
      </c>
      <c r="L38" s="631">
        <v>1422636</v>
      </c>
      <c r="M38" s="631">
        <v>83617</v>
      </c>
      <c r="N38" s="631">
        <v>26924</v>
      </c>
      <c r="O38" s="632">
        <v>10.126100000000001</v>
      </c>
      <c r="P38" s="632">
        <v>6.4919000000000002</v>
      </c>
      <c r="Q38" s="637">
        <v>3.6341999999999999</v>
      </c>
      <c r="R38" s="635">
        <f t="shared" ref="R38:AZ38" si="38">SUM(R35:R37)</f>
        <v>0</v>
      </c>
      <c r="S38" s="631">
        <f t="shared" si="38"/>
        <v>0</v>
      </c>
      <c r="T38" s="631">
        <f t="shared" si="38"/>
        <v>0</v>
      </c>
      <c r="U38" s="631">
        <f t="shared" si="38"/>
        <v>0</v>
      </c>
      <c r="V38" s="631">
        <f t="shared" si="38"/>
        <v>0</v>
      </c>
      <c r="W38" s="631">
        <f t="shared" si="38"/>
        <v>0</v>
      </c>
      <c r="X38" s="631">
        <f t="shared" si="38"/>
        <v>0</v>
      </c>
      <c r="Y38" s="631">
        <f t="shared" si="38"/>
        <v>0</v>
      </c>
      <c r="Z38" s="631">
        <f t="shared" si="38"/>
        <v>0</v>
      </c>
      <c r="AA38" s="631">
        <f t="shared" si="38"/>
        <v>0</v>
      </c>
      <c r="AB38" s="631">
        <f t="shared" si="38"/>
        <v>0</v>
      </c>
      <c r="AC38" s="631">
        <f t="shared" si="38"/>
        <v>0</v>
      </c>
      <c r="AD38" s="631">
        <f t="shared" si="38"/>
        <v>0</v>
      </c>
      <c r="AE38" s="631">
        <f t="shared" si="38"/>
        <v>0</v>
      </c>
      <c r="AF38" s="631">
        <f t="shared" si="38"/>
        <v>0</v>
      </c>
      <c r="AG38" s="631">
        <f t="shared" si="38"/>
        <v>0</v>
      </c>
      <c r="AH38" s="632">
        <f t="shared" si="38"/>
        <v>0</v>
      </c>
      <c r="AI38" s="632">
        <f t="shared" si="38"/>
        <v>0</v>
      </c>
      <c r="AJ38" s="632">
        <f t="shared" si="38"/>
        <v>0</v>
      </c>
      <c r="AK38" s="632">
        <f t="shared" si="38"/>
        <v>0</v>
      </c>
      <c r="AL38" s="632">
        <f t="shared" si="38"/>
        <v>0</v>
      </c>
      <c r="AM38" s="632">
        <f t="shared" si="38"/>
        <v>0</v>
      </c>
      <c r="AN38" s="632">
        <f t="shared" si="38"/>
        <v>0</v>
      </c>
      <c r="AO38" s="632">
        <f t="shared" si="38"/>
        <v>0</v>
      </c>
      <c r="AP38" s="632">
        <f t="shared" si="38"/>
        <v>0</v>
      </c>
      <c r="AQ38" s="414">
        <f t="shared" si="38"/>
        <v>0</v>
      </c>
      <c r="AR38" s="639">
        <f t="shared" si="38"/>
        <v>5742160</v>
      </c>
      <c r="AS38" s="631">
        <f t="shared" si="38"/>
        <v>4180903</v>
      </c>
      <c r="AT38" s="631">
        <f t="shared" si="38"/>
        <v>28080</v>
      </c>
      <c r="AU38" s="631">
        <f t="shared" si="38"/>
        <v>1422636</v>
      </c>
      <c r="AV38" s="631">
        <f t="shared" si="38"/>
        <v>83617</v>
      </c>
      <c r="AW38" s="631">
        <f t="shared" si="38"/>
        <v>26924</v>
      </c>
      <c r="AX38" s="632">
        <f t="shared" si="38"/>
        <v>10.126100000000001</v>
      </c>
      <c r="AY38" s="632">
        <f t="shared" si="38"/>
        <v>6.4919000000000002</v>
      </c>
      <c r="AZ38" s="414">
        <f t="shared" si="38"/>
        <v>3.6341999999999999</v>
      </c>
    </row>
    <row r="39" spans="1:52" ht="12.95" customHeight="1" x14ac:dyDescent="0.25">
      <c r="A39" s="313">
        <v>7</v>
      </c>
      <c r="B39" s="229">
        <v>5461</v>
      </c>
      <c r="C39" s="229">
        <v>600098915</v>
      </c>
      <c r="D39" s="229">
        <v>72743701</v>
      </c>
      <c r="E39" s="228" t="s">
        <v>495</v>
      </c>
      <c r="F39" s="229">
        <v>3111</v>
      </c>
      <c r="G39" s="412" t="s">
        <v>326</v>
      </c>
      <c r="H39" s="318" t="s">
        <v>278</v>
      </c>
      <c r="I39" s="494">
        <v>3461493</v>
      </c>
      <c r="J39" s="489">
        <v>2534052</v>
      </c>
      <c r="K39" s="489">
        <v>0</v>
      </c>
      <c r="L39" s="489">
        <v>856510</v>
      </c>
      <c r="M39" s="489">
        <v>50681</v>
      </c>
      <c r="N39" s="489">
        <v>20250</v>
      </c>
      <c r="O39" s="490">
        <v>5.4897999999999998</v>
      </c>
      <c r="P39" s="491">
        <v>4</v>
      </c>
      <c r="Q39" s="500">
        <v>1.4898</v>
      </c>
      <c r="R39" s="502">
        <f t="shared" si="10"/>
        <v>0</v>
      </c>
      <c r="S39" s="492">
        <v>0</v>
      </c>
      <c r="T39" s="492">
        <v>0</v>
      </c>
      <c r="U39" s="492">
        <v>0</v>
      </c>
      <c r="V39" s="492">
        <f t="shared" si="11"/>
        <v>0</v>
      </c>
      <c r="W39" s="492">
        <v>0</v>
      </c>
      <c r="X39" s="492">
        <v>0</v>
      </c>
      <c r="Y39" s="492">
        <v>0</v>
      </c>
      <c r="Z39" s="492">
        <f>SUM(W39:Y39)</f>
        <v>0</v>
      </c>
      <c r="AA39" s="492">
        <f>V39+Z39</f>
        <v>0</v>
      </c>
      <c r="AB39" s="74">
        <f>ROUND((V39+W39+X39)*33.8%,0)</f>
        <v>0</v>
      </c>
      <c r="AC39" s="74">
        <f>ROUND(V39*2%,0)</f>
        <v>0</v>
      </c>
      <c r="AD39" s="492">
        <v>0</v>
      </c>
      <c r="AE39" s="492">
        <v>0</v>
      </c>
      <c r="AF39" s="492">
        <f t="shared" si="12"/>
        <v>0</v>
      </c>
      <c r="AG39" s="492">
        <f t="shared" si="13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>AH39+AJ39+AM39</f>
        <v>0</v>
      </c>
      <c r="AP39" s="493">
        <f>AI39+AN39</f>
        <v>0</v>
      </c>
      <c r="AQ39" s="495">
        <f t="shared" si="16"/>
        <v>0</v>
      </c>
      <c r="AR39" s="501">
        <f>I39+AG39</f>
        <v>3461493</v>
      </c>
      <c r="AS39" s="492">
        <f>J39+V39</f>
        <v>2534052</v>
      </c>
      <c r="AT39" s="492">
        <f t="shared" ref="AT39:AT40" si="39">K39+Z39</f>
        <v>0</v>
      </c>
      <c r="AU39" s="492">
        <f>L39+AB39</f>
        <v>856510</v>
      </c>
      <c r="AV39" s="492">
        <f>M39+AC39</f>
        <v>50681</v>
      </c>
      <c r="AW39" s="492">
        <f>N39+AF39</f>
        <v>20250</v>
      </c>
      <c r="AX39" s="493">
        <f>O39+AQ39</f>
        <v>5.4897999999999998</v>
      </c>
      <c r="AY39" s="493">
        <f>P39+AO39</f>
        <v>4</v>
      </c>
      <c r="AZ39" s="495">
        <f>Q39+AP39</f>
        <v>1.4898</v>
      </c>
    </row>
    <row r="40" spans="1:52" ht="12.95" customHeight="1" x14ac:dyDescent="0.25">
      <c r="A40" s="313">
        <v>7</v>
      </c>
      <c r="B40" s="420">
        <v>5461</v>
      </c>
      <c r="C40" s="420">
        <v>600098915</v>
      </c>
      <c r="D40" s="420">
        <v>72743701</v>
      </c>
      <c r="E40" s="419" t="s">
        <v>495</v>
      </c>
      <c r="F40" s="420">
        <v>3141</v>
      </c>
      <c r="G40" s="412" t="s">
        <v>316</v>
      </c>
      <c r="H40" s="318" t="s">
        <v>279</v>
      </c>
      <c r="I40" s="494">
        <v>639668</v>
      </c>
      <c r="J40" s="489">
        <v>469115</v>
      </c>
      <c r="K40" s="489">
        <v>0</v>
      </c>
      <c r="L40" s="489">
        <v>158561</v>
      </c>
      <c r="M40" s="489">
        <v>9382</v>
      </c>
      <c r="N40" s="489">
        <v>2610</v>
      </c>
      <c r="O40" s="490">
        <v>1.48</v>
      </c>
      <c r="P40" s="491">
        <v>0</v>
      </c>
      <c r="Q40" s="500">
        <v>1.48</v>
      </c>
      <c r="R40" s="502">
        <f t="shared" si="10"/>
        <v>0</v>
      </c>
      <c r="S40" s="492">
        <v>0</v>
      </c>
      <c r="T40" s="492">
        <v>0</v>
      </c>
      <c r="U40" s="492">
        <v>0</v>
      </c>
      <c r="V40" s="492">
        <f t="shared" si="11"/>
        <v>0</v>
      </c>
      <c r="W40" s="492">
        <v>0</v>
      </c>
      <c r="X40" s="492">
        <v>0</v>
      </c>
      <c r="Y40" s="492">
        <v>0</v>
      </c>
      <c r="Z40" s="492">
        <f>SUM(W40:Y40)</f>
        <v>0</v>
      </c>
      <c r="AA40" s="492">
        <f>V40+Z40</f>
        <v>0</v>
      </c>
      <c r="AB40" s="74">
        <f>ROUND((V40+W40+X40)*33.8%,0)</f>
        <v>0</v>
      </c>
      <c r="AC40" s="74">
        <f>ROUND(V40*2%,0)</f>
        <v>0</v>
      </c>
      <c r="AD40" s="492">
        <v>0</v>
      </c>
      <c r="AE40" s="492">
        <v>0</v>
      </c>
      <c r="AF40" s="492">
        <f t="shared" si="12"/>
        <v>0</v>
      </c>
      <c r="AG40" s="492">
        <f t="shared" si="13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>AH40+AJ40+AM40</f>
        <v>0</v>
      </c>
      <c r="AP40" s="493">
        <f>AI40+AN40</f>
        <v>0</v>
      </c>
      <c r="AQ40" s="495">
        <f t="shared" si="16"/>
        <v>0</v>
      </c>
      <c r="AR40" s="501">
        <f>I40+AG40</f>
        <v>639668</v>
      </c>
      <c r="AS40" s="492">
        <f>J40+V40</f>
        <v>469115</v>
      </c>
      <c r="AT40" s="492">
        <f t="shared" si="39"/>
        <v>0</v>
      </c>
      <c r="AU40" s="492">
        <f>L40+AB40</f>
        <v>158561</v>
      </c>
      <c r="AV40" s="492">
        <f>M40+AC40</f>
        <v>9382</v>
      </c>
      <c r="AW40" s="492">
        <f>N40+AF40</f>
        <v>2610</v>
      </c>
      <c r="AX40" s="493">
        <f>O40+AQ40</f>
        <v>1.48</v>
      </c>
      <c r="AY40" s="493">
        <f>P40+AO40</f>
        <v>0</v>
      </c>
      <c r="AZ40" s="495">
        <f>Q40+AP40</f>
        <v>1.48</v>
      </c>
    </row>
    <row r="41" spans="1:52" ht="12.95" customHeight="1" x14ac:dyDescent="0.25">
      <c r="A41" s="230">
        <v>7</v>
      </c>
      <c r="B41" s="52">
        <v>5461</v>
      </c>
      <c r="C41" s="52">
        <v>600098915</v>
      </c>
      <c r="D41" s="52">
        <v>72743701</v>
      </c>
      <c r="E41" s="425" t="s">
        <v>496</v>
      </c>
      <c r="F41" s="52"/>
      <c r="G41" s="425"/>
      <c r="H41" s="196"/>
      <c r="I41" s="584">
        <v>4101161</v>
      </c>
      <c r="J41" s="580">
        <v>3003167</v>
      </c>
      <c r="K41" s="580">
        <v>0</v>
      </c>
      <c r="L41" s="580">
        <v>1015071</v>
      </c>
      <c r="M41" s="580">
        <v>60063</v>
      </c>
      <c r="N41" s="580">
        <v>22860</v>
      </c>
      <c r="O41" s="581">
        <v>6.9697999999999993</v>
      </c>
      <c r="P41" s="581">
        <v>4</v>
      </c>
      <c r="Q41" s="586">
        <v>2.9698000000000002</v>
      </c>
      <c r="R41" s="584">
        <f t="shared" ref="R41:AZ41" si="40">SUM(R39:R40)</f>
        <v>0</v>
      </c>
      <c r="S41" s="580">
        <f t="shared" si="40"/>
        <v>0</v>
      </c>
      <c r="T41" s="580">
        <f t="shared" si="40"/>
        <v>0</v>
      </c>
      <c r="U41" s="580">
        <f t="shared" si="40"/>
        <v>0</v>
      </c>
      <c r="V41" s="580">
        <f t="shared" si="40"/>
        <v>0</v>
      </c>
      <c r="W41" s="580">
        <f t="shared" si="40"/>
        <v>0</v>
      </c>
      <c r="X41" s="580">
        <f t="shared" si="40"/>
        <v>0</v>
      </c>
      <c r="Y41" s="580">
        <f t="shared" si="40"/>
        <v>0</v>
      </c>
      <c r="Z41" s="580">
        <f t="shared" si="40"/>
        <v>0</v>
      </c>
      <c r="AA41" s="580">
        <f t="shared" si="40"/>
        <v>0</v>
      </c>
      <c r="AB41" s="580">
        <f t="shared" si="40"/>
        <v>0</v>
      </c>
      <c r="AC41" s="580">
        <f t="shared" si="40"/>
        <v>0</v>
      </c>
      <c r="AD41" s="580">
        <f t="shared" si="40"/>
        <v>0</v>
      </c>
      <c r="AE41" s="580">
        <f t="shared" si="40"/>
        <v>0</v>
      </c>
      <c r="AF41" s="580">
        <f t="shared" si="40"/>
        <v>0</v>
      </c>
      <c r="AG41" s="580">
        <f t="shared" si="40"/>
        <v>0</v>
      </c>
      <c r="AH41" s="581">
        <f t="shared" si="40"/>
        <v>0</v>
      </c>
      <c r="AI41" s="581">
        <f t="shared" si="40"/>
        <v>0</v>
      </c>
      <c r="AJ41" s="581">
        <f t="shared" si="40"/>
        <v>0</v>
      </c>
      <c r="AK41" s="581">
        <f t="shared" si="40"/>
        <v>0</v>
      </c>
      <c r="AL41" s="581">
        <f t="shared" si="40"/>
        <v>0</v>
      </c>
      <c r="AM41" s="581">
        <f t="shared" si="40"/>
        <v>0</v>
      </c>
      <c r="AN41" s="581">
        <f t="shared" si="40"/>
        <v>0</v>
      </c>
      <c r="AO41" s="581">
        <f t="shared" si="40"/>
        <v>0</v>
      </c>
      <c r="AP41" s="581">
        <f t="shared" si="40"/>
        <v>0</v>
      </c>
      <c r="AQ41" s="312">
        <f t="shared" si="40"/>
        <v>0</v>
      </c>
      <c r="AR41" s="588">
        <f t="shared" si="40"/>
        <v>4101161</v>
      </c>
      <c r="AS41" s="580">
        <f t="shared" si="40"/>
        <v>3003167</v>
      </c>
      <c r="AT41" s="580">
        <f t="shared" si="40"/>
        <v>0</v>
      </c>
      <c r="AU41" s="580">
        <f t="shared" si="40"/>
        <v>1015071</v>
      </c>
      <c r="AV41" s="580">
        <f t="shared" si="40"/>
        <v>60063</v>
      </c>
      <c r="AW41" s="580">
        <f t="shared" si="40"/>
        <v>22860</v>
      </c>
      <c r="AX41" s="581">
        <f t="shared" si="40"/>
        <v>6.9697999999999993</v>
      </c>
      <c r="AY41" s="581">
        <f t="shared" si="40"/>
        <v>4</v>
      </c>
      <c r="AZ41" s="312">
        <f t="shared" si="40"/>
        <v>2.9698000000000002</v>
      </c>
    </row>
    <row r="42" spans="1:52" ht="12.95" customHeight="1" x14ac:dyDescent="0.25">
      <c r="A42" s="313">
        <v>8</v>
      </c>
      <c r="B42" s="409">
        <v>5466</v>
      </c>
      <c r="C42" s="409">
        <v>600098885</v>
      </c>
      <c r="D42" s="409">
        <v>72743794</v>
      </c>
      <c r="E42" s="410" t="s">
        <v>497</v>
      </c>
      <c r="F42" s="409">
        <v>3111</v>
      </c>
      <c r="G42" s="412" t="s">
        <v>326</v>
      </c>
      <c r="H42" s="318" t="s">
        <v>278</v>
      </c>
      <c r="I42" s="494">
        <v>8656593</v>
      </c>
      <c r="J42" s="489">
        <v>6327714</v>
      </c>
      <c r="K42" s="489">
        <v>5200</v>
      </c>
      <c r="L42" s="489">
        <v>2140525</v>
      </c>
      <c r="M42" s="489">
        <v>126554</v>
      </c>
      <c r="N42" s="489">
        <v>56600</v>
      </c>
      <c r="O42" s="490">
        <v>13.639200000000001</v>
      </c>
      <c r="P42" s="491">
        <v>9.99</v>
      </c>
      <c r="Q42" s="500">
        <v>3.6492000000000004</v>
      </c>
      <c r="R42" s="502">
        <f t="shared" si="10"/>
        <v>0</v>
      </c>
      <c r="S42" s="492">
        <v>0</v>
      </c>
      <c r="T42" s="492">
        <v>0</v>
      </c>
      <c r="U42" s="492">
        <v>0</v>
      </c>
      <c r="V42" s="492">
        <f t="shared" si="11"/>
        <v>0</v>
      </c>
      <c r="W42" s="713">
        <v>0</v>
      </c>
      <c r="X42" s="492">
        <v>0</v>
      </c>
      <c r="Y42" s="492">
        <v>0</v>
      </c>
      <c r="Z42" s="492">
        <f>SUM(W42:Y42)</f>
        <v>0</v>
      </c>
      <c r="AA42" s="492">
        <f>V42+Z42</f>
        <v>0</v>
      </c>
      <c r="AB42" s="74">
        <f>ROUND((V42+W42+X42)*33.8%,0)</f>
        <v>0</v>
      </c>
      <c r="AC42" s="74">
        <f>ROUND(V42*2%,0)</f>
        <v>0</v>
      </c>
      <c r="AD42" s="492">
        <v>0</v>
      </c>
      <c r="AE42" s="492">
        <v>0</v>
      </c>
      <c r="AF42" s="492">
        <f t="shared" si="12"/>
        <v>0</v>
      </c>
      <c r="AG42" s="492">
        <f t="shared" si="13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>AH42+AJ42+AM42</f>
        <v>0</v>
      </c>
      <c r="AP42" s="493">
        <f>AI42+AN42</f>
        <v>0</v>
      </c>
      <c r="AQ42" s="495">
        <f t="shared" si="16"/>
        <v>0</v>
      </c>
      <c r="AR42" s="501">
        <f>I42+AG42</f>
        <v>8656593</v>
      </c>
      <c r="AS42" s="492">
        <f>J42+V42</f>
        <v>6327714</v>
      </c>
      <c r="AT42" s="492">
        <f t="shared" ref="AT42:AT44" si="41">K42+Z42</f>
        <v>5200</v>
      </c>
      <c r="AU42" s="492">
        <f t="shared" ref="AU42:AV44" si="42">L42+AB42</f>
        <v>2140525</v>
      </c>
      <c r="AV42" s="492">
        <f t="shared" si="42"/>
        <v>126554</v>
      </c>
      <c r="AW42" s="492">
        <f>N42+AF42</f>
        <v>56600</v>
      </c>
      <c r="AX42" s="493">
        <f>O42+AQ42</f>
        <v>13.639200000000001</v>
      </c>
      <c r="AY42" s="493">
        <f t="shared" ref="AY42:AZ44" si="43">P42+AO42</f>
        <v>9.99</v>
      </c>
      <c r="AZ42" s="495">
        <f t="shared" si="43"/>
        <v>3.6492000000000004</v>
      </c>
    </row>
    <row r="43" spans="1:52" ht="12.95" customHeight="1" x14ac:dyDescent="0.25">
      <c r="A43" s="313">
        <v>8</v>
      </c>
      <c r="B43" s="409">
        <v>5466</v>
      </c>
      <c r="C43" s="409">
        <v>600098885</v>
      </c>
      <c r="D43" s="409">
        <v>72743794</v>
      </c>
      <c r="E43" s="410" t="s">
        <v>497</v>
      </c>
      <c r="F43" s="409">
        <v>3111</v>
      </c>
      <c r="G43" s="364" t="s">
        <v>314</v>
      </c>
      <c r="H43" s="318" t="s">
        <v>278</v>
      </c>
      <c r="I43" s="494">
        <v>266432</v>
      </c>
      <c r="J43" s="489">
        <v>196194</v>
      </c>
      <c r="K43" s="489">
        <v>0</v>
      </c>
      <c r="L43" s="489">
        <v>66314</v>
      </c>
      <c r="M43" s="489">
        <v>3924</v>
      </c>
      <c r="N43" s="489">
        <v>0</v>
      </c>
      <c r="O43" s="490">
        <v>0.5</v>
      </c>
      <c r="P43" s="491">
        <v>0.5</v>
      </c>
      <c r="Q43" s="500">
        <v>0</v>
      </c>
      <c r="R43" s="502">
        <f t="shared" si="10"/>
        <v>0</v>
      </c>
      <c r="S43" s="492">
        <v>0</v>
      </c>
      <c r="T43" s="492">
        <v>0</v>
      </c>
      <c r="U43" s="492">
        <v>0</v>
      </c>
      <c r="V43" s="492">
        <f t="shared" si="11"/>
        <v>0</v>
      </c>
      <c r="W43" s="492">
        <v>0</v>
      </c>
      <c r="X43" s="492">
        <v>0</v>
      </c>
      <c r="Y43" s="492">
        <v>0</v>
      </c>
      <c r="Z43" s="492">
        <f>SUM(W43:Y43)</f>
        <v>0</v>
      </c>
      <c r="AA43" s="492">
        <f>V43+Z43</f>
        <v>0</v>
      </c>
      <c r="AB43" s="74">
        <f>ROUND((V43+W43+X43)*33.8%,0)</f>
        <v>0</v>
      </c>
      <c r="AC43" s="74">
        <f>ROUND(V43*2%,0)</f>
        <v>0</v>
      </c>
      <c r="AD43" s="492">
        <v>0</v>
      </c>
      <c r="AE43" s="492">
        <v>0</v>
      </c>
      <c r="AF43" s="492">
        <f t="shared" ref="AF43" si="44">SUM(AD43:AE43)</f>
        <v>0</v>
      </c>
      <c r="AG43" s="492">
        <f t="shared" si="13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>AH43+AJ43+AM43</f>
        <v>0</v>
      </c>
      <c r="AP43" s="493">
        <f>AI43+AN43</f>
        <v>0</v>
      </c>
      <c r="AQ43" s="495">
        <f t="shared" ref="AQ43" si="45">SUM(AO43:AP43)</f>
        <v>0</v>
      </c>
      <c r="AR43" s="501">
        <f>I43+AG43</f>
        <v>266432</v>
      </c>
      <c r="AS43" s="492">
        <f>J43+V43</f>
        <v>196194</v>
      </c>
      <c r="AT43" s="492">
        <f t="shared" si="41"/>
        <v>0</v>
      </c>
      <c r="AU43" s="492">
        <f t="shared" si="42"/>
        <v>66314</v>
      </c>
      <c r="AV43" s="492">
        <f t="shared" si="42"/>
        <v>3924</v>
      </c>
      <c r="AW43" s="492">
        <f>N43+AF43</f>
        <v>0</v>
      </c>
      <c r="AX43" s="493">
        <f>O43+AQ43</f>
        <v>0.5</v>
      </c>
      <c r="AY43" s="493">
        <f t="shared" si="43"/>
        <v>0.5</v>
      </c>
      <c r="AZ43" s="495">
        <f t="shared" si="43"/>
        <v>0</v>
      </c>
    </row>
    <row r="44" spans="1:52" ht="12.95" customHeight="1" x14ac:dyDescent="0.25">
      <c r="A44" s="313">
        <v>8</v>
      </c>
      <c r="B44" s="229">
        <v>5466</v>
      </c>
      <c r="C44" s="229">
        <v>600098885</v>
      </c>
      <c r="D44" s="229">
        <v>72743794</v>
      </c>
      <c r="E44" s="411" t="s">
        <v>497</v>
      </c>
      <c r="F44" s="229">
        <v>3141</v>
      </c>
      <c r="G44" s="412" t="s">
        <v>316</v>
      </c>
      <c r="H44" s="318" t="s">
        <v>279</v>
      </c>
      <c r="I44" s="494">
        <v>1137952</v>
      </c>
      <c r="J44" s="489">
        <v>833520</v>
      </c>
      <c r="K44" s="489">
        <v>0</v>
      </c>
      <c r="L44" s="489">
        <v>281730</v>
      </c>
      <c r="M44" s="489">
        <v>16670</v>
      </c>
      <c r="N44" s="489">
        <v>6032</v>
      </c>
      <c r="O44" s="490">
        <v>2.63</v>
      </c>
      <c r="P44" s="491">
        <v>0</v>
      </c>
      <c r="Q44" s="500">
        <v>2.63</v>
      </c>
      <c r="R44" s="502">
        <f t="shared" si="10"/>
        <v>0</v>
      </c>
      <c r="S44" s="492">
        <v>0</v>
      </c>
      <c r="T44" s="492">
        <v>0</v>
      </c>
      <c r="U44" s="492">
        <v>0</v>
      </c>
      <c r="V44" s="492">
        <f t="shared" si="11"/>
        <v>0</v>
      </c>
      <c r="W44" s="713">
        <v>0</v>
      </c>
      <c r="X44" s="492">
        <v>0</v>
      </c>
      <c r="Y44" s="492">
        <v>0</v>
      </c>
      <c r="Z44" s="492">
        <f>SUM(W44:Y44)</f>
        <v>0</v>
      </c>
      <c r="AA44" s="492">
        <f>V44+Z44</f>
        <v>0</v>
      </c>
      <c r="AB44" s="74">
        <f>ROUND((V44+W44+X44)*33.8%,0)</f>
        <v>0</v>
      </c>
      <c r="AC44" s="74">
        <f>ROUND(V44*2%,0)</f>
        <v>0</v>
      </c>
      <c r="AD44" s="492">
        <v>0</v>
      </c>
      <c r="AE44" s="492">
        <v>0</v>
      </c>
      <c r="AF44" s="492">
        <f t="shared" si="12"/>
        <v>0</v>
      </c>
      <c r="AG44" s="492">
        <f t="shared" si="13"/>
        <v>0</v>
      </c>
      <c r="AH44" s="493">
        <v>0</v>
      </c>
      <c r="AI44" s="493">
        <v>0</v>
      </c>
      <c r="AJ44" s="493">
        <v>0</v>
      </c>
      <c r="AK44" s="493">
        <v>0</v>
      </c>
      <c r="AL44" s="493">
        <v>0</v>
      </c>
      <c r="AM44" s="493">
        <v>0</v>
      </c>
      <c r="AN44" s="493">
        <v>0</v>
      </c>
      <c r="AO44" s="493">
        <f>AH44+AJ44+AM44</f>
        <v>0</v>
      </c>
      <c r="AP44" s="493">
        <f>AI44+AN44</f>
        <v>0</v>
      </c>
      <c r="AQ44" s="495">
        <f t="shared" si="16"/>
        <v>0</v>
      </c>
      <c r="AR44" s="501">
        <f>I44+AG44</f>
        <v>1137952</v>
      </c>
      <c r="AS44" s="492">
        <f>J44+V44</f>
        <v>833520</v>
      </c>
      <c r="AT44" s="492">
        <f t="shared" si="41"/>
        <v>0</v>
      </c>
      <c r="AU44" s="492">
        <f t="shared" si="42"/>
        <v>281730</v>
      </c>
      <c r="AV44" s="492">
        <f t="shared" si="42"/>
        <v>16670</v>
      </c>
      <c r="AW44" s="492">
        <f>N44+AF44</f>
        <v>6032</v>
      </c>
      <c r="AX44" s="493">
        <f>O44+AQ44</f>
        <v>2.63</v>
      </c>
      <c r="AY44" s="493">
        <f t="shared" si="43"/>
        <v>0</v>
      </c>
      <c r="AZ44" s="495">
        <f t="shared" si="43"/>
        <v>2.63</v>
      </c>
    </row>
    <row r="45" spans="1:52" ht="12.95" customHeight="1" x14ac:dyDescent="0.25">
      <c r="A45" s="230">
        <v>8</v>
      </c>
      <c r="B45" s="50">
        <v>5466</v>
      </c>
      <c r="C45" s="50">
        <v>600098885</v>
      </c>
      <c r="D45" s="50">
        <v>72743794</v>
      </c>
      <c r="E45" s="413" t="s">
        <v>498</v>
      </c>
      <c r="F45" s="50"/>
      <c r="G45" s="413"/>
      <c r="H45" s="194"/>
      <c r="I45" s="584">
        <v>10060977</v>
      </c>
      <c r="J45" s="580">
        <v>7357428</v>
      </c>
      <c r="K45" s="580">
        <v>5200</v>
      </c>
      <c r="L45" s="580">
        <v>2488569</v>
      </c>
      <c r="M45" s="580">
        <v>147148</v>
      </c>
      <c r="N45" s="580">
        <v>62632</v>
      </c>
      <c r="O45" s="581">
        <v>16.769200000000001</v>
      </c>
      <c r="P45" s="581">
        <v>10.49</v>
      </c>
      <c r="Q45" s="586">
        <v>6.2792000000000003</v>
      </c>
      <c r="R45" s="584">
        <f t="shared" ref="R45:AZ45" si="46">SUM(R42:R44)</f>
        <v>0</v>
      </c>
      <c r="S45" s="580">
        <f t="shared" si="46"/>
        <v>0</v>
      </c>
      <c r="T45" s="580">
        <f t="shared" si="46"/>
        <v>0</v>
      </c>
      <c r="U45" s="580">
        <f t="shared" si="46"/>
        <v>0</v>
      </c>
      <c r="V45" s="580">
        <f t="shared" si="46"/>
        <v>0</v>
      </c>
      <c r="W45" s="580">
        <f t="shared" si="46"/>
        <v>0</v>
      </c>
      <c r="X45" s="580">
        <f t="shared" si="46"/>
        <v>0</v>
      </c>
      <c r="Y45" s="580">
        <f t="shared" si="46"/>
        <v>0</v>
      </c>
      <c r="Z45" s="580">
        <f t="shared" si="46"/>
        <v>0</v>
      </c>
      <c r="AA45" s="580">
        <f t="shared" si="46"/>
        <v>0</v>
      </c>
      <c r="AB45" s="580">
        <f t="shared" si="46"/>
        <v>0</v>
      </c>
      <c r="AC45" s="580">
        <f t="shared" si="46"/>
        <v>0</v>
      </c>
      <c r="AD45" s="580">
        <f t="shared" si="46"/>
        <v>0</v>
      </c>
      <c r="AE45" s="580">
        <f t="shared" si="46"/>
        <v>0</v>
      </c>
      <c r="AF45" s="580">
        <f t="shared" si="46"/>
        <v>0</v>
      </c>
      <c r="AG45" s="580">
        <f t="shared" si="46"/>
        <v>0</v>
      </c>
      <c r="AH45" s="581">
        <f t="shared" si="46"/>
        <v>0</v>
      </c>
      <c r="AI45" s="581">
        <f t="shared" si="46"/>
        <v>0</v>
      </c>
      <c r="AJ45" s="581">
        <f t="shared" si="46"/>
        <v>0</v>
      </c>
      <c r="AK45" s="581">
        <f t="shared" si="46"/>
        <v>0</v>
      </c>
      <c r="AL45" s="581">
        <f t="shared" si="46"/>
        <v>0</v>
      </c>
      <c r="AM45" s="581">
        <f t="shared" si="46"/>
        <v>0</v>
      </c>
      <c r="AN45" s="581">
        <f t="shared" si="46"/>
        <v>0</v>
      </c>
      <c r="AO45" s="581">
        <f t="shared" si="46"/>
        <v>0</v>
      </c>
      <c r="AP45" s="581">
        <f t="shared" si="46"/>
        <v>0</v>
      </c>
      <c r="AQ45" s="312">
        <f t="shared" si="46"/>
        <v>0</v>
      </c>
      <c r="AR45" s="588">
        <f t="shared" si="46"/>
        <v>10060977</v>
      </c>
      <c r="AS45" s="580">
        <f t="shared" si="46"/>
        <v>7357428</v>
      </c>
      <c r="AT45" s="580">
        <f t="shared" si="46"/>
        <v>5200</v>
      </c>
      <c r="AU45" s="580">
        <f t="shared" si="46"/>
        <v>2488569</v>
      </c>
      <c r="AV45" s="580">
        <f t="shared" si="46"/>
        <v>147148</v>
      </c>
      <c r="AW45" s="580">
        <f t="shared" si="46"/>
        <v>62632</v>
      </c>
      <c r="AX45" s="581">
        <f t="shared" si="46"/>
        <v>16.769200000000001</v>
      </c>
      <c r="AY45" s="581">
        <f t="shared" si="46"/>
        <v>10.49</v>
      </c>
      <c r="AZ45" s="312">
        <f t="shared" si="46"/>
        <v>6.2792000000000003</v>
      </c>
    </row>
    <row r="46" spans="1:52" ht="12.95" customHeight="1" x14ac:dyDescent="0.25">
      <c r="A46" s="313">
        <v>9</v>
      </c>
      <c r="B46" s="229">
        <v>5702</v>
      </c>
      <c r="C46" s="229">
        <v>600099547</v>
      </c>
      <c r="D46" s="229">
        <v>855022</v>
      </c>
      <c r="E46" s="410" t="s">
        <v>499</v>
      </c>
      <c r="F46" s="421">
        <v>3233</v>
      </c>
      <c r="G46" s="410" t="s">
        <v>408</v>
      </c>
      <c r="H46" s="318" t="s">
        <v>279</v>
      </c>
      <c r="I46" s="494">
        <v>4669509</v>
      </c>
      <c r="J46" s="489">
        <v>3433300</v>
      </c>
      <c r="K46" s="489">
        <v>0</v>
      </c>
      <c r="L46" s="489">
        <v>1160455</v>
      </c>
      <c r="M46" s="489">
        <v>68666</v>
      </c>
      <c r="N46" s="489">
        <v>7088</v>
      </c>
      <c r="O46" s="490">
        <v>7.75</v>
      </c>
      <c r="P46" s="491">
        <v>4.66</v>
      </c>
      <c r="Q46" s="500">
        <v>3.09</v>
      </c>
      <c r="R46" s="502">
        <f t="shared" si="10"/>
        <v>0</v>
      </c>
      <c r="S46" s="492">
        <v>0</v>
      </c>
      <c r="T46" s="492">
        <v>0</v>
      </c>
      <c r="U46" s="492">
        <v>0</v>
      </c>
      <c r="V46" s="492">
        <f t="shared" si="11"/>
        <v>0</v>
      </c>
      <c r="W46" s="492">
        <v>0</v>
      </c>
      <c r="X46" s="492">
        <v>0</v>
      </c>
      <c r="Y46" s="492">
        <v>0</v>
      </c>
      <c r="Z46" s="492">
        <f>SUM(W46:Y46)</f>
        <v>0</v>
      </c>
      <c r="AA46" s="492">
        <f>V46+Z46</f>
        <v>0</v>
      </c>
      <c r="AB46" s="74">
        <f>ROUND((V46+W46+X46)*33.8%,0)</f>
        <v>0</v>
      </c>
      <c r="AC46" s="74">
        <f>ROUND(V46*2%,0)</f>
        <v>0</v>
      </c>
      <c r="AD46" s="492">
        <v>0</v>
      </c>
      <c r="AE46" s="492">
        <v>41642</v>
      </c>
      <c r="AF46" s="492">
        <f t="shared" si="12"/>
        <v>41642</v>
      </c>
      <c r="AG46" s="492">
        <f t="shared" si="13"/>
        <v>41642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>AH46+AJ46+AM46</f>
        <v>0</v>
      </c>
      <c r="AP46" s="493">
        <f>AI46+AN46</f>
        <v>0</v>
      </c>
      <c r="AQ46" s="495">
        <f t="shared" si="16"/>
        <v>0</v>
      </c>
      <c r="AR46" s="501">
        <f>I46+AG46</f>
        <v>4711151</v>
      </c>
      <c r="AS46" s="492">
        <f>J46+V46</f>
        <v>3433300</v>
      </c>
      <c r="AT46" s="492">
        <f>K46+Z46</f>
        <v>0</v>
      </c>
      <c r="AU46" s="492">
        <f>L46+AB46</f>
        <v>1160455</v>
      </c>
      <c r="AV46" s="492">
        <f>M46+AC46</f>
        <v>68666</v>
      </c>
      <c r="AW46" s="492">
        <f>N46+AF46</f>
        <v>48730</v>
      </c>
      <c r="AX46" s="493">
        <f>O46+AQ46</f>
        <v>7.75</v>
      </c>
      <c r="AY46" s="493">
        <f>P46+AO46</f>
        <v>4.66</v>
      </c>
      <c r="AZ46" s="495">
        <f>Q46+AP46</f>
        <v>3.09</v>
      </c>
    </row>
    <row r="47" spans="1:52" ht="12.95" customHeight="1" x14ac:dyDescent="0.25">
      <c r="A47" s="230">
        <v>9</v>
      </c>
      <c r="B47" s="50">
        <v>5702</v>
      </c>
      <c r="C47" s="50">
        <v>600099547</v>
      </c>
      <c r="D47" s="50">
        <v>855022</v>
      </c>
      <c r="E47" s="422" t="s">
        <v>500</v>
      </c>
      <c r="F47" s="423"/>
      <c r="G47" s="422"/>
      <c r="H47" s="424"/>
      <c r="I47" s="635">
        <v>4669509</v>
      </c>
      <c r="J47" s="631">
        <v>3433300</v>
      </c>
      <c r="K47" s="631">
        <v>0</v>
      </c>
      <c r="L47" s="631">
        <v>1160455</v>
      </c>
      <c r="M47" s="631">
        <v>68666</v>
      </c>
      <c r="N47" s="631">
        <v>7088</v>
      </c>
      <c r="O47" s="632">
        <v>7.75</v>
      </c>
      <c r="P47" s="632">
        <v>4.66</v>
      </c>
      <c r="Q47" s="637">
        <v>3.09</v>
      </c>
      <c r="R47" s="635">
        <f t="shared" ref="R47:AZ47" si="47">SUM(R46)</f>
        <v>0</v>
      </c>
      <c r="S47" s="631">
        <f t="shared" si="47"/>
        <v>0</v>
      </c>
      <c r="T47" s="631">
        <f t="shared" si="47"/>
        <v>0</v>
      </c>
      <c r="U47" s="631">
        <f t="shared" si="47"/>
        <v>0</v>
      </c>
      <c r="V47" s="631">
        <f t="shared" si="47"/>
        <v>0</v>
      </c>
      <c r="W47" s="631">
        <f t="shared" si="47"/>
        <v>0</v>
      </c>
      <c r="X47" s="631">
        <f t="shared" si="47"/>
        <v>0</v>
      </c>
      <c r="Y47" s="631">
        <f t="shared" si="47"/>
        <v>0</v>
      </c>
      <c r="Z47" s="631">
        <f t="shared" si="47"/>
        <v>0</v>
      </c>
      <c r="AA47" s="631">
        <f t="shared" si="47"/>
        <v>0</v>
      </c>
      <c r="AB47" s="631">
        <f t="shared" si="47"/>
        <v>0</v>
      </c>
      <c r="AC47" s="631">
        <f t="shared" si="47"/>
        <v>0</v>
      </c>
      <c r="AD47" s="631">
        <f t="shared" si="47"/>
        <v>0</v>
      </c>
      <c r="AE47" s="631">
        <f t="shared" si="47"/>
        <v>41642</v>
      </c>
      <c r="AF47" s="631">
        <f t="shared" si="47"/>
        <v>41642</v>
      </c>
      <c r="AG47" s="631">
        <f t="shared" si="47"/>
        <v>41642</v>
      </c>
      <c r="AH47" s="632">
        <f t="shared" si="47"/>
        <v>0</v>
      </c>
      <c r="AI47" s="632">
        <f t="shared" si="47"/>
        <v>0</v>
      </c>
      <c r="AJ47" s="632">
        <f t="shared" si="47"/>
        <v>0</v>
      </c>
      <c r="AK47" s="632">
        <f t="shared" si="47"/>
        <v>0</v>
      </c>
      <c r="AL47" s="632">
        <f t="shared" si="47"/>
        <v>0</v>
      </c>
      <c r="AM47" s="632">
        <f t="shared" si="47"/>
        <v>0</v>
      </c>
      <c r="AN47" s="632">
        <f t="shared" si="47"/>
        <v>0</v>
      </c>
      <c r="AO47" s="632">
        <f t="shared" si="47"/>
        <v>0</v>
      </c>
      <c r="AP47" s="632">
        <f t="shared" si="47"/>
        <v>0</v>
      </c>
      <c r="AQ47" s="414">
        <f t="shared" si="47"/>
        <v>0</v>
      </c>
      <c r="AR47" s="639">
        <f t="shared" si="47"/>
        <v>4711151</v>
      </c>
      <c r="AS47" s="631">
        <f t="shared" si="47"/>
        <v>3433300</v>
      </c>
      <c r="AT47" s="631">
        <f t="shared" si="47"/>
        <v>0</v>
      </c>
      <c r="AU47" s="631">
        <f t="shared" si="47"/>
        <v>1160455</v>
      </c>
      <c r="AV47" s="631">
        <f t="shared" si="47"/>
        <v>68666</v>
      </c>
      <c r="AW47" s="631">
        <f t="shared" si="47"/>
        <v>48730</v>
      </c>
      <c r="AX47" s="632">
        <f t="shared" si="47"/>
        <v>7.75</v>
      </c>
      <c r="AY47" s="632">
        <f t="shared" si="47"/>
        <v>4.66</v>
      </c>
      <c r="AZ47" s="414">
        <f t="shared" si="47"/>
        <v>3.09</v>
      </c>
    </row>
    <row r="48" spans="1:52" ht="12.95" customHeight="1" x14ac:dyDescent="0.25">
      <c r="A48" s="313">
        <v>10</v>
      </c>
      <c r="B48" s="229">
        <v>5458</v>
      </c>
      <c r="C48" s="229">
        <v>600099288</v>
      </c>
      <c r="D48" s="229">
        <v>856126</v>
      </c>
      <c r="E48" s="411" t="s">
        <v>501</v>
      </c>
      <c r="F48" s="229">
        <v>3113</v>
      </c>
      <c r="G48" s="411" t="s">
        <v>330</v>
      </c>
      <c r="H48" s="318" t="s">
        <v>278</v>
      </c>
      <c r="I48" s="494">
        <v>39219037</v>
      </c>
      <c r="J48" s="489">
        <v>28093352</v>
      </c>
      <c r="K48" s="489">
        <v>162500</v>
      </c>
      <c r="L48" s="489">
        <v>9550478</v>
      </c>
      <c r="M48" s="489">
        <v>561867</v>
      </c>
      <c r="N48" s="489">
        <v>850840</v>
      </c>
      <c r="O48" s="490">
        <v>47.275300000000001</v>
      </c>
      <c r="P48" s="491">
        <v>36.9495</v>
      </c>
      <c r="Q48" s="500">
        <v>10.325800000000001</v>
      </c>
      <c r="R48" s="502">
        <f t="shared" si="10"/>
        <v>0</v>
      </c>
      <c r="S48" s="492">
        <v>0</v>
      </c>
      <c r="T48" s="492">
        <v>0</v>
      </c>
      <c r="U48" s="492">
        <v>0</v>
      </c>
      <c r="V48" s="492">
        <f t="shared" si="11"/>
        <v>0</v>
      </c>
      <c r="W48" s="713">
        <v>0</v>
      </c>
      <c r="X48" s="492">
        <v>0</v>
      </c>
      <c r="Y48" s="492">
        <v>0</v>
      </c>
      <c r="Z48" s="492">
        <f>SUM(W48:Y48)</f>
        <v>0</v>
      </c>
      <c r="AA48" s="492">
        <f>V48+Z48</f>
        <v>0</v>
      </c>
      <c r="AB48" s="74">
        <f>ROUND((V48+W48+X48)*33.8%,0)</f>
        <v>0</v>
      </c>
      <c r="AC48" s="74">
        <f>ROUND(V48*2%,0)</f>
        <v>0</v>
      </c>
      <c r="AD48" s="492">
        <v>0</v>
      </c>
      <c r="AE48" s="492">
        <v>0</v>
      </c>
      <c r="AF48" s="492">
        <f t="shared" si="12"/>
        <v>0</v>
      </c>
      <c r="AG48" s="492">
        <f t="shared" si="13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>AH48+AJ48+AM48</f>
        <v>0</v>
      </c>
      <c r="AP48" s="493">
        <f>AI48+AN48</f>
        <v>0</v>
      </c>
      <c r="AQ48" s="495">
        <f t="shared" si="16"/>
        <v>0</v>
      </c>
      <c r="AR48" s="501">
        <f>I48+AG48</f>
        <v>39219037</v>
      </c>
      <c r="AS48" s="492">
        <f>J48+V48</f>
        <v>28093352</v>
      </c>
      <c r="AT48" s="492">
        <f t="shared" ref="AT48:AT52" si="48">K48+Z48</f>
        <v>162500</v>
      </c>
      <c r="AU48" s="492">
        <f t="shared" ref="AU48:AV52" si="49">L48+AB48</f>
        <v>9550478</v>
      </c>
      <c r="AV48" s="492">
        <f t="shared" si="49"/>
        <v>561867</v>
      </c>
      <c r="AW48" s="492">
        <f>N48+AF48</f>
        <v>850840</v>
      </c>
      <c r="AX48" s="493">
        <f>O48+AQ48</f>
        <v>47.275300000000001</v>
      </c>
      <c r="AY48" s="493">
        <f t="shared" ref="AY48:AZ52" si="50">P48+AO48</f>
        <v>36.9495</v>
      </c>
      <c r="AZ48" s="495">
        <f t="shared" si="50"/>
        <v>10.325800000000001</v>
      </c>
    </row>
    <row r="49" spans="1:52" ht="12.95" customHeight="1" x14ac:dyDescent="0.25">
      <c r="A49" s="313">
        <v>10</v>
      </c>
      <c r="B49" s="229">
        <v>5458</v>
      </c>
      <c r="C49" s="229">
        <v>600099288</v>
      </c>
      <c r="D49" s="229">
        <v>856126</v>
      </c>
      <c r="E49" s="411" t="s">
        <v>501</v>
      </c>
      <c r="F49" s="229">
        <v>3113</v>
      </c>
      <c r="G49" s="356" t="s">
        <v>313</v>
      </c>
      <c r="H49" s="318" t="s">
        <v>279</v>
      </c>
      <c r="I49" s="494">
        <v>3867273</v>
      </c>
      <c r="J49" s="489">
        <v>2845930</v>
      </c>
      <c r="K49" s="489">
        <v>0</v>
      </c>
      <c r="L49" s="489">
        <v>961924</v>
      </c>
      <c r="M49" s="489">
        <v>56919</v>
      </c>
      <c r="N49" s="489">
        <v>2500</v>
      </c>
      <c r="O49" s="490">
        <v>7.26</v>
      </c>
      <c r="P49" s="491">
        <v>7.26</v>
      </c>
      <c r="Q49" s="500">
        <v>0</v>
      </c>
      <c r="R49" s="502">
        <f t="shared" si="10"/>
        <v>0</v>
      </c>
      <c r="S49" s="492">
        <v>17352</v>
      </c>
      <c r="T49" s="492">
        <v>0</v>
      </c>
      <c r="U49" s="492">
        <v>0</v>
      </c>
      <c r="V49" s="492">
        <f t="shared" si="11"/>
        <v>17352</v>
      </c>
      <c r="W49" s="713">
        <v>0</v>
      </c>
      <c r="X49" s="492">
        <v>0</v>
      </c>
      <c r="Y49" s="492">
        <v>0</v>
      </c>
      <c r="Z49" s="492">
        <f>SUM(W49:Y49)</f>
        <v>0</v>
      </c>
      <c r="AA49" s="492">
        <f>V49+Z49</f>
        <v>17352</v>
      </c>
      <c r="AB49" s="74">
        <f>ROUND((V49+W49+X49)*33.8%,0)</f>
        <v>5865</v>
      </c>
      <c r="AC49" s="74">
        <f>ROUND(V49*2%,0)</f>
        <v>347</v>
      </c>
      <c r="AD49" s="492">
        <v>0</v>
      </c>
      <c r="AE49" s="492">
        <v>0</v>
      </c>
      <c r="AF49" s="492">
        <f t="shared" si="12"/>
        <v>0</v>
      </c>
      <c r="AG49" s="492">
        <f t="shared" si="13"/>
        <v>23564</v>
      </c>
      <c r="AH49" s="493">
        <v>0</v>
      </c>
      <c r="AI49" s="493">
        <v>0</v>
      </c>
      <c r="AJ49" s="493">
        <v>0.04</v>
      </c>
      <c r="AK49" s="493">
        <v>0</v>
      </c>
      <c r="AL49" s="493">
        <v>0</v>
      </c>
      <c r="AM49" s="493">
        <v>0</v>
      </c>
      <c r="AN49" s="493">
        <v>0</v>
      </c>
      <c r="AO49" s="493">
        <f>AH49+AJ49+AM49</f>
        <v>0.04</v>
      </c>
      <c r="AP49" s="493">
        <f>AI49+AN49</f>
        <v>0</v>
      </c>
      <c r="AQ49" s="495">
        <f t="shared" si="16"/>
        <v>0.04</v>
      </c>
      <c r="AR49" s="501">
        <f>I49+AG49</f>
        <v>3890837</v>
      </c>
      <c r="AS49" s="492">
        <f>J49+V49</f>
        <v>2863282</v>
      </c>
      <c r="AT49" s="492">
        <f t="shared" si="48"/>
        <v>0</v>
      </c>
      <c r="AU49" s="492">
        <f t="shared" si="49"/>
        <v>967789</v>
      </c>
      <c r="AV49" s="492">
        <f t="shared" si="49"/>
        <v>57266</v>
      </c>
      <c r="AW49" s="492">
        <f>N49+AF49</f>
        <v>2500</v>
      </c>
      <c r="AX49" s="493">
        <f>O49+AQ49</f>
        <v>7.3</v>
      </c>
      <c r="AY49" s="493">
        <f t="shared" si="50"/>
        <v>7.3</v>
      </c>
      <c r="AZ49" s="495">
        <f t="shared" si="50"/>
        <v>0</v>
      </c>
    </row>
    <row r="50" spans="1:52" ht="12.95" customHeight="1" x14ac:dyDescent="0.25">
      <c r="A50" s="313">
        <v>10</v>
      </c>
      <c r="B50" s="229">
        <v>5458</v>
      </c>
      <c r="C50" s="229">
        <v>600099288</v>
      </c>
      <c r="D50" s="229">
        <v>856126</v>
      </c>
      <c r="E50" s="410" t="s">
        <v>501</v>
      </c>
      <c r="F50" s="421">
        <v>3141</v>
      </c>
      <c r="G50" s="412" t="s">
        <v>316</v>
      </c>
      <c r="H50" s="318" t="s">
        <v>279</v>
      </c>
      <c r="I50" s="494">
        <v>3588147</v>
      </c>
      <c r="J50" s="489">
        <v>2617116</v>
      </c>
      <c r="K50" s="489">
        <v>0</v>
      </c>
      <c r="L50" s="489">
        <v>884585</v>
      </c>
      <c r="M50" s="489">
        <v>52342</v>
      </c>
      <c r="N50" s="489">
        <v>34104</v>
      </c>
      <c r="O50" s="490">
        <v>8.24</v>
      </c>
      <c r="P50" s="491">
        <v>0</v>
      </c>
      <c r="Q50" s="500">
        <v>8.24</v>
      </c>
      <c r="R50" s="502">
        <f t="shared" si="10"/>
        <v>0</v>
      </c>
      <c r="S50" s="492">
        <v>0</v>
      </c>
      <c r="T50" s="492">
        <v>0</v>
      </c>
      <c r="U50" s="492">
        <v>0</v>
      </c>
      <c r="V50" s="492">
        <f t="shared" si="11"/>
        <v>0</v>
      </c>
      <c r="W50" s="713">
        <v>0</v>
      </c>
      <c r="X50" s="492">
        <v>0</v>
      </c>
      <c r="Y50" s="492">
        <v>0</v>
      </c>
      <c r="Z50" s="492">
        <f>SUM(W50:Y50)</f>
        <v>0</v>
      </c>
      <c r="AA50" s="492">
        <f>V50+Z50</f>
        <v>0</v>
      </c>
      <c r="AB50" s="74">
        <f>ROUND((V50+W50+X50)*33.8%,0)</f>
        <v>0</v>
      </c>
      <c r="AC50" s="74">
        <f>ROUND(V50*2%,0)</f>
        <v>0</v>
      </c>
      <c r="AD50" s="492">
        <v>0</v>
      </c>
      <c r="AE50" s="492">
        <v>0</v>
      </c>
      <c r="AF50" s="492">
        <f t="shared" si="12"/>
        <v>0</v>
      </c>
      <c r="AG50" s="492">
        <f t="shared" si="13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>AH50+AJ50+AM50</f>
        <v>0</v>
      </c>
      <c r="AP50" s="493">
        <f>AI50+AN50</f>
        <v>0</v>
      </c>
      <c r="AQ50" s="495">
        <f t="shared" si="16"/>
        <v>0</v>
      </c>
      <c r="AR50" s="501">
        <f>I50+AG50</f>
        <v>3588147</v>
      </c>
      <c r="AS50" s="492">
        <f>J50+V50</f>
        <v>2617116</v>
      </c>
      <c r="AT50" s="492">
        <f t="shared" si="48"/>
        <v>0</v>
      </c>
      <c r="AU50" s="492">
        <f t="shared" si="49"/>
        <v>884585</v>
      </c>
      <c r="AV50" s="492">
        <f t="shared" si="49"/>
        <v>52342</v>
      </c>
      <c r="AW50" s="492">
        <f>N50+AF50</f>
        <v>34104</v>
      </c>
      <c r="AX50" s="493">
        <f>O50+AQ50</f>
        <v>8.24</v>
      </c>
      <c r="AY50" s="493">
        <f t="shared" si="50"/>
        <v>0</v>
      </c>
      <c r="AZ50" s="495">
        <f t="shared" si="50"/>
        <v>8.24</v>
      </c>
    </row>
    <row r="51" spans="1:52" ht="12.95" customHeight="1" x14ac:dyDescent="0.25">
      <c r="A51" s="313">
        <v>10</v>
      </c>
      <c r="B51" s="229">
        <v>5458</v>
      </c>
      <c r="C51" s="229">
        <v>600099288</v>
      </c>
      <c r="D51" s="229">
        <v>856126</v>
      </c>
      <c r="E51" s="411" t="s">
        <v>501</v>
      </c>
      <c r="F51" s="229">
        <v>3143</v>
      </c>
      <c r="G51" s="356" t="s">
        <v>629</v>
      </c>
      <c r="H51" s="318" t="s">
        <v>278</v>
      </c>
      <c r="I51" s="494">
        <v>3007170</v>
      </c>
      <c r="J51" s="489">
        <v>2214411</v>
      </c>
      <c r="K51" s="489">
        <v>0</v>
      </c>
      <c r="L51" s="489">
        <v>748471</v>
      </c>
      <c r="M51" s="489">
        <v>44288</v>
      </c>
      <c r="N51" s="489">
        <v>0</v>
      </c>
      <c r="O51" s="490">
        <v>4.4692999999999996</v>
      </c>
      <c r="P51" s="491">
        <v>4.4692999999999996</v>
      </c>
      <c r="Q51" s="500">
        <v>0</v>
      </c>
      <c r="R51" s="502">
        <f t="shared" si="10"/>
        <v>0</v>
      </c>
      <c r="S51" s="492">
        <v>0</v>
      </c>
      <c r="T51" s="492">
        <v>0</v>
      </c>
      <c r="U51" s="492">
        <v>0</v>
      </c>
      <c r="V51" s="492">
        <f t="shared" si="11"/>
        <v>0</v>
      </c>
      <c r="W51" s="713">
        <v>0</v>
      </c>
      <c r="X51" s="492">
        <v>0</v>
      </c>
      <c r="Y51" s="492">
        <v>0</v>
      </c>
      <c r="Z51" s="492">
        <f>SUM(W51:Y51)</f>
        <v>0</v>
      </c>
      <c r="AA51" s="492">
        <f>V51+Z51</f>
        <v>0</v>
      </c>
      <c r="AB51" s="74">
        <f>ROUND((V51+W51+X51)*33.8%,0)</f>
        <v>0</v>
      </c>
      <c r="AC51" s="74">
        <f>ROUND(V51*2%,0)</f>
        <v>0</v>
      </c>
      <c r="AD51" s="492">
        <v>0</v>
      </c>
      <c r="AE51" s="492">
        <v>0</v>
      </c>
      <c r="AF51" s="492">
        <f t="shared" si="12"/>
        <v>0</v>
      </c>
      <c r="AG51" s="492">
        <f t="shared" si="13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>AH51+AJ51+AM51</f>
        <v>0</v>
      </c>
      <c r="AP51" s="493">
        <f>AI51+AN51</f>
        <v>0</v>
      </c>
      <c r="AQ51" s="495">
        <f t="shared" si="16"/>
        <v>0</v>
      </c>
      <c r="AR51" s="501">
        <f>I51+AG51</f>
        <v>3007170</v>
      </c>
      <c r="AS51" s="492">
        <f>J51+V51</f>
        <v>2214411</v>
      </c>
      <c r="AT51" s="492">
        <f t="shared" si="48"/>
        <v>0</v>
      </c>
      <c r="AU51" s="492">
        <f t="shared" si="49"/>
        <v>748471</v>
      </c>
      <c r="AV51" s="492">
        <f t="shared" si="49"/>
        <v>44288</v>
      </c>
      <c r="AW51" s="492">
        <f>N51+AF51</f>
        <v>0</v>
      </c>
      <c r="AX51" s="493">
        <f>O51+AQ51</f>
        <v>4.4692999999999996</v>
      </c>
      <c r="AY51" s="493">
        <f t="shared" si="50"/>
        <v>4.4692999999999996</v>
      </c>
      <c r="AZ51" s="495">
        <f t="shared" si="50"/>
        <v>0</v>
      </c>
    </row>
    <row r="52" spans="1:52" ht="12.95" customHeight="1" x14ac:dyDescent="0.25">
      <c r="A52" s="313">
        <v>10</v>
      </c>
      <c r="B52" s="229">
        <v>5458</v>
      </c>
      <c r="C52" s="229">
        <v>600099288</v>
      </c>
      <c r="D52" s="229">
        <v>856126</v>
      </c>
      <c r="E52" s="411" t="s">
        <v>501</v>
      </c>
      <c r="F52" s="229">
        <v>3143</v>
      </c>
      <c r="G52" s="356" t="s">
        <v>630</v>
      </c>
      <c r="H52" s="318" t="s">
        <v>279</v>
      </c>
      <c r="I52" s="494">
        <v>105840</v>
      </c>
      <c r="J52" s="489">
        <v>74845</v>
      </c>
      <c r="K52" s="489">
        <v>0</v>
      </c>
      <c r="L52" s="489">
        <v>25298</v>
      </c>
      <c r="M52" s="489">
        <v>1497</v>
      </c>
      <c r="N52" s="489">
        <v>4200</v>
      </c>
      <c r="O52" s="490">
        <v>0.28999999999999998</v>
      </c>
      <c r="P52" s="491">
        <v>0</v>
      </c>
      <c r="Q52" s="500">
        <v>0.28999999999999998</v>
      </c>
      <c r="R52" s="502">
        <f t="shared" si="10"/>
        <v>0</v>
      </c>
      <c r="S52" s="492">
        <v>0</v>
      </c>
      <c r="T52" s="492">
        <v>0</v>
      </c>
      <c r="U52" s="492">
        <v>0</v>
      </c>
      <c r="V52" s="492">
        <f t="shared" si="11"/>
        <v>0</v>
      </c>
      <c r="W52" s="713">
        <v>0</v>
      </c>
      <c r="X52" s="492">
        <v>0</v>
      </c>
      <c r="Y52" s="492">
        <v>0</v>
      </c>
      <c r="Z52" s="492">
        <f>SUM(W52:Y52)</f>
        <v>0</v>
      </c>
      <c r="AA52" s="492">
        <f>V52+Z52</f>
        <v>0</v>
      </c>
      <c r="AB52" s="74">
        <f>ROUND((V52+W52+X52)*33.8%,0)</f>
        <v>0</v>
      </c>
      <c r="AC52" s="74">
        <f>ROUND(V52*2%,0)</f>
        <v>0</v>
      </c>
      <c r="AD52" s="492">
        <v>0</v>
      </c>
      <c r="AE52" s="492">
        <v>0</v>
      </c>
      <c r="AF52" s="492">
        <f t="shared" si="12"/>
        <v>0</v>
      </c>
      <c r="AG52" s="492">
        <f t="shared" si="13"/>
        <v>0</v>
      </c>
      <c r="AH52" s="493">
        <v>0</v>
      </c>
      <c r="AI52" s="493">
        <v>0</v>
      </c>
      <c r="AJ52" s="493">
        <v>0</v>
      </c>
      <c r="AK52" s="493">
        <v>0</v>
      </c>
      <c r="AL52" s="493">
        <v>0</v>
      </c>
      <c r="AM52" s="493">
        <v>0</v>
      </c>
      <c r="AN52" s="493">
        <v>0</v>
      </c>
      <c r="AO52" s="493">
        <f>AH52+AJ52+AM52</f>
        <v>0</v>
      </c>
      <c r="AP52" s="493">
        <f>AI52+AN52</f>
        <v>0</v>
      </c>
      <c r="AQ52" s="495">
        <f t="shared" si="16"/>
        <v>0</v>
      </c>
      <c r="AR52" s="501">
        <f>I52+AG52</f>
        <v>105840</v>
      </c>
      <c r="AS52" s="492">
        <f>J52+V52</f>
        <v>74845</v>
      </c>
      <c r="AT52" s="492">
        <f t="shared" si="48"/>
        <v>0</v>
      </c>
      <c r="AU52" s="492">
        <f t="shared" si="49"/>
        <v>25298</v>
      </c>
      <c r="AV52" s="492">
        <f t="shared" si="49"/>
        <v>1497</v>
      </c>
      <c r="AW52" s="492">
        <f>N52+AF52</f>
        <v>4200</v>
      </c>
      <c r="AX52" s="493">
        <f>O52+AQ52</f>
        <v>0.28999999999999998</v>
      </c>
      <c r="AY52" s="493">
        <f t="shared" si="50"/>
        <v>0</v>
      </c>
      <c r="AZ52" s="495">
        <f t="shared" si="50"/>
        <v>0.28999999999999998</v>
      </c>
    </row>
    <row r="53" spans="1:52" ht="12.95" customHeight="1" x14ac:dyDescent="0.25">
      <c r="A53" s="230">
        <v>10</v>
      </c>
      <c r="B53" s="50">
        <v>5458</v>
      </c>
      <c r="C53" s="50">
        <v>600099288</v>
      </c>
      <c r="D53" s="50">
        <v>856126</v>
      </c>
      <c r="E53" s="413" t="s">
        <v>502</v>
      </c>
      <c r="F53" s="50"/>
      <c r="G53" s="413"/>
      <c r="H53" s="194"/>
      <c r="I53" s="636">
        <v>49787467</v>
      </c>
      <c r="J53" s="633">
        <v>35845654</v>
      </c>
      <c r="K53" s="633">
        <v>162500</v>
      </c>
      <c r="L53" s="633">
        <v>12170756</v>
      </c>
      <c r="M53" s="633">
        <v>716913</v>
      </c>
      <c r="N53" s="633">
        <v>891644</v>
      </c>
      <c r="O53" s="634">
        <v>67.534600000000012</v>
      </c>
      <c r="P53" s="634">
        <v>48.678799999999995</v>
      </c>
      <c r="Q53" s="638">
        <v>18.855800000000002</v>
      </c>
      <c r="R53" s="636">
        <f t="shared" ref="R53:AZ53" si="51">SUM(R48:R52)</f>
        <v>0</v>
      </c>
      <c r="S53" s="633">
        <f t="shared" si="51"/>
        <v>17352</v>
      </c>
      <c r="T53" s="633">
        <f t="shared" si="51"/>
        <v>0</v>
      </c>
      <c r="U53" s="633">
        <f t="shared" si="51"/>
        <v>0</v>
      </c>
      <c r="V53" s="633">
        <f t="shared" si="51"/>
        <v>17352</v>
      </c>
      <c r="W53" s="633">
        <f t="shared" si="51"/>
        <v>0</v>
      </c>
      <c r="X53" s="633">
        <f t="shared" si="51"/>
        <v>0</v>
      </c>
      <c r="Y53" s="633">
        <f t="shared" si="51"/>
        <v>0</v>
      </c>
      <c r="Z53" s="633">
        <f t="shared" si="51"/>
        <v>0</v>
      </c>
      <c r="AA53" s="633">
        <f t="shared" si="51"/>
        <v>17352</v>
      </c>
      <c r="AB53" s="633">
        <f t="shared" si="51"/>
        <v>5865</v>
      </c>
      <c r="AC53" s="633">
        <f t="shared" si="51"/>
        <v>347</v>
      </c>
      <c r="AD53" s="633">
        <f t="shared" si="51"/>
        <v>0</v>
      </c>
      <c r="AE53" s="633">
        <f t="shared" si="51"/>
        <v>0</v>
      </c>
      <c r="AF53" s="633">
        <f t="shared" si="51"/>
        <v>0</v>
      </c>
      <c r="AG53" s="633">
        <f t="shared" si="51"/>
        <v>23564</v>
      </c>
      <c r="AH53" s="634">
        <f t="shared" si="51"/>
        <v>0</v>
      </c>
      <c r="AI53" s="634">
        <f t="shared" si="51"/>
        <v>0</v>
      </c>
      <c r="AJ53" s="634">
        <f t="shared" si="51"/>
        <v>0.04</v>
      </c>
      <c r="AK53" s="634">
        <f t="shared" si="51"/>
        <v>0</v>
      </c>
      <c r="AL53" s="634">
        <f t="shared" si="51"/>
        <v>0</v>
      </c>
      <c r="AM53" s="634">
        <f t="shared" si="51"/>
        <v>0</v>
      </c>
      <c r="AN53" s="634">
        <f t="shared" si="51"/>
        <v>0</v>
      </c>
      <c r="AO53" s="634">
        <f t="shared" si="51"/>
        <v>0.04</v>
      </c>
      <c r="AP53" s="634">
        <f t="shared" si="51"/>
        <v>0</v>
      </c>
      <c r="AQ53" s="418">
        <f t="shared" si="51"/>
        <v>0.04</v>
      </c>
      <c r="AR53" s="640">
        <f t="shared" si="51"/>
        <v>49811031</v>
      </c>
      <c r="AS53" s="633">
        <f t="shared" si="51"/>
        <v>35863006</v>
      </c>
      <c r="AT53" s="633">
        <f t="shared" si="51"/>
        <v>162500</v>
      </c>
      <c r="AU53" s="633">
        <f t="shared" si="51"/>
        <v>12176621</v>
      </c>
      <c r="AV53" s="633">
        <f t="shared" si="51"/>
        <v>717260</v>
      </c>
      <c r="AW53" s="633">
        <f t="shared" si="51"/>
        <v>891644</v>
      </c>
      <c r="AX53" s="634">
        <f t="shared" si="51"/>
        <v>67.574600000000004</v>
      </c>
      <c r="AY53" s="634">
        <f t="shared" si="51"/>
        <v>48.718799999999995</v>
      </c>
      <c r="AZ53" s="418">
        <f t="shared" si="51"/>
        <v>18.855800000000002</v>
      </c>
    </row>
    <row r="54" spans="1:52" ht="12.95" customHeight="1" x14ac:dyDescent="0.25">
      <c r="A54" s="313">
        <v>11</v>
      </c>
      <c r="B54" s="229">
        <v>5456</v>
      </c>
      <c r="C54" s="229">
        <v>600099369</v>
      </c>
      <c r="D54" s="229">
        <v>854794</v>
      </c>
      <c r="E54" s="411" t="s">
        <v>503</v>
      </c>
      <c r="F54" s="229">
        <v>3113</v>
      </c>
      <c r="G54" s="411" t="s">
        <v>330</v>
      </c>
      <c r="H54" s="318" t="s">
        <v>278</v>
      </c>
      <c r="I54" s="494">
        <v>49011635</v>
      </c>
      <c r="J54" s="489">
        <v>34904040</v>
      </c>
      <c r="K54" s="489">
        <v>460260</v>
      </c>
      <c r="L54" s="489">
        <v>11953134</v>
      </c>
      <c r="M54" s="489">
        <v>698081</v>
      </c>
      <c r="N54" s="489">
        <v>996120</v>
      </c>
      <c r="O54" s="490">
        <v>62.093200000000003</v>
      </c>
      <c r="P54" s="491">
        <v>49.168299999999995</v>
      </c>
      <c r="Q54" s="500">
        <v>12.924899999999999</v>
      </c>
      <c r="R54" s="502">
        <f t="shared" si="10"/>
        <v>0</v>
      </c>
      <c r="S54" s="492">
        <v>0</v>
      </c>
      <c r="T54" s="492">
        <v>0</v>
      </c>
      <c r="U54" s="492">
        <v>0</v>
      </c>
      <c r="V54" s="492">
        <f t="shared" si="11"/>
        <v>0</v>
      </c>
      <c r="W54" s="713">
        <v>0</v>
      </c>
      <c r="X54" s="492">
        <v>0</v>
      </c>
      <c r="Y54" s="492">
        <v>0</v>
      </c>
      <c r="Z54" s="492">
        <f>SUM(W54:Y54)</f>
        <v>0</v>
      </c>
      <c r="AA54" s="492">
        <f>V54+Z54</f>
        <v>0</v>
      </c>
      <c r="AB54" s="74">
        <f>ROUND((V54+W54+X54)*33.8%,0)</f>
        <v>0</v>
      </c>
      <c r="AC54" s="74">
        <f>ROUND(V54*2%,0)</f>
        <v>0</v>
      </c>
      <c r="AD54" s="492">
        <v>0</v>
      </c>
      <c r="AE54" s="492">
        <v>0</v>
      </c>
      <c r="AF54" s="492">
        <f t="shared" si="12"/>
        <v>0</v>
      </c>
      <c r="AG54" s="492">
        <f t="shared" si="13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>AH54+AJ54+AM54</f>
        <v>0</v>
      </c>
      <c r="AP54" s="493">
        <f>AI54+AN54</f>
        <v>0</v>
      </c>
      <c r="AQ54" s="495">
        <f t="shared" si="16"/>
        <v>0</v>
      </c>
      <c r="AR54" s="501">
        <f>I54+AG54</f>
        <v>49011635</v>
      </c>
      <c r="AS54" s="492">
        <f>J54+V54</f>
        <v>34904040</v>
      </c>
      <c r="AT54" s="492">
        <f t="shared" ref="AT54:AT58" si="52">K54+Z54</f>
        <v>460260</v>
      </c>
      <c r="AU54" s="492">
        <f t="shared" ref="AU54:AV58" si="53">L54+AB54</f>
        <v>11953134</v>
      </c>
      <c r="AV54" s="492">
        <f t="shared" si="53"/>
        <v>698081</v>
      </c>
      <c r="AW54" s="492">
        <f>N54+AF54</f>
        <v>996120</v>
      </c>
      <c r="AX54" s="493">
        <f>O54+AQ54</f>
        <v>62.093200000000003</v>
      </c>
      <c r="AY54" s="493">
        <f t="shared" ref="AY54:AZ58" si="54">P54+AO54</f>
        <v>49.168299999999995</v>
      </c>
      <c r="AZ54" s="495">
        <f t="shared" si="54"/>
        <v>12.924899999999999</v>
      </c>
    </row>
    <row r="55" spans="1:52" ht="12.95" customHeight="1" x14ac:dyDescent="0.25">
      <c r="A55" s="313">
        <v>11</v>
      </c>
      <c r="B55" s="229">
        <v>5456</v>
      </c>
      <c r="C55" s="229">
        <v>600099369</v>
      </c>
      <c r="D55" s="229">
        <v>854794</v>
      </c>
      <c r="E55" s="228" t="s">
        <v>503</v>
      </c>
      <c r="F55" s="229">
        <v>3113</v>
      </c>
      <c r="G55" s="356" t="s">
        <v>313</v>
      </c>
      <c r="H55" s="318" t="s">
        <v>279</v>
      </c>
      <c r="I55" s="494">
        <v>5178799</v>
      </c>
      <c r="J55" s="489">
        <v>3811708</v>
      </c>
      <c r="K55" s="489">
        <v>0</v>
      </c>
      <c r="L55" s="489">
        <v>1288357</v>
      </c>
      <c r="M55" s="489">
        <v>76234</v>
      </c>
      <c r="N55" s="489">
        <v>2500</v>
      </c>
      <c r="O55" s="490">
        <v>10.209999999999999</v>
      </c>
      <c r="P55" s="491">
        <v>10.209999999999999</v>
      </c>
      <c r="Q55" s="500">
        <v>0</v>
      </c>
      <c r="R55" s="502">
        <f t="shared" si="10"/>
        <v>0</v>
      </c>
      <c r="S55" s="492">
        <v>0</v>
      </c>
      <c r="T55" s="492">
        <v>0</v>
      </c>
      <c r="U55" s="492">
        <v>0</v>
      </c>
      <c r="V55" s="492">
        <f t="shared" si="11"/>
        <v>0</v>
      </c>
      <c r="W55" s="713">
        <v>0</v>
      </c>
      <c r="X55" s="492">
        <v>0</v>
      </c>
      <c r="Y55" s="492">
        <v>0</v>
      </c>
      <c r="Z55" s="492">
        <f>SUM(W55:Y55)</f>
        <v>0</v>
      </c>
      <c r="AA55" s="492">
        <f>V55+Z55</f>
        <v>0</v>
      </c>
      <c r="AB55" s="74">
        <f>ROUND((V55+W55+X55)*33.8%,0)</f>
        <v>0</v>
      </c>
      <c r="AC55" s="74">
        <f>ROUND(V55*2%,0)</f>
        <v>0</v>
      </c>
      <c r="AD55" s="492">
        <v>0</v>
      </c>
      <c r="AE55" s="492">
        <v>0</v>
      </c>
      <c r="AF55" s="492">
        <f t="shared" si="12"/>
        <v>0</v>
      </c>
      <c r="AG55" s="492">
        <f t="shared" si="13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>AH55+AJ55+AM55</f>
        <v>0</v>
      </c>
      <c r="AP55" s="493">
        <f>AI55+AN55</f>
        <v>0</v>
      </c>
      <c r="AQ55" s="495">
        <f t="shared" si="16"/>
        <v>0</v>
      </c>
      <c r="AR55" s="501">
        <f>I55+AG55</f>
        <v>5178799</v>
      </c>
      <c r="AS55" s="492">
        <f>J55+V55</f>
        <v>3811708</v>
      </c>
      <c r="AT55" s="492">
        <f t="shared" si="52"/>
        <v>0</v>
      </c>
      <c r="AU55" s="492">
        <f t="shared" si="53"/>
        <v>1288357</v>
      </c>
      <c r="AV55" s="492">
        <f t="shared" si="53"/>
        <v>76234</v>
      </c>
      <c r="AW55" s="492">
        <f>N55+AF55</f>
        <v>2500</v>
      </c>
      <c r="AX55" s="493">
        <f>O55+AQ55</f>
        <v>10.209999999999999</v>
      </c>
      <c r="AY55" s="493">
        <f t="shared" si="54"/>
        <v>10.209999999999999</v>
      </c>
      <c r="AZ55" s="495">
        <f t="shared" si="54"/>
        <v>0</v>
      </c>
    </row>
    <row r="56" spans="1:52" ht="12.95" customHeight="1" x14ac:dyDescent="0.25">
      <c r="A56" s="313">
        <v>11</v>
      </c>
      <c r="B56" s="229">
        <v>5456</v>
      </c>
      <c r="C56" s="229">
        <v>600099369</v>
      </c>
      <c r="D56" s="229">
        <v>854794</v>
      </c>
      <c r="E56" s="410" t="s">
        <v>503</v>
      </c>
      <c r="F56" s="421">
        <v>3141</v>
      </c>
      <c r="G56" s="412" t="s">
        <v>316</v>
      </c>
      <c r="H56" s="318" t="s">
        <v>279</v>
      </c>
      <c r="I56" s="494">
        <v>5693150</v>
      </c>
      <c r="J56" s="489">
        <v>4144072</v>
      </c>
      <c r="K56" s="489">
        <v>6500</v>
      </c>
      <c r="L56" s="489">
        <v>1402893</v>
      </c>
      <c r="M56" s="489">
        <v>82881</v>
      </c>
      <c r="N56" s="489">
        <v>56804</v>
      </c>
      <c r="O56" s="490">
        <v>13.08</v>
      </c>
      <c r="P56" s="491">
        <v>0</v>
      </c>
      <c r="Q56" s="500">
        <v>13.08</v>
      </c>
      <c r="R56" s="502">
        <f t="shared" si="10"/>
        <v>0</v>
      </c>
      <c r="S56" s="492">
        <v>0</v>
      </c>
      <c r="T56" s="492">
        <v>0</v>
      </c>
      <c r="U56" s="492">
        <v>0</v>
      </c>
      <c r="V56" s="492">
        <f t="shared" si="11"/>
        <v>0</v>
      </c>
      <c r="W56" s="713">
        <v>0</v>
      </c>
      <c r="X56" s="492">
        <v>0</v>
      </c>
      <c r="Y56" s="492">
        <v>0</v>
      </c>
      <c r="Z56" s="492">
        <f>SUM(W56:Y56)</f>
        <v>0</v>
      </c>
      <c r="AA56" s="492">
        <f>V56+Z56</f>
        <v>0</v>
      </c>
      <c r="AB56" s="74">
        <f>ROUND((V56+W56+X56)*33.8%,0)</f>
        <v>0</v>
      </c>
      <c r="AC56" s="74">
        <f>ROUND(V56*2%,0)</f>
        <v>0</v>
      </c>
      <c r="AD56" s="492">
        <v>0</v>
      </c>
      <c r="AE56" s="492">
        <v>0</v>
      </c>
      <c r="AF56" s="492">
        <f t="shared" si="12"/>
        <v>0</v>
      </c>
      <c r="AG56" s="492">
        <f t="shared" si="13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>AH56+AJ56+AM56</f>
        <v>0</v>
      </c>
      <c r="AP56" s="493">
        <f>AI56+AN56</f>
        <v>0</v>
      </c>
      <c r="AQ56" s="495">
        <f t="shared" si="16"/>
        <v>0</v>
      </c>
      <c r="AR56" s="501">
        <f>I56+AG56</f>
        <v>5693150</v>
      </c>
      <c r="AS56" s="492">
        <f>J56+V56</f>
        <v>4144072</v>
      </c>
      <c r="AT56" s="492">
        <f t="shared" si="52"/>
        <v>6500</v>
      </c>
      <c r="AU56" s="492">
        <f t="shared" si="53"/>
        <v>1402893</v>
      </c>
      <c r="AV56" s="492">
        <f t="shared" si="53"/>
        <v>82881</v>
      </c>
      <c r="AW56" s="492">
        <f>N56+AF56</f>
        <v>56804</v>
      </c>
      <c r="AX56" s="493">
        <f>O56+AQ56</f>
        <v>13.08</v>
      </c>
      <c r="AY56" s="493">
        <f t="shared" si="54"/>
        <v>0</v>
      </c>
      <c r="AZ56" s="495">
        <f t="shared" si="54"/>
        <v>13.08</v>
      </c>
    </row>
    <row r="57" spans="1:52" ht="12.95" customHeight="1" x14ac:dyDescent="0.25">
      <c r="A57" s="313">
        <v>11</v>
      </c>
      <c r="B57" s="229">
        <v>5456</v>
      </c>
      <c r="C57" s="229">
        <v>600099369</v>
      </c>
      <c r="D57" s="229">
        <v>854794</v>
      </c>
      <c r="E57" s="228" t="s">
        <v>503</v>
      </c>
      <c r="F57" s="229">
        <v>3143</v>
      </c>
      <c r="G57" s="356" t="s">
        <v>629</v>
      </c>
      <c r="H57" s="318" t="s">
        <v>278</v>
      </c>
      <c r="I57" s="494">
        <v>3313842</v>
      </c>
      <c r="J57" s="489">
        <v>2437035</v>
      </c>
      <c r="K57" s="489">
        <v>3250</v>
      </c>
      <c r="L57" s="489">
        <v>824816</v>
      </c>
      <c r="M57" s="489">
        <v>48741</v>
      </c>
      <c r="N57" s="489">
        <v>0</v>
      </c>
      <c r="O57" s="490">
        <v>4.8182999999999998</v>
      </c>
      <c r="P57" s="491">
        <v>4.8182999999999998</v>
      </c>
      <c r="Q57" s="500">
        <v>0</v>
      </c>
      <c r="R57" s="502">
        <f t="shared" si="10"/>
        <v>0</v>
      </c>
      <c r="S57" s="492">
        <v>0</v>
      </c>
      <c r="T57" s="492">
        <v>0</v>
      </c>
      <c r="U57" s="492">
        <v>0</v>
      </c>
      <c r="V57" s="492">
        <f t="shared" si="11"/>
        <v>0</v>
      </c>
      <c r="W57" s="713">
        <v>0</v>
      </c>
      <c r="X57" s="492">
        <v>0</v>
      </c>
      <c r="Y57" s="492">
        <v>0</v>
      </c>
      <c r="Z57" s="492">
        <f>SUM(W57:Y57)</f>
        <v>0</v>
      </c>
      <c r="AA57" s="492">
        <f>V57+Z57</f>
        <v>0</v>
      </c>
      <c r="AB57" s="74">
        <f>ROUND((V57+W57+X57)*33.8%,0)</f>
        <v>0</v>
      </c>
      <c r="AC57" s="74">
        <f>ROUND(V57*2%,0)</f>
        <v>0</v>
      </c>
      <c r="AD57" s="492">
        <v>0</v>
      </c>
      <c r="AE57" s="492">
        <v>0</v>
      </c>
      <c r="AF57" s="492">
        <f t="shared" si="12"/>
        <v>0</v>
      </c>
      <c r="AG57" s="492">
        <f t="shared" si="13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>AH57+AJ57+AM57</f>
        <v>0</v>
      </c>
      <c r="AP57" s="493">
        <f>AI57+AN57</f>
        <v>0</v>
      </c>
      <c r="AQ57" s="495">
        <f t="shared" si="16"/>
        <v>0</v>
      </c>
      <c r="AR57" s="501">
        <f>I57+AG57</f>
        <v>3313842</v>
      </c>
      <c r="AS57" s="492">
        <f>J57+V57</f>
        <v>2437035</v>
      </c>
      <c r="AT57" s="492">
        <f t="shared" si="52"/>
        <v>3250</v>
      </c>
      <c r="AU57" s="492">
        <f t="shared" si="53"/>
        <v>824816</v>
      </c>
      <c r="AV57" s="492">
        <f t="shared" si="53"/>
        <v>48741</v>
      </c>
      <c r="AW57" s="492">
        <f>N57+AF57</f>
        <v>0</v>
      </c>
      <c r="AX57" s="493">
        <f>O57+AQ57</f>
        <v>4.8182999999999998</v>
      </c>
      <c r="AY57" s="493">
        <f t="shared" si="54"/>
        <v>4.8182999999999998</v>
      </c>
      <c r="AZ57" s="495">
        <f t="shared" si="54"/>
        <v>0</v>
      </c>
    </row>
    <row r="58" spans="1:52" ht="12.95" customHeight="1" x14ac:dyDescent="0.25">
      <c r="A58" s="313">
        <v>11</v>
      </c>
      <c r="B58" s="229">
        <v>5456</v>
      </c>
      <c r="C58" s="229">
        <v>600099369</v>
      </c>
      <c r="D58" s="229">
        <v>854794</v>
      </c>
      <c r="E58" s="228" t="s">
        <v>503</v>
      </c>
      <c r="F58" s="229">
        <v>3143</v>
      </c>
      <c r="G58" s="356" t="s">
        <v>630</v>
      </c>
      <c r="H58" s="318" t="s">
        <v>279</v>
      </c>
      <c r="I58" s="494">
        <v>113400</v>
      </c>
      <c r="J58" s="489">
        <v>80191</v>
      </c>
      <c r="K58" s="489">
        <v>0</v>
      </c>
      <c r="L58" s="489">
        <v>27105</v>
      </c>
      <c r="M58" s="489">
        <v>1604</v>
      </c>
      <c r="N58" s="489">
        <v>4500</v>
      </c>
      <c r="O58" s="490">
        <v>0.31</v>
      </c>
      <c r="P58" s="491">
        <v>0</v>
      </c>
      <c r="Q58" s="500">
        <v>0.31</v>
      </c>
      <c r="R58" s="502">
        <f t="shared" si="10"/>
        <v>0</v>
      </c>
      <c r="S58" s="492">
        <v>0</v>
      </c>
      <c r="T58" s="492">
        <v>0</v>
      </c>
      <c r="U58" s="492">
        <v>0</v>
      </c>
      <c r="V58" s="492">
        <f t="shared" si="11"/>
        <v>0</v>
      </c>
      <c r="W58" s="713">
        <v>0</v>
      </c>
      <c r="X58" s="492">
        <v>0</v>
      </c>
      <c r="Y58" s="492">
        <v>0</v>
      </c>
      <c r="Z58" s="492">
        <f>SUM(W58:Y58)</f>
        <v>0</v>
      </c>
      <c r="AA58" s="492">
        <f>V58+Z58</f>
        <v>0</v>
      </c>
      <c r="AB58" s="74">
        <f>ROUND((V58+W58+X58)*33.8%,0)</f>
        <v>0</v>
      </c>
      <c r="AC58" s="74">
        <f>ROUND(V58*2%,0)</f>
        <v>0</v>
      </c>
      <c r="AD58" s="492">
        <v>0</v>
      </c>
      <c r="AE58" s="492">
        <v>0</v>
      </c>
      <c r="AF58" s="492">
        <f t="shared" si="12"/>
        <v>0</v>
      </c>
      <c r="AG58" s="492">
        <f t="shared" si="13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>AH58+AJ58+AM58</f>
        <v>0</v>
      </c>
      <c r="AP58" s="493">
        <f>AI58+AN58</f>
        <v>0</v>
      </c>
      <c r="AQ58" s="495">
        <f t="shared" si="16"/>
        <v>0</v>
      </c>
      <c r="AR58" s="501">
        <f>I58+AG58</f>
        <v>113400</v>
      </c>
      <c r="AS58" s="492">
        <f>J58+V58</f>
        <v>80191</v>
      </c>
      <c r="AT58" s="492">
        <f t="shared" si="52"/>
        <v>0</v>
      </c>
      <c r="AU58" s="492">
        <f t="shared" si="53"/>
        <v>27105</v>
      </c>
      <c r="AV58" s="492">
        <f t="shared" si="53"/>
        <v>1604</v>
      </c>
      <c r="AW58" s="492">
        <f>N58+AF58</f>
        <v>4500</v>
      </c>
      <c r="AX58" s="493">
        <f>O58+AQ58</f>
        <v>0.31</v>
      </c>
      <c r="AY58" s="493">
        <f t="shared" si="54"/>
        <v>0</v>
      </c>
      <c r="AZ58" s="495">
        <f t="shared" si="54"/>
        <v>0.31</v>
      </c>
    </row>
    <row r="59" spans="1:52" ht="12.95" customHeight="1" x14ac:dyDescent="0.25">
      <c r="A59" s="230">
        <v>11</v>
      </c>
      <c r="B59" s="53">
        <v>5456</v>
      </c>
      <c r="C59" s="53">
        <v>600099369</v>
      </c>
      <c r="D59" s="53">
        <v>854794</v>
      </c>
      <c r="E59" s="413" t="s">
        <v>504</v>
      </c>
      <c r="F59" s="53"/>
      <c r="G59" s="426"/>
      <c r="H59" s="197"/>
      <c r="I59" s="584">
        <v>63310826</v>
      </c>
      <c r="J59" s="580">
        <v>45377046</v>
      </c>
      <c r="K59" s="580">
        <v>470010</v>
      </c>
      <c r="L59" s="580">
        <v>15496305</v>
      </c>
      <c r="M59" s="580">
        <v>907541</v>
      </c>
      <c r="N59" s="580">
        <v>1059924</v>
      </c>
      <c r="O59" s="581">
        <v>90.511499999999998</v>
      </c>
      <c r="P59" s="581">
        <v>64.196599999999989</v>
      </c>
      <c r="Q59" s="586">
        <v>26.314899999999998</v>
      </c>
      <c r="R59" s="584">
        <f t="shared" ref="R59:AZ59" si="55">SUM(R54:R58)</f>
        <v>0</v>
      </c>
      <c r="S59" s="580">
        <f t="shared" si="55"/>
        <v>0</v>
      </c>
      <c r="T59" s="580">
        <f t="shared" si="55"/>
        <v>0</v>
      </c>
      <c r="U59" s="580">
        <f t="shared" si="55"/>
        <v>0</v>
      </c>
      <c r="V59" s="580">
        <f t="shared" si="55"/>
        <v>0</v>
      </c>
      <c r="W59" s="580">
        <f t="shared" si="55"/>
        <v>0</v>
      </c>
      <c r="X59" s="580">
        <f t="shared" si="55"/>
        <v>0</v>
      </c>
      <c r="Y59" s="580">
        <f t="shared" si="55"/>
        <v>0</v>
      </c>
      <c r="Z59" s="580">
        <f t="shared" si="55"/>
        <v>0</v>
      </c>
      <c r="AA59" s="580">
        <f t="shared" si="55"/>
        <v>0</v>
      </c>
      <c r="AB59" s="580">
        <f t="shared" si="55"/>
        <v>0</v>
      </c>
      <c r="AC59" s="580">
        <f t="shared" si="55"/>
        <v>0</v>
      </c>
      <c r="AD59" s="580">
        <f t="shared" si="55"/>
        <v>0</v>
      </c>
      <c r="AE59" s="580">
        <f t="shared" si="55"/>
        <v>0</v>
      </c>
      <c r="AF59" s="580">
        <f t="shared" si="55"/>
        <v>0</v>
      </c>
      <c r="AG59" s="580">
        <f t="shared" si="55"/>
        <v>0</v>
      </c>
      <c r="AH59" s="581">
        <f t="shared" si="55"/>
        <v>0</v>
      </c>
      <c r="AI59" s="581">
        <f t="shared" si="55"/>
        <v>0</v>
      </c>
      <c r="AJ59" s="581">
        <f t="shared" si="55"/>
        <v>0</v>
      </c>
      <c r="AK59" s="581">
        <f t="shared" si="55"/>
        <v>0</v>
      </c>
      <c r="AL59" s="581">
        <f t="shared" si="55"/>
        <v>0</v>
      </c>
      <c r="AM59" s="581">
        <f t="shared" si="55"/>
        <v>0</v>
      </c>
      <c r="AN59" s="581">
        <f t="shared" si="55"/>
        <v>0</v>
      </c>
      <c r="AO59" s="581">
        <f t="shared" si="55"/>
        <v>0</v>
      </c>
      <c r="AP59" s="581">
        <f t="shared" si="55"/>
        <v>0</v>
      </c>
      <c r="AQ59" s="312">
        <f t="shared" si="55"/>
        <v>0</v>
      </c>
      <c r="AR59" s="588">
        <f t="shared" si="55"/>
        <v>63310826</v>
      </c>
      <c r="AS59" s="580">
        <f t="shared" si="55"/>
        <v>45377046</v>
      </c>
      <c r="AT59" s="580">
        <f t="shared" si="55"/>
        <v>470010</v>
      </c>
      <c r="AU59" s="580">
        <f t="shared" si="55"/>
        <v>15496305</v>
      </c>
      <c r="AV59" s="580">
        <f t="shared" si="55"/>
        <v>907541</v>
      </c>
      <c r="AW59" s="580">
        <f t="shared" si="55"/>
        <v>1059924</v>
      </c>
      <c r="AX59" s="581">
        <f t="shared" si="55"/>
        <v>90.511499999999998</v>
      </c>
      <c r="AY59" s="581">
        <f t="shared" si="55"/>
        <v>64.196599999999989</v>
      </c>
      <c r="AZ59" s="312">
        <f t="shared" si="55"/>
        <v>26.314899999999998</v>
      </c>
    </row>
    <row r="60" spans="1:52" ht="12.95" customHeight="1" x14ac:dyDescent="0.25">
      <c r="A60" s="313">
        <v>12</v>
      </c>
      <c r="B60" s="229">
        <v>5481</v>
      </c>
      <c r="C60" s="229">
        <v>600099075</v>
      </c>
      <c r="D60" s="229">
        <v>72742739</v>
      </c>
      <c r="E60" s="411" t="s">
        <v>505</v>
      </c>
      <c r="F60" s="229">
        <v>3117</v>
      </c>
      <c r="G60" s="411" t="s">
        <v>330</v>
      </c>
      <c r="H60" s="318" t="s">
        <v>278</v>
      </c>
      <c r="I60" s="494">
        <v>6594743</v>
      </c>
      <c r="J60" s="489">
        <v>4657302</v>
      </c>
      <c r="K60" s="489">
        <v>80475</v>
      </c>
      <c r="L60" s="489">
        <v>1601369</v>
      </c>
      <c r="M60" s="489">
        <v>93147</v>
      </c>
      <c r="N60" s="489">
        <v>162450</v>
      </c>
      <c r="O60" s="490">
        <v>8.4495999999999984</v>
      </c>
      <c r="P60" s="491">
        <v>5.6418999999999997</v>
      </c>
      <c r="Q60" s="500">
        <v>2.8077000000000001</v>
      </c>
      <c r="R60" s="502">
        <f t="shared" si="10"/>
        <v>0</v>
      </c>
      <c r="S60" s="492">
        <v>0</v>
      </c>
      <c r="T60" s="492">
        <v>0</v>
      </c>
      <c r="U60" s="492">
        <v>0</v>
      </c>
      <c r="V60" s="492">
        <f t="shared" si="11"/>
        <v>0</v>
      </c>
      <c r="W60" s="713">
        <v>0</v>
      </c>
      <c r="X60" s="492">
        <v>0</v>
      </c>
      <c r="Y60" s="492">
        <v>0</v>
      </c>
      <c r="Z60" s="492">
        <f>SUM(W60:Y60)</f>
        <v>0</v>
      </c>
      <c r="AA60" s="492">
        <f>V60+Z60</f>
        <v>0</v>
      </c>
      <c r="AB60" s="74">
        <f>ROUND((V60+W60+X60)*33.8%,0)</f>
        <v>0</v>
      </c>
      <c r="AC60" s="74">
        <f>ROUND(V60*2%,0)</f>
        <v>0</v>
      </c>
      <c r="AD60" s="492">
        <v>0</v>
      </c>
      <c r="AE60" s="492">
        <v>0</v>
      </c>
      <c r="AF60" s="492">
        <f t="shared" si="12"/>
        <v>0</v>
      </c>
      <c r="AG60" s="492">
        <f t="shared" si="13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>AH60+AJ60+AM60</f>
        <v>0</v>
      </c>
      <c r="AP60" s="493">
        <f>AI60+AN60</f>
        <v>0</v>
      </c>
      <c r="AQ60" s="495">
        <f t="shared" si="16"/>
        <v>0</v>
      </c>
      <c r="AR60" s="501">
        <f>I60+AG60</f>
        <v>6594743</v>
      </c>
      <c r="AS60" s="492">
        <f>J60+V60</f>
        <v>4657302</v>
      </c>
      <c r="AT60" s="492">
        <f t="shared" ref="AT60:AT64" si="56">K60+Z60</f>
        <v>80475</v>
      </c>
      <c r="AU60" s="492">
        <f t="shared" ref="AU60:AV64" si="57">L60+AB60</f>
        <v>1601369</v>
      </c>
      <c r="AV60" s="492">
        <f t="shared" si="57"/>
        <v>93147</v>
      </c>
      <c r="AW60" s="492">
        <f>N60+AF60</f>
        <v>162450</v>
      </c>
      <c r="AX60" s="493">
        <f>O60+AQ60</f>
        <v>8.4495999999999984</v>
      </c>
      <c r="AY60" s="493">
        <f t="shared" ref="AY60:AZ64" si="58">P60+AO60</f>
        <v>5.6418999999999997</v>
      </c>
      <c r="AZ60" s="495">
        <f t="shared" si="58"/>
        <v>2.8077000000000001</v>
      </c>
    </row>
    <row r="61" spans="1:52" ht="12.95" customHeight="1" x14ac:dyDescent="0.25">
      <c r="A61" s="313">
        <v>12</v>
      </c>
      <c r="B61" s="229">
        <v>5481</v>
      </c>
      <c r="C61" s="229">
        <v>600099075</v>
      </c>
      <c r="D61" s="229">
        <v>72742739</v>
      </c>
      <c r="E61" s="228" t="s">
        <v>505</v>
      </c>
      <c r="F61" s="229">
        <v>3117</v>
      </c>
      <c r="G61" s="356" t="s">
        <v>313</v>
      </c>
      <c r="H61" s="318" t="s">
        <v>279</v>
      </c>
      <c r="I61" s="494">
        <v>470471</v>
      </c>
      <c r="J61" s="489">
        <v>346444</v>
      </c>
      <c r="K61" s="489">
        <v>0</v>
      </c>
      <c r="L61" s="489">
        <v>117098</v>
      </c>
      <c r="M61" s="489">
        <v>6929</v>
      </c>
      <c r="N61" s="489">
        <v>0</v>
      </c>
      <c r="O61" s="490">
        <v>1</v>
      </c>
      <c r="P61" s="491">
        <v>1</v>
      </c>
      <c r="Q61" s="500">
        <v>0</v>
      </c>
      <c r="R61" s="502">
        <f t="shared" si="10"/>
        <v>0</v>
      </c>
      <c r="S61" s="492">
        <v>0</v>
      </c>
      <c r="T61" s="492">
        <v>0</v>
      </c>
      <c r="U61" s="492">
        <v>0</v>
      </c>
      <c r="V61" s="492">
        <f t="shared" si="11"/>
        <v>0</v>
      </c>
      <c r="W61" s="713">
        <v>0</v>
      </c>
      <c r="X61" s="492">
        <v>0</v>
      </c>
      <c r="Y61" s="492">
        <v>0</v>
      </c>
      <c r="Z61" s="492">
        <f>SUM(W61:Y61)</f>
        <v>0</v>
      </c>
      <c r="AA61" s="492">
        <f>V61+Z61</f>
        <v>0</v>
      </c>
      <c r="AB61" s="74">
        <f>ROUND((V61+W61+X61)*33.8%,0)</f>
        <v>0</v>
      </c>
      <c r="AC61" s="74">
        <f>ROUND(V61*2%,0)</f>
        <v>0</v>
      </c>
      <c r="AD61" s="492">
        <v>0</v>
      </c>
      <c r="AE61" s="492">
        <v>0</v>
      </c>
      <c r="AF61" s="492">
        <f t="shared" si="12"/>
        <v>0</v>
      </c>
      <c r="AG61" s="492">
        <f t="shared" si="13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>AH61+AJ61+AM61</f>
        <v>0</v>
      </c>
      <c r="AP61" s="493">
        <f>AI61+AN61</f>
        <v>0</v>
      </c>
      <c r="AQ61" s="495">
        <f t="shared" si="16"/>
        <v>0</v>
      </c>
      <c r="AR61" s="501">
        <f>I61+AG61</f>
        <v>470471</v>
      </c>
      <c r="AS61" s="492">
        <f>J61+V61</f>
        <v>346444</v>
      </c>
      <c r="AT61" s="492">
        <f t="shared" si="56"/>
        <v>0</v>
      </c>
      <c r="AU61" s="492">
        <f t="shared" si="57"/>
        <v>117098</v>
      </c>
      <c r="AV61" s="492">
        <f t="shared" si="57"/>
        <v>6929</v>
      </c>
      <c r="AW61" s="492">
        <f>N61+AF61</f>
        <v>0</v>
      </c>
      <c r="AX61" s="493">
        <f>O61+AQ61</f>
        <v>1</v>
      </c>
      <c r="AY61" s="493">
        <f t="shared" si="58"/>
        <v>1</v>
      </c>
      <c r="AZ61" s="495">
        <f t="shared" si="58"/>
        <v>0</v>
      </c>
    </row>
    <row r="62" spans="1:52" ht="12.95" customHeight="1" x14ac:dyDescent="0.25">
      <c r="A62" s="313">
        <v>12</v>
      </c>
      <c r="B62" s="229">
        <v>5481</v>
      </c>
      <c r="C62" s="229">
        <v>600099075</v>
      </c>
      <c r="D62" s="229">
        <v>72742739</v>
      </c>
      <c r="E62" s="228" t="s">
        <v>505</v>
      </c>
      <c r="F62" s="229">
        <v>3141</v>
      </c>
      <c r="G62" s="356" t="s">
        <v>316</v>
      </c>
      <c r="H62" s="318" t="s">
        <v>279</v>
      </c>
      <c r="I62" s="494">
        <v>335542</v>
      </c>
      <c r="J62" s="489">
        <v>244483</v>
      </c>
      <c r="K62" s="489">
        <v>0</v>
      </c>
      <c r="L62" s="489">
        <v>82635</v>
      </c>
      <c r="M62" s="489">
        <v>4890</v>
      </c>
      <c r="N62" s="489">
        <v>3534</v>
      </c>
      <c r="O62" s="490">
        <v>0.77</v>
      </c>
      <c r="P62" s="491">
        <v>0</v>
      </c>
      <c r="Q62" s="500">
        <v>0.77</v>
      </c>
      <c r="R62" s="502">
        <f t="shared" si="10"/>
        <v>0</v>
      </c>
      <c r="S62" s="492">
        <v>0</v>
      </c>
      <c r="T62" s="492">
        <v>0</v>
      </c>
      <c r="U62" s="492">
        <v>0</v>
      </c>
      <c r="V62" s="492">
        <f t="shared" si="11"/>
        <v>0</v>
      </c>
      <c r="W62" s="713">
        <v>0</v>
      </c>
      <c r="X62" s="492">
        <v>0</v>
      </c>
      <c r="Y62" s="492">
        <v>0</v>
      </c>
      <c r="Z62" s="492">
        <f>SUM(W62:Y62)</f>
        <v>0</v>
      </c>
      <c r="AA62" s="492">
        <f>V62+Z62</f>
        <v>0</v>
      </c>
      <c r="AB62" s="74">
        <f>ROUND((V62+W62+X62)*33.8%,0)</f>
        <v>0</v>
      </c>
      <c r="AC62" s="74">
        <f>ROUND(V62*2%,0)</f>
        <v>0</v>
      </c>
      <c r="AD62" s="492">
        <v>0</v>
      </c>
      <c r="AE62" s="492">
        <v>0</v>
      </c>
      <c r="AF62" s="492">
        <f t="shared" si="12"/>
        <v>0</v>
      </c>
      <c r="AG62" s="492">
        <f t="shared" si="13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>AH62+AJ62+AM62</f>
        <v>0</v>
      </c>
      <c r="AP62" s="493">
        <f>AI62+AN62</f>
        <v>0</v>
      </c>
      <c r="AQ62" s="495">
        <f t="shared" si="16"/>
        <v>0</v>
      </c>
      <c r="AR62" s="501">
        <f>I62+AG62</f>
        <v>335542</v>
      </c>
      <c r="AS62" s="492">
        <f>J62+V62</f>
        <v>244483</v>
      </c>
      <c r="AT62" s="492">
        <f t="shared" si="56"/>
        <v>0</v>
      </c>
      <c r="AU62" s="492">
        <f t="shared" si="57"/>
        <v>82635</v>
      </c>
      <c r="AV62" s="492">
        <f t="shared" si="57"/>
        <v>4890</v>
      </c>
      <c r="AW62" s="492">
        <f>N62+AF62</f>
        <v>3534</v>
      </c>
      <c r="AX62" s="493">
        <f>O62+AQ62</f>
        <v>0.77</v>
      </c>
      <c r="AY62" s="493">
        <f t="shared" si="58"/>
        <v>0</v>
      </c>
      <c r="AZ62" s="495">
        <f t="shared" si="58"/>
        <v>0.77</v>
      </c>
    </row>
    <row r="63" spans="1:52" ht="12.95" customHeight="1" x14ac:dyDescent="0.25">
      <c r="A63" s="313">
        <v>12</v>
      </c>
      <c r="B63" s="229">
        <v>5481</v>
      </c>
      <c r="C63" s="229">
        <v>600099075</v>
      </c>
      <c r="D63" s="229">
        <v>72742739</v>
      </c>
      <c r="E63" s="228" t="s">
        <v>505</v>
      </c>
      <c r="F63" s="229">
        <v>3143</v>
      </c>
      <c r="G63" s="356" t="s">
        <v>629</v>
      </c>
      <c r="H63" s="318" t="s">
        <v>278</v>
      </c>
      <c r="I63" s="494">
        <v>1062124</v>
      </c>
      <c r="J63" s="489">
        <v>782124</v>
      </c>
      <c r="K63" s="489">
        <v>0</v>
      </c>
      <c r="L63" s="489">
        <v>264358</v>
      </c>
      <c r="M63" s="489">
        <v>15642</v>
      </c>
      <c r="N63" s="489">
        <v>0</v>
      </c>
      <c r="O63" s="490">
        <v>1.5</v>
      </c>
      <c r="P63" s="491">
        <v>1.5</v>
      </c>
      <c r="Q63" s="500">
        <v>0</v>
      </c>
      <c r="R63" s="502">
        <f t="shared" si="10"/>
        <v>0</v>
      </c>
      <c r="S63" s="492">
        <v>0</v>
      </c>
      <c r="T63" s="492">
        <v>0</v>
      </c>
      <c r="U63" s="492">
        <v>0</v>
      </c>
      <c r="V63" s="492">
        <f t="shared" si="11"/>
        <v>0</v>
      </c>
      <c r="W63" s="713">
        <v>0</v>
      </c>
      <c r="X63" s="492">
        <v>0</v>
      </c>
      <c r="Y63" s="492">
        <v>0</v>
      </c>
      <c r="Z63" s="492">
        <f>SUM(W63:Y63)</f>
        <v>0</v>
      </c>
      <c r="AA63" s="492">
        <f>V63+Z63</f>
        <v>0</v>
      </c>
      <c r="AB63" s="74">
        <f>ROUND((V63+W63+X63)*33.8%,0)</f>
        <v>0</v>
      </c>
      <c r="AC63" s="74">
        <f>ROUND(V63*2%,0)</f>
        <v>0</v>
      </c>
      <c r="AD63" s="492">
        <v>0</v>
      </c>
      <c r="AE63" s="492">
        <v>0</v>
      </c>
      <c r="AF63" s="492">
        <f t="shared" si="12"/>
        <v>0</v>
      </c>
      <c r="AG63" s="492">
        <f t="shared" si="13"/>
        <v>0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</v>
      </c>
      <c r="AN63" s="493">
        <v>0</v>
      </c>
      <c r="AO63" s="493">
        <f>AH63+AJ63+AM63</f>
        <v>0</v>
      </c>
      <c r="AP63" s="493">
        <f>AI63+AN63</f>
        <v>0</v>
      </c>
      <c r="AQ63" s="495">
        <f t="shared" si="16"/>
        <v>0</v>
      </c>
      <c r="AR63" s="501">
        <f>I63+AG63</f>
        <v>1062124</v>
      </c>
      <c r="AS63" s="492">
        <f>J63+V63</f>
        <v>782124</v>
      </c>
      <c r="AT63" s="492">
        <f t="shared" si="56"/>
        <v>0</v>
      </c>
      <c r="AU63" s="492">
        <f t="shared" si="57"/>
        <v>264358</v>
      </c>
      <c r="AV63" s="492">
        <f t="shared" si="57"/>
        <v>15642</v>
      </c>
      <c r="AW63" s="492">
        <f>N63+AF63</f>
        <v>0</v>
      </c>
      <c r="AX63" s="493">
        <f>O63+AQ63</f>
        <v>1.5</v>
      </c>
      <c r="AY63" s="493">
        <f t="shared" si="58"/>
        <v>1.5</v>
      </c>
      <c r="AZ63" s="495">
        <f t="shared" si="58"/>
        <v>0</v>
      </c>
    </row>
    <row r="64" spans="1:52" ht="12.95" customHeight="1" x14ac:dyDescent="0.25">
      <c r="A64" s="313">
        <v>12</v>
      </c>
      <c r="B64" s="229">
        <v>5481</v>
      </c>
      <c r="C64" s="229">
        <v>600099075</v>
      </c>
      <c r="D64" s="229">
        <v>72742739</v>
      </c>
      <c r="E64" s="228" t="s">
        <v>505</v>
      </c>
      <c r="F64" s="229">
        <v>3143</v>
      </c>
      <c r="G64" s="356" t="s">
        <v>630</v>
      </c>
      <c r="H64" s="318" t="s">
        <v>279</v>
      </c>
      <c r="I64" s="494">
        <v>44604</v>
      </c>
      <c r="J64" s="489">
        <v>31542</v>
      </c>
      <c r="K64" s="489">
        <v>0</v>
      </c>
      <c r="L64" s="489">
        <v>10661</v>
      </c>
      <c r="M64" s="489">
        <v>631</v>
      </c>
      <c r="N64" s="489">
        <v>1770</v>
      </c>
      <c r="O64" s="490">
        <v>0.12</v>
      </c>
      <c r="P64" s="491">
        <v>0</v>
      </c>
      <c r="Q64" s="500">
        <v>0.12</v>
      </c>
      <c r="R64" s="502">
        <f t="shared" si="10"/>
        <v>0</v>
      </c>
      <c r="S64" s="492">
        <v>0</v>
      </c>
      <c r="T64" s="492">
        <v>0</v>
      </c>
      <c r="U64" s="492">
        <v>0</v>
      </c>
      <c r="V64" s="492">
        <f t="shared" si="11"/>
        <v>0</v>
      </c>
      <c r="W64" s="713">
        <v>0</v>
      </c>
      <c r="X64" s="492">
        <v>0</v>
      </c>
      <c r="Y64" s="492">
        <v>0</v>
      </c>
      <c r="Z64" s="492">
        <f>SUM(W64:Y64)</f>
        <v>0</v>
      </c>
      <c r="AA64" s="492">
        <f>V64+Z64</f>
        <v>0</v>
      </c>
      <c r="AB64" s="74">
        <f>ROUND((V64+W64+X64)*33.8%,0)</f>
        <v>0</v>
      </c>
      <c r="AC64" s="74">
        <f>ROUND(V64*2%,0)</f>
        <v>0</v>
      </c>
      <c r="AD64" s="492">
        <v>0</v>
      </c>
      <c r="AE64" s="492">
        <v>0</v>
      </c>
      <c r="AF64" s="492">
        <f t="shared" si="12"/>
        <v>0</v>
      </c>
      <c r="AG64" s="492">
        <f t="shared" si="13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>AH64+AJ64+AM64</f>
        <v>0</v>
      </c>
      <c r="AP64" s="493">
        <f>AI64+AN64</f>
        <v>0</v>
      </c>
      <c r="AQ64" s="495">
        <f t="shared" si="16"/>
        <v>0</v>
      </c>
      <c r="AR64" s="501">
        <f>I64+AG64</f>
        <v>44604</v>
      </c>
      <c r="AS64" s="492">
        <f>J64+V64</f>
        <v>31542</v>
      </c>
      <c r="AT64" s="492">
        <f t="shared" si="56"/>
        <v>0</v>
      </c>
      <c r="AU64" s="492">
        <f t="shared" si="57"/>
        <v>10661</v>
      </c>
      <c r="AV64" s="492">
        <f t="shared" si="57"/>
        <v>631</v>
      </c>
      <c r="AW64" s="492">
        <f>N64+AF64</f>
        <v>1770</v>
      </c>
      <c r="AX64" s="493">
        <f>O64+AQ64</f>
        <v>0.12</v>
      </c>
      <c r="AY64" s="493">
        <f t="shared" si="58"/>
        <v>0</v>
      </c>
      <c r="AZ64" s="495">
        <f t="shared" si="58"/>
        <v>0.12</v>
      </c>
    </row>
    <row r="65" spans="1:52" ht="12.95" customHeight="1" x14ac:dyDescent="0.25">
      <c r="A65" s="230">
        <v>12</v>
      </c>
      <c r="B65" s="50">
        <v>5481</v>
      </c>
      <c r="C65" s="50">
        <v>600099075</v>
      </c>
      <c r="D65" s="50">
        <v>72742739</v>
      </c>
      <c r="E65" s="413" t="s">
        <v>506</v>
      </c>
      <c r="F65" s="50"/>
      <c r="G65" s="413"/>
      <c r="H65" s="194"/>
      <c r="I65" s="616">
        <v>8507484</v>
      </c>
      <c r="J65" s="614">
        <v>6061895</v>
      </c>
      <c r="K65" s="614">
        <v>80475</v>
      </c>
      <c r="L65" s="614">
        <v>2076121</v>
      </c>
      <c r="M65" s="614">
        <v>121239</v>
      </c>
      <c r="N65" s="614">
        <v>167754</v>
      </c>
      <c r="O65" s="615">
        <v>11.839599999999997</v>
      </c>
      <c r="P65" s="615">
        <v>8.1418999999999997</v>
      </c>
      <c r="Q65" s="617">
        <v>3.6977000000000002</v>
      </c>
      <c r="R65" s="616">
        <f t="shared" ref="R65:AZ65" si="59">SUM(R60:R64)</f>
        <v>0</v>
      </c>
      <c r="S65" s="614">
        <f t="shared" si="59"/>
        <v>0</v>
      </c>
      <c r="T65" s="614">
        <f t="shared" si="59"/>
        <v>0</v>
      </c>
      <c r="U65" s="614">
        <f t="shared" si="59"/>
        <v>0</v>
      </c>
      <c r="V65" s="614">
        <f t="shared" si="59"/>
        <v>0</v>
      </c>
      <c r="W65" s="614">
        <f t="shared" si="59"/>
        <v>0</v>
      </c>
      <c r="X65" s="614">
        <f t="shared" si="59"/>
        <v>0</v>
      </c>
      <c r="Y65" s="614">
        <f t="shared" si="59"/>
        <v>0</v>
      </c>
      <c r="Z65" s="614">
        <f t="shared" si="59"/>
        <v>0</v>
      </c>
      <c r="AA65" s="614">
        <f t="shared" si="59"/>
        <v>0</v>
      </c>
      <c r="AB65" s="614">
        <f t="shared" si="59"/>
        <v>0</v>
      </c>
      <c r="AC65" s="614">
        <f t="shared" si="59"/>
        <v>0</v>
      </c>
      <c r="AD65" s="614">
        <f t="shared" si="59"/>
        <v>0</v>
      </c>
      <c r="AE65" s="614">
        <f t="shared" si="59"/>
        <v>0</v>
      </c>
      <c r="AF65" s="614">
        <f t="shared" si="59"/>
        <v>0</v>
      </c>
      <c r="AG65" s="614">
        <f t="shared" si="59"/>
        <v>0</v>
      </c>
      <c r="AH65" s="615">
        <f t="shared" si="59"/>
        <v>0</v>
      </c>
      <c r="AI65" s="615">
        <f t="shared" si="59"/>
        <v>0</v>
      </c>
      <c r="AJ65" s="615">
        <f t="shared" si="59"/>
        <v>0</v>
      </c>
      <c r="AK65" s="615">
        <f t="shared" si="59"/>
        <v>0</v>
      </c>
      <c r="AL65" s="615">
        <f t="shared" si="59"/>
        <v>0</v>
      </c>
      <c r="AM65" s="615">
        <f t="shared" si="59"/>
        <v>0</v>
      </c>
      <c r="AN65" s="615">
        <f t="shared" si="59"/>
        <v>0</v>
      </c>
      <c r="AO65" s="615">
        <f t="shared" si="59"/>
        <v>0</v>
      </c>
      <c r="AP65" s="615">
        <f t="shared" si="59"/>
        <v>0</v>
      </c>
      <c r="AQ65" s="386">
        <f t="shared" si="59"/>
        <v>0</v>
      </c>
      <c r="AR65" s="618">
        <f t="shared" si="59"/>
        <v>8507484</v>
      </c>
      <c r="AS65" s="614">
        <f t="shared" si="59"/>
        <v>6061895</v>
      </c>
      <c r="AT65" s="614">
        <f t="shared" si="59"/>
        <v>80475</v>
      </c>
      <c r="AU65" s="614">
        <f t="shared" si="59"/>
        <v>2076121</v>
      </c>
      <c r="AV65" s="614">
        <f t="shared" si="59"/>
        <v>121239</v>
      </c>
      <c r="AW65" s="614">
        <f t="shared" si="59"/>
        <v>167754</v>
      </c>
      <c r="AX65" s="615">
        <f t="shared" si="59"/>
        <v>11.839599999999997</v>
      </c>
      <c r="AY65" s="615">
        <f t="shared" si="59"/>
        <v>8.1418999999999997</v>
      </c>
      <c r="AZ65" s="386">
        <f t="shared" si="59"/>
        <v>3.6977000000000002</v>
      </c>
    </row>
    <row r="66" spans="1:52" ht="12.95" customHeight="1" x14ac:dyDescent="0.25">
      <c r="A66" s="313">
        <v>13</v>
      </c>
      <c r="B66" s="229">
        <v>5492</v>
      </c>
      <c r="C66" s="229">
        <v>691007322</v>
      </c>
      <c r="D66" s="229">
        <v>71294180</v>
      </c>
      <c r="E66" s="228" t="s">
        <v>507</v>
      </c>
      <c r="F66" s="229">
        <v>3114</v>
      </c>
      <c r="G66" s="364" t="s">
        <v>559</v>
      </c>
      <c r="H66" s="318" t="s">
        <v>278</v>
      </c>
      <c r="I66" s="494">
        <v>12522987</v>
      </c>
      <c r="J66" s="489">
        <v>8997154</v>
      </c>
      <c r="K66" s="489">
        <v>104000</v>
      </c>
      <c r="L66" s="489">
        <v>3076190</v>
      </c>
      <c r="M66" s="489">
        <v>179943</v>
      </c>
      <c r="N66" s="489">
        <v>165700</v>
      </c>
      <c r="O66" s="490">
        <v>15.7645</v>
      </c>
      <c r="P66" s="491">
        <v>11.5</v>
      </c>
      <c r="Q66" s="500">
        <v>4.2645</v>
      </c>
      <c r="R66" s="502">
        <f t="shared" si="10"/>
        <v>0</v>
      </c>
      <c r="S66" s="492">
        <v>0</v>
      </c>
      <c r="T66" s="492">
        <v>0</v>
      </c>
      <c r="U66" s="492">
        <v>0</v>
      </c>
      <c r="V66" s="492">
        <f t="shared" si="11"/>
        <v>0</v>
      </c>
      <c r="W66" s="713">
        <v>0</v>
      </c>
      <c r="X66" s="492">
        <v>0</v>
      </c>
      <c r="Y66" s="492">
        <v>0</v>
      </c>
      <c r="Z66" s="492">
        <f>SUM(W66:Y66)</f>
        <v>0</v>
      </c>
      <c r="AA66" s="492">
        <f>V66+Z66</f>
        <v>0</v>
      </c>
      <c r="AB66" s="74">
        <f>ROUND((V66+W66+X66)*33.8%,0)</f>
        <v>0</v>
      </c>
      <c r="AC66" s="74">
        <f>ROUND(V66*2%,0)</f>
        <v>0</v>
      </c>
      <c r="AD66" s="492">
        <v>0</v>
      </c>
      <c r="AE66" s="492">
        <v>0</v>
      </c>
      <c r="AF66" s="492">
        <f t="shared" si="12"/>
        <v>0</v>
      </c>
      <c r="AG66" s="492">
        <f t="shared" si="13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>AH66+AJ66+AM66</f>
        <v>0</v>
      </c>
      <c r="AP66" s="493">
        <f>AI66+AN66</f>
        <v>0</v>
      </c>
      <c r="AQ66" s="495">
        <f t="shared" si="16"/>
        <v>0</v>
      </c>
      <c r="AR66" s="501">
        <f>I66+AG66</f>
        <v>12522987</v>
      </c>
      <c r="AS66" s="492">
        <f>J66+V66</f>
        <v>8997154</v>
      </c>
      <c r="AT66" s="492">
        <f t="shared" ref="AT66:AT69" si="60">K66+Z66</f>
        <v>104000</v>
      </c>
      <c r="AU66" s="492">
        <f t="shared" ref="AU66:AV69" si="61">L66+AB66</f>
        <v>3076190</v>
      </c>
      <c r="AV66" s="492">
        <f t="shared" si="61"/>
        <v>179943</v>
      </c>
      <c r="AW66" s="492">
        <f>N66+AF66</f>
        <v>165700</v>
      </c>
      <c r="AX66" s="493">
        <f>O66+AQ66</f>
        <v>15.7645</v>
      </c>
      <c r="AY66" s="493">
        <f t="shared" ref="AY66:AZ69" si="62">P66+AO66</f>
        <v>11.5</v>
      </c>
      <c r="AZ66" s="495">
        <f t="shared" si="62"/>
        <v>4.2645</v>
      </c>
    </row>
    <row r="67" spans="1:52" ht="12.95" customHeight="1" x14ac:dyDescent="0.25">
      <c r="A67" s="313">
        <v>13</v>
      </c>
      <c r="B67" s="229">
        <v>5492</v>
      </c>
      <c r="C67" s="229">
        <v>691007322</v>
      </c>
      <c r="D67" s="229">
        <v>71294180</v>
      </c>
      <c r="E67" s="228" t="s">
        <v>507</v>
      </c>
      <c r="F67" s="229">
        <v>3114</v>
      </c>
      <c r="G67" s="364" t="s">
        <v>314</v>
      </c>
      <c r="H67" s="318" t="s">
        <v>278</v>
      </c>
      <c r="I67" s="494">
        <v>1820278</v>
      </c>
      <c r="J67" s="489">
        <v>1340411</v>
      </c>
      <c r="K67" s="489">
        <v>0</v>
      </c>
      <c r="L67" s="489">
        <v>453059</v>
      </c>
      <c r="M67" s="489">
        <v>26808</v>
      </c>
      <c r="N67" s="489">
        <v>0</v>
      </c>
      <c r="O67" s="490">
        <v>3.4049</v>
      </c>
      <c r="P67" s="491">
        <v>3.4049</v>
      </c>
      <c r="Q67" s="500">
        <v>0</v>
      </c>
      <c r="R67" s="502">
        <f t="shared" si="10"/>
        <v>0</v>
      </c>
      <c r="S67" s="492">
        <v>0</v>
      </c>
      <c r="T67" s="492">
        <v>0</v>
      </c>
      <c r="U67" s="492">
        <v>0</v>
      </c>
      <c r="V67" s="492">
        <f t="shared" si="11"/>
        <v>0</v>
      </c>
      <c r="W67" s="713">
        <v>0</v>
      </c>
      <c r="X67" s="492">
        <v>0</v>
      </c>
      <c r="Y67" s="492">
        <v>0</v>
      </c>
      <c r="Z67" s="492">
        <f>SUM(W67:Y67)</f>
        <v>0</v>
      </c>
      <c r="AA67" s="492">
        <f>V67+Z67</f>
        <v>0</v>
      </c>
      <c r="AB67" s="74">
        <f>ROUND((V67+W67+X67)*33.8%,0)</f>
        <v>0</v>
      </c>
      <c r="AC67" s="74">
        <f>ROUND(V67*2%,0)</f>
        <v>0</v>
      </c>
      <c r="AD67" s="492">
        <v>0</v>
      </c>
      <c r="AE67" s="492">
        <v>0</v>
      </c>
      <c r="AF67" s="492">
        <f t="shared" si="12"/>
        <v>0</v>
      </c>
      <c r="AG67" s="492">
        <f t="shared" si="13"/>
        <v>0</v>
      </c>
      <c r="AH67" s="493">
        <v>0</v>
      </c>
      <c r="AI67" s="493">
        <v>0</v>
      </c>
      <c r="AJ67" s="493">
        <v>0</v>
      </c>
      <c r="AK67" s="493">
        <v>0</v>
      </c>
      <c r="AL67" s="493">
        <v>0</v>
      </c>
      <c r="AM67" s="493">
        <v>0</v>
      </c>
      <c r="AN67" s="493">
        <v>0</v>
      </c>
      <c r="AO67" s="493">
        <f>AH67+AJ67+AM67</f>
        <v>0</v>
      </c>
      <c r="AP67" s="493">
        <f>AI67+AN67</f>
        <v>0</v>
      </c>
      <c r="AQ67" s="495">
        <f t="shared" si="16"/>
        <v>0</v>
      </c>
      <c r="AR67" s="501">
        <f>I67+AG67</f>
        <v>1820278</v>
      </c>
      <c r="AS67" s="492">
        <f>J67+V67</f>
        <v>1340411</v>
      </c>
      <c r="AT67" s="492">
        <f t="shared" si="60"/>
        <v>0</v>
      </c>
      <c r="AU67" s="492">
        <f t="shared" si="61"/>
        <v>453059</v>
      </c>
      <c r="AV67" s="492">
        <f t="shared" si="61"/>
        <v>26808</v>
      </c>
      <c r="AW67" s="492">
        <f>N67+AF67</f>
        <v>0</v>
      </c>
      <c r="AX67" s="493">
        <f>O67+AQ67</f>
        <v>3.4049</v>
      </c>
      <c r="AY67" s="493">
        <f t="shared" si="62"/>
        <v>3.4049</v>
      </c>
      <c r="AZ67" s="495">
        <f t="shared" si="62"/>
        <v>0</v>
      </c>
    </row>
    <row r="68" spans="1:52" ht="12.95" customHeight="1" x14ac:dyDescent="0.25">
      <c r="A68" s="313">
        <v>13</v>
      </c>
      <c r="B68" s="229">
        <v>5492</v>
      </c>
      <c r="C68" s="229">
        <v>691007322</v>
      </c>
      <c r="D68" s="229">
        <v>71294180</v>
      </c>
      <c r="E68" s="411" t="s">
        <v>507</v>
      </c>
      <c r="F68" s="229">
        <v>3143</v>
      </c>
      <c r="G68" s="356" t="s">
        <v>629</v>
      </c>
      <c r="H68" s="318" t="s">
        <v>278</v>
      </c>
      <c r="I68" s="494">
        <v>529966</v>
      </c>
      <c r="J68" s="489">
        <v>390255</v>
      </c>
      <c r="K68" s="489">
        <v>0</v>
      </c>
      <c r="L68" s="489">
        <v>131906</v>
      </c>
      <c r="M68" s="489">
        <v>7805</v>
      </c>
      <c r="N68" s="489">
        <v>0</v>
      </c>
      <c r="O68" s="490">
        <v>0.77049999999999996</v>
      </c>
      <c r="P68" s="491">
        <v>0.77049999999999996</v>
      </c>
      <c r="Q68" s="500">
        <v>0</v>
      </c>
      <c r="R68" s="502">
        <f t="shared" si="10"/>
        <v>0</v>
      </c>
      <c r="S68" s="492">
        <v>0</v>
      </c>
      <c r="T68" s="492">
        <v>0</v>
      </c>
      <c r="U68" s="492">
        <v>0</v>
      </c>
      <c r="V68" s="492">
        <f t="shared" si="11"/>
        <v>0</v>
      </c>
      <c r="W68" s="713">
        <v>0</v>
      </c>
      <c r="X68" s="492">
        <v>0</v>
      </c>
      <c r="Y68" s="492">
        <v>0</v>
      </c>
      <c r="Z68" s="492">
        <f>SUM(W68:Y68)</f>
        <v>0</v>
      </c>
      <c r="AA68" s="492">
        <f>V68+Z68</f>
        <v>0</v>
      </c>
      <c r="AB68" s="74">
        <f>ROUND((V68+W68+X68)*33.8%,0)</f>
        <v>0</v>
      </c>
      <c r="AC68" s="74">
        <f>ROUND(V68*2%,0)</f>
        <v>0</v>
      </c>
      <c r="AD68" s="492">
        <v>0</v>
      </c>
      <c r="AE68" s="492">
        <v>0</v>
      </c>
      <c r="AF68" s="492">
        <f t="shared" si="12"/>
        <v>0</v>
      </c>
      <c r="AG68" s="492">
        <f t="shared" si="13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>AH68+AJ68+AM68</f>
        <v>0</v>
      </c>
      <c r="AP68" s="493">
        <f>AI68+AN68</f>
        <v>0</v>
      </c>
      <c r="AQ68" s="495">
        <f t="shared" si="16"/>
        <v>0</v>
      </c>
      <c r="AR68" s="501">
        <f>I68+AG68</f>
        <v>529966</v>
      </c>
      <c r="AS68" s="492">
        <f>J68+V68</f>
        <v>390255</v>
      </c>
      <c r="AT68" s="492">
        <f t="shared" si="60"/>
        <v>0</v>
      </c>
      <c r="AU68" s="492">
        <f t="shared" si="61"/>
        <v>131906</v>
      </c>
      <c r="AV68" s="492">
        <f t="shared" si="61"/>
        <v>7805</v>
      </c>
      <c r="AW68" s="492">
        <f>N68+AF68</f>
        <v>0</v>
      </c>
      <c r="AX68" s="493">
        <f>O68+AQ68</f>
        <v>0.77049999999999996</v>
      </c>
      <c r="AY68" s="493">
        <f t="shared" si="62"/>
        <v>0.77049999999999996</v>
      </c>
      <c r="AZ68" s="495">
        <f t="shared" si="62"/>
        <v>0</v>
      </c>
    </row>
    <row r="69" spans="1:52" ht="12.95" customHeight="1" x14ac:dyDescent="0.25">
      <c r="A69" s="313">
        <v>13</v>
      </c>
      <c r="B69" s="229">
        <v>5492</v>
      </c>
      <c r="C69" s="229">
        <v>691007322</v>
      </c>
      <c r="D69" s="229">
        <v>71294180</v>
      </c>
      <c r="E69" s="411" t="s">
        <v>507</v>
      </c>
      <c r="F69" s="229">
        <v>3143</v>
      </c>
      <c r="G69" s="356" t="s">
        <v>630</v>
      </c>
      <c r="H69" s="318" t="s">
        <v>279</v>
      </c>
      <c r="I69" s="494">
        <v>11339</v>
      </c>
      <c r="J69" s="489">
        <v>8019</v>
      </c>
      <c r="K69" s="489">
        <v>0</v>
      </c>
      <c r="L69" s="489">
        <v>2710</v>
      </c>
      <c r="M69" s="489">
        <v>160</v>
      </c>
      <c r="N69" s="489">
        <v>450</v>
      </c>
      <c r="O69" s="490">
        <v>0.03</v>
      </c>
      <c r="P69" s="491">
        <v>0</v>
      </c>
      <c r="Q69" s="500">
        <v>0.03</v>
      </c>
      <c r="R69" s="502">
        <f t="shared" si="10"/>
        <v>0</v>
      </c>
      <c r="S69" s="492">
        <v>0</v>
      </c>
      <c r="T69" s="492">
        <v>0</v>
      </c>
      <c r="U69" s="492">
        <v>0</v>
      </c>
      <c r="V69" s="492">
        <f t="shared" si="11"/>
        <v>0</v>
      </c>
      <c r="W69" s="713">
        <v>0</v>
      </c>
      <c r="X69" s="492">
        <v>0</v>
      </c>
      <c r="Y69" s="492">
        <v>0</v>
      </c>
      <c r="Z69" s="492">
        <f>SUM(W69:Y69)</f>
        <v>0</v>
      </c>
      <c r="AA69" s="492">
        <f>V69+Z69</f>
        <v>0</v>
      </c>
      <c r="AB69" s="74">
        <f>ROUND((V69+W69+X69)*33.8%,0)</f>
        <v>0</v>
      </c>
      <c r="AC69" s="74">
        <f>ROUND(V69*2%,0)</f>
        <v>0</v>
      </c>
      <c r="AD69" s="492">
        <v>0</v>
      </c>
      <c r="AE69" s="492">
        <v>0</v>
      </c>
      <c r="AF69" s="492">
        <f t="shared" si="12"/>
        <v>0</v>
      </c>
      <c r="AG69" s="492">
        <f t="shared" si="13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>AH69+AJ69+AM69</f>
        <v>0</v>
      </c>
      <c r="AP69" s="493">
        <f>AI69+AN69</f>
        <v>0</v>
      </c>
      <c r="AQ69" s="495">
        <f t="shared" si="16"/>
        <v>0</v>
      </c>
      <c r="AR69" s="501">
        <f>I69+AG69</f>
        <v>11339</v>
      </c>
      <c r="AS69" s="492">
        <f>J69+V69</f>
        <v>8019</v>
      </c>
      <c r="AT69" s="492">
        <f t="shared" si="60"/>
        <v>0</v>
      </c>
      <c r="AU69" s="492">
        <f t="shared" si="61"/>
        <v>2710</v>
      </c>
      <c r="AV69" s="492">
        <f t="shared" si="61"/>
        <v>160</v>
      </c>
      <c r="AW69" s="492">
        <f>N69+AF69</f>
        <v>450</v>
      </c>
      <c r="AX69" s="493">
        <f>O69+AQ69</f>
        <v>0.03</v>
      </c>
      <c r="AY69" s="493">
        <f t="shared" si="62"/>
        <v>0</v>
      </c>
      <c r="AZ69" s="495">
        <f t="shared" si="62"/>
        <v>0.03</v>
      </c>
    </row>
    <row r="70" spans="1:52" ht="12.95" customHeight="1" x14ac:dyDescent="0.25">
      <c r="A70" s="230">
        <v>13</v>
      </c>
      <c r="B70" s="50">
        <v>5492</v>
      </c>
      <c r="C70" s="50">
        <v>691007322</v>
      </c>
      <c r="D70" s="50">
        <v>71294180</v>
      </c>
      <c r="E70" s="413" t="s">
        <v>508</v>
      </c>
      <c r="F70" s="50"/>
      <c r="G70" s="413"/>
      <c r="H70" s="194"/>
      <c r="I70" s="616">
        <v>14884570</v>
      </c>
      <c r="J70" s="614">
        <v>10735839</v>
      </c>
      <c r="K70" s="614">
        <v>104000</v>
      </c>
      <c r="L70" s="614">
        <v>3663865</v>
      </c>
      <c r="M70" s="614">
        <v>214716</v>
      </c>
      <c r="N70" s="614">
        <v>166150</v>
      </c>
      <c r="O70" s="615">
        <v>19.969899999999999</v>
      </c>
      <c r="P70" s="615">
        <v>15.6754</v>
      </c>
      <c r="Q70" s="617">
        <v>4.2945000000000002</v>
      </c>
      <c r="R70" s="616">
        <f t="shared" ref="R70:AZ70" si="63">SUM(R66:R69)</f>
        <v>0</v>
      </c>
      <c r="S70" s="614">
        <f t="shared" si="63"/>
        <v>0</v>
      </c>
      <c r="T70" s="614">
        <f t="shared" si="63"/>
        <v>0</v>
      </c>
      <c r="U70" s="614">
        <f t="shared" si="63"/>
        <v>0</v>
      </c>
      <c r="V70" s="614">
        <f t="shared" si="63"/>
        <v>0</v>
      </c>
      <c r="W70" s="614">
        <f t="shared" si="63"/>
        <v>0</v>
      </c>
      <c r="X70" s="614">
        <f t="shared" si="63"/>
        <v>0</v>
      </c>
      <c r="Y70" s="614">
        <f t="shared" si="63"/>
        <v>0</v>
      </c>
      <c r="Z70" s="614">
        <f t="shared" si="63"/>
        <v>0</v>
      </c>
      <c r="AA70" s="614">
        <f t="shared" si="63"/>
        <v>0</v>
      </c>
      <c r="AB70" s="614">
        <f t="shared" si="63"/>
        <v>0</v>
      </c>
      <c r="AC70" s="614">
        <f t="shared" si="63"/>
        <v>0</v>
      </c>
      <c r="AD70" s="614">
        <f t="shared" si="63"/>
        <v>0</v>
      </c>
      <c r="AE70" s="614">
        <f t="shared" si="63"/>
        <v>0</v>
      </c>
      <c r="AF70" s="614">
        <f t="shared" si="63"/>
        <v>0</v>
      </c>
      <c r="AG70" s="614">
        <f t="shared" si="63"/>
        <v>0</v>
      </c>
      <c r="AH70" s="615">
        <f t="shared" si="63"/>
        <v>0</v>
      </c>
      <c r="AI70" s="615">
        <f t="shared" si="63"/>
        <v>0</v>
      </c>
      <c r="AJ70" s="615">
        <f t="shared" si="63"/>
        <v>0</v>
      </c>
      <c r="AK70" s="615">
        <f t="shared" si="63"/>
        <v>0</v>
      </c>
      <c r="AL70" s="615">
        <f t="shared" si="63"/>
        <v>0</v>
      </c>
      <c r="AM70" s="615">
        <f t="shared" si="63"/>
        <v>0</v>
      </c>
      <c r="AN70" s="615">
        <f t="shared" si="63"/>
        <v>0</v>
      </c>
      <c r="AO70" s="615">
        <f t="shared" si="63"/>
        <v>0</v>
      </c>
      <c r="AP70" s="615">
        <f t="shared" si="63"/>
        <v>0</v>
      </c>
      <c r="AQ70" s="386">
        <f t="shared" si="63"/>
        <v>0</v>
      </c>
      <c r="AR70" s="618">
        <f t="shared" si="63"/>
        <v>14884570</v>
      </c>
      <c r="AS70" s="614">
        <f t="shared" si="63"/>
        <v>10735839</v>
      </c>
      <c r="AT70" s="614">
        <f t="shared" si="63"/>
        <v>104000</v>
      </c>
      <c r="AU70" s="614">
        <f t="shared" si="63"/>
        <v>3663865</v>
      </c>
      <c r="AV70" s="614">
        <f t="shared" si="63"/>
        <v>214716</v>
      </c>
      <c r="AW70" s="614">
        <f t="shared" si="63"/>
        <v>166150</v>
      </c>
      <c r="AX70" s="615">
        <f t="shared" si="63"/>
        <v>19.969899999999999</v>
      </c>
      <c r="AY70" s="615">
        <f t="shared" si="63"/>
        <v>15.6754</v>
      </c>
      <c r="AZ70" s="386">
        <f t="shared" si="63"/>
        <v>4.2945000000000002</v>
      </c>
    </row>
    <row r="71" spans="1:52" ht="12.95" customHeight="1" x14ac:dyDescent="0.25">
      <c r="A71" s="313">
        <v>14</v>
      </c>
      <c r="B71" s="229">
        <v>5457</v>
      </c>
      <c r="C71" s="229">
        <v>600099377</v>
      </c>
      <c r="D71" s="229">
        <v>855049</v>
      </c>
      <c r="E71" s="411" t="s">
        <v>509</v>
      </c>
      <c r="F71" s="229">
        <v>3113</v>
      </c>
      <c r="G71" s="411" t="s">
        <v>330</v>
      </c>
      <c r="H71" s="318" t="s">
        <v>278</v>
      </c>
      <c r="I71" s="494">
        <v>38126710</v>
      </c>
      <c r="J71" s="489">
        <v>27238580</v>
      </c>
      <c r="K71" s="489">
        <v>196800</v>
      </c>
      <c r="L71" s="489">
        <v>9273158</v>
      </c>
      <c r="M71" s="489">
        <v>544772</v>
      </c>
      <c r="N71" s="489">
        <v>873400</v>
      </c>
      <c r="O71" s="490">
        <v>47.371599999999994</v>
      </c>
      <c r="P71" s="491">
        <v>37.548499999999997</v>
      </c>
      <c r="Q71" s="500">
        <v>9.8230999999999984</v>
      </c>
      <c r="R71" s="502">
        <f t="shared" si="10"/>
        <v>0</v>
      </c>
      <c r="S71" s="492">
        <v>0</v>
      </c>
      <c r="T71" s="492">
        <v>0</v>
      </c>
      <c r="U71" s="492">
        <v>0</v>
      </c>
      <c r="V71" s="492">
        <f t="shared" si="11"/>
        <v>0</v>
      </c>
      <c r="W71" s="713">
        <v>0</v>
      </c>
      <c r="X71" s="492">
        <v>0</v>
      </c>
      <c r="Y71" s="492">
        <v>0</v>
      </c>
      <c r="Z71" s="492">
        <f t="shared" ref="Z71:Z76" si="64">SUM(W71:Y71)</f>
        <v>0</v>
      </c>
      <c r="AA71" s="492">
        <f t="shared" ref="AA71:AA76" si="65">V71+Z71</f>
        <v>0</v>
      </c>
      <c r="AB71" s="74">
        <f t="shared" ref="AB71:AB76" si="66">ROUND((V71+W71+X71)*33.8%,0)</f>
        <v>0</v>
      </c>
      <c r="AC71" s="74">
        <f t="shared" ref="AC71:AC76" si="67">ROUND(V71*2%,0)</f>
        <v>0</v>
      </c>
      <c r="AD71" s="492">
        <v>0</v>
      </c>
      <c r="AE71" s="492">
        <v>0</v>
      </c>
      <c r="AF71" s="492">
        <f t="shared" si="12"/>
        <v>0</v>
      </c>
      <c r="AG71" s="492">
        <f t="shared" si="13"/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ref="AO71:AO76" si="68">AH71+AJ71+AM71</f>
        <v>0</v>
      </c>
      <c r="AP71" s="493">
        <f t="shared" ref="AP71:AP76" si="69">AI71+AN71</f>
        <v>0</v>
      </c>
      <c r="AQ71" s="495">
        <f t="shared" si="16"/>
        <v>0</v>
      </c>
      <c r="AR71" s="501">
        <f t="shared" ref="AR71:AR76" si="70">I71+AG71</f>
        <v>38126710</v>
      </c>
      <c r="AS71" s="492">
        <f t="shared" ref="AS71:AS76" si="71">J71+V71</f>
        <v>27238580</v>
      </c>
      <c r="AT71" s="492">
        <f t="shared" ref="AT71:AT76" si="72">K71+Z71</f>
        <v>196800</v>
      </c>
      <c r="AU71" s="492">
        <f t="shared" ref="AU71:AV76" si="73">L71+AB71</f>
        <v>9273158</v>
      </c>
      <c r="AV71" s="492">
        <f t="shared" si="73"/>
        <v>544772</v>
      </c>
      <c r="AW71" s="492">
        <f t="shared" ref="AW71:AW76" si="74">N71+AF71</f>
        <v>873400</v>
      </c>
      <c r="AX71" s="493">
        <f t="shared" ref="AX71:AX76" si="75">O71+AQ71</f>
        <v>47.371599999999994</v>
      </c>
      <c r="AY71" s="493">
        <f t="shared" ref="AY71:AZ76" si="76">P71+AO71</f>
        <v>37.548499999999997</v>
      </c>
      <c r="AZ71" s="495">
        <f t="shared" si="76"/>
        <v>9.8230999999999984</v>
      </c>
    </row>
    <row r="72" spans="1:52" ht="12.95" customHeight="1" x14ac:dyDescent="0.25">
      <c r="A72" s="313">
        <v>14</v>
      </c>
      <c r="B72" s="229">
        <v>5457</v>
      </c>
      <c r="C72" s="229">
        <v>600099377</v>
      </c>
      <c r="D72" s="229">
        <v>855049</v>
      </c>
      <c r="E72" s="228" t="s">
        <v>509</v>
      </c>
      <c r="F72" s="229">
        <v>3113</v>
      </c>
      <c r="G72" s="356" t="s">
        <v>313</v>
      </c>
      <c r="H72" s="318" t="s">
        <v>279</v>
      </c>
      <c r="I72" s="494">
        <v>3544512</v>
      </c>
      <c r="J72" s="489">
        <v>2609361</v>
      </c>
      <c r="K72" s="489">
        <v>0</v>
      </c>
      <c r="L72" s="489">
        <v>881964</v>
      </c>
      <c r="M72" s="489">
        <v>52187</v>
      </c>
      <c r="N72" s="489">
        <v>1000</v>
      </c>
      <c r="O72" s="490">
        <v>7.05</v>
      </c>
      <c r="P72" s="491">
        <v>7.05</v>
      </c>
      <c r="Q72" s="500">
        <v>0</v>
      </c>
      <c r="R72" s="502">
        <f t="shared" si="10"/>
        <v>0</v>
      </c>
      <c r="S72" s="492">
        <v>0</v>
      </c>
      <c r="T72" s="492">
        <v>0</v>
      </c>
      <c r="U72" s="492">
        <v>0</v>
      </c>
      <c r="V72" s="492">
        <f t="shared" si="11"/>
        <v>0</v>
      </c>
      <c r="W72" s="713">
        <v>0</v>
      </c>
      <c r="X72" s="492">
        <v>0</v>
      </c>
      <c r="Y72" s="492">
        <v>0</v>
      </c>
      <c r="Z72" s="492">
        <f t="shared" si="64"/>
        <v>0</v>
      </c>
      <c r="AA72" s="492">
        <f t="shared" si="65"/>
        <v>0</v>
      </c>
      <c r="AB72" s="74">
        <f t="shared" si="66"/>
        <v>0</v>
      </c>
      <c r="AC72" s="74">
        <f t="shared" si="67"/>
        <v>0</v>
      </c>
      <c r="AD72" s="492">
        <v>0</v>
      </c>
      <c r="AE72" s="492">
        <v>0</v>
      </c>
      <c r="AF72" s="492">
        <f t="shared" si="12"/>
        <v>0</v>
      </c>
      <c r="AG72" s="492">
        <f t="shared" si="13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68"/>
        <v>0</v>
      </c>
      <c r="AP72" s="493">
        <f t="shared" si="69"/>
        <v>0</v>
      </c>
      <c r="AQ72" s="495">
        <f t="shared" si="16"/>
        <v>0</v>
      </c>
      <c r="AR72" s="501">
        <f t="shared" si="70"/>
        <v>3544512</v>
      </c>
      <c r="AS72" s="492">
        <f t="shared" si="71"/>
        <v>2609361</v>
      </c>
      <c r="AT72" s="492">
        <f t="shared" si="72"/>
        <v>0</v>
      </c>
      <c r="AU72" s="492">
        <f t="shared" si="73"/>
        <v>881964</v>
      </c>
      <c r="AV72" s="492">
        <f t="shared" si="73"/>
        <v>52187</v>
      </c>
      <c r="AW72" s="492">
        <f t="shared" si="74"/>
        <v>1000</v>
      </c>
      <c r="AX72" s="493">
        <f t="shared" si="75"/>
        <v>7.05</v>
      </c>
      <c r="AY72" s="493">
        <f t="shared" si="76"/>
        <v>7.05</v>
      </c>
      <c r="AZ72" s="495">
        <f t="shared" si="76"/>
        <v>0</v>
      </c>
    </row>
    <row r="73" spans="1:52" ht="12.95" customHeight="1" x14ac:dyDescent="0.25">
      <c r="A73" s="313">
        <v>14</v>
      </c>
      <c r="B73" s="409">
        <v>5457</v>
      </c>
      <c r="C73" s="409">
        <v>600099377</v>
      </c>
      <c r="D73" s="409">
        <v>855049</v>
      </c>
      <c r="E73" s="410" t="s">
        <v>509</v>
      </c>
      <c r="F73" s="409">
        <v>3141</v>
      </c>
      <c r="G73" s="412" t="s">
        <v>316</v>
      </c>
      <c r="H73" s="318" t="s">
        <v>279</v>
      </c>
      <c r="I73" s="494">
        <v>1338045</v>
      </c>
      <c r="J73" s="489">
        <v>962650</v>
      </c>
      <c r="K73" s="489">
        <v>7800</v>
      </c>
      <c r="L73" s="489">
        <v>328012</v>
      </c>
      <c r="M73" s="489">
        <v>19253</v>
      </c>
      <c r="N73" s="489">
        <v>20330</v>
      </c>
      <c r="O73" s="490">
        <v>3.06</v>
      </c>
      <c r="P73" s="491">
        <v>0</v>
      </c>
      <c r="Q73" s="500">
        <v>3.06</v>
      </c>
      <c r="R73" s="502">
        <f t="shared" si="10"/>
        <v>0</v>
      </c>
      <c r="S73" s="492">
        <v>0</v>
      </c>
      <c r="T73" s="492">
        <v>0</v>
      </c>
      <c r="U73" s="492">
        <v>0</v>
      </c>
      <c r="V73" s="492">
        <f t="shared" si="11"/>
        <v>0</v>
      </c>
      <c r="W73" s="713">
        <v>0</v>
      </c>
      <c r="X73" s="492">
        <v>0</v>
      </c>
      <c r="Y73" s="492">
        <v>0</v>
      </c>
      <c r="Z73" s="492">
        <f t="shared" si="64"/>
        <v>0</v>
      </c>
      <c r="AA73" s="492">
        <f t="shared" si="65"/>
        <v>0</v>
      </c>
      <c r="AB73" s="74">
        <f t="shared" si="66"/>
        <v>0</v>
      </c>
      <c r="AC73" s="74">
        <f t="shared" si="67"/>
        <v>0</v>
      </c>
      <c r="AD73" s="492">
        <v>0</v>
      </c>
      <c r="AE73" s="492">
        <v>0</v>
      </c>
      <c r="AF73" s="492">
        <f t="shared" si="12"/>
        <v>0</v>
      </c>
      <c r="AG73" s="492">
        <f t="shared" si="13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68"/>
        <v>0</v>
      </c>
      <c r="AP73" s="493">
        <f t="shared" si="69"/>
        <v>0</v>
      </c>
      <c r="AQ73" s="495">
        <f t="shared" si="16"/>
        <v>0</v>
      </c>
      <c r="AR73" s="501">
        <f t="shared" si="70"/>
        <v>1338045</v>
      </c>
      <c r="AS73" s="492">
        <f t="shared" si="71"/>
        <v>962650</v>
      </c>
      <c r="AT73" s="492">
        <f t="shared" si="72"/>
        <v>7800</v>
      </c>
      <c r="AU73" s="492">
        <f t="shared" si="73"/>
        <v>328012</v>
      </c>
      <c r="AV73" s="492">
        <f t="shared" si="73"/>
        <v>19253</v>
      </c>
      <c r="AW73" s="492">
        <f t="shared" si="74"/>
        <v>20330</v>
      </c>
      <c r="AX73" s="493">
        <f t="shared" si="75"/>
        <v>3.06</v>
      </c>
      <c r="AY73" s="493">
        <f t="shared" si="76"/>
        <v>0</v>
      </c>
      <c r="AZ73" s="495">
        <f t="shared" si="76"/>
        <v>3.06</v>
      </c>
    </row>
    <row r="74" spans="1:52" ht="12.95" customHeight="1" x14ac:dyDescent="0.25">
      <c r="A74" s="313">
        <v>14</v>
      </c>
      <c r="B74" s="229">
        <v>5457</v>
      </c>
      <c r="C74" s="229">
        <v>600099377</v>
      </c>
      <c r="D74" s="229">
        <v>855049</v>
      </c>
      <c r="E74" s="411" t="s">
        <v>509</v>
      </c>
      <c r="F74" s="229">
        <v>3143</v>
      </c>
      <c r="G74" s="356" t="s">
        <v>629</v>
      </c>
      <c r="H74" s="318" t="s">
        <v>278</v>
      </c>
      <c r="I74" s="494">
        <v>3320412</v>
      </c>
      <c r="J74" s="489">
        <v>2438671</v>
      </c>
      <c r="K74" s="489">
        <v>6500</v>
      </c>
      <c r="L74" s="489">
        <v>826468</v>
      </c>
      <c r="M74" s="489">
        <v>48773</v>
      </c>
      <c r="N74" s="489">
        <v>0</v>
      </c>
      <c r="O74" s="490">
        <v>4.8773000000000009</v>
      </c>
      <c r="P74" s="491">
        <v>4.8773000000000009</v>
      </c>
      <c r="Q74" s="500">
        <v>0</v>
      </c>
      <c r="R74" s="502">
        <f t="shared" si="10"/>
        <v>0</v>
      </c>
      <c r="S74" s="492">
        <v>0</v>
      </c>
      <c r="T74" s="492">
        <v>0</v>
      </c>
      <c r="U74" s="492">
        <v>0</v>
      </c>
      <c r="V74" s="492">
        <f t="shared" si="11"/>
        <v>0</v>
      </c>
      <c r="W74" s="713">
        <v>0</v>
      </c>
      <c r="X74" s="492">
        <v>0</v>
      </c>
      <c r="Y74" s="492">
        <v>0</v>
      </c>
      <c r="Z74" s="492">
        <f t="shared" si="64"/>
        <v>0</v>
      </c>
      <c r="AA74" s="492">
        <f t="shared" si="65"/>
        <v>0</v>
      </c>
      <c r="AB74" s="74">
        <f t="shared" si="66"/>
        <v>0</v>
      </c>
      <c r="AC74" s="74">
        <f t="shared" si="67"/>
        <v>0</v>
      </c>
      <c r="AD74" s="492">
        <v>0</v>
      </c>
      <c r="AE74" s="492">
        <v>0</v>
      </c>
      <c r="AF74" s="492">
        <f t="shared" si="12"/>
        <v>0</v>
      </c>
      <c r="AG74" s="492">
        <f t="shared" si="13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68"/>
        <v>0</v>
      </c>
      <c r="AP74" s="493">
        <f t="shared" si="69"/>
        <v>0</v>
      </c>
      <c r="AQ74" s="495">
        <f t="shared" si="16"/>
        <v>0</v>
      </c>
      <c r="AR74" s="501">
        <f t="shared" si="70"/>
        <v>3320412</v>
      </c>
      <c r="AS74" s="492">
        <f t="shared" si="71"/>
        <v>2438671</v>
      </c>
      <c r="AT74" s="492">
        <f t="shared" si="72"/>
        <v>6500</v>
      </c>
      <c r="AU74" s="492">
        <f t="shared" si="73"/>
        <v>826468</v>
      </c>
      <c r="AV74" s="492">
        <f t="shared" si="73"/>
        <v>48773</v>
      </c>
      <c r="AW74" s="492">
        <f t="shared" si="74"/>
        <v>0</v>
      </c>
      <c r="AX74" s="493">
        <f t="shared" si="75"/>
        <v>4.8773000000000009</v>
      </c>
      <c r="AY74" s="493">
        <f t="shared" si="76"/>
        <v>4.8773000000000009</v>
      </c>
      <c r="AZ74" s="495">
        <f t="shared" si="76"/>
        <v>0</v>
      </c>
    </row>
    <row r="75" spans="1:52" ht="12.95" customHeight="1" x14ac:dyDescent="0.25">
      <c r="A75" s="313">
        <v>14</v>
      </c>
      <c r="B75" s="229">
        <v>5457</v>
      </c>
      <c r="C75" s="229">
        <v>600099377</v>
      </c>
      <c r="D75" s="229">
        <v>855049</v>
      </c>
      <c r="E75" s="411" t="s">
        <v>509</v>
      </c>
      <c r="F75" s="229">
        <v>3143</v>
      </c>
      <c r="G75" s="356" t="s">
        <v>630</v>
      </c>
      <c r="H75" s="318" t="s">
        <v>279</v>
      </c>
      <c r="I75" s="494">
        <v>121715</v>
      </c>
      <c r="J75" s="489">
        <v>86072</v>
      </c>
      <c r="K75" s="489">
        <v>0</v>
      </c>
      <c r="L75" s="489">
        <v>29092</v>
      </c>
      <c r="M75" s="489">
        <v>1721</v>
      </c>
      <c r="N75" s="489">
        <v>4830</v>
      </c>
      <c r="O75" s="490">
        <v>0.34</v>
      </c>
      <c r="P75" s="491">
        <v>0</v>
      </c>
      <c r="Q75" s="500">
        <v>0.34</v>
      </c>
      <c r="R75" s="502">
        <f t="shared" si="10"/>
        <v>0</v>
      </c>
      <c r="S75" s="492">
        <v>0</v>
      </c>
      <c r="T75" s="492">
        <v>0</v>
      </c>
      <c r="U75" s="492">
        <v>0</v>
      </c>
      <c r="V75" s="492">
        <f t="shared" si="11"/>
        <v>0</v>
      </c>
      <c r="W75" s="713">
        <v>0</v>
      </c>
      <c r="X75" s="492">
        <v>0</v>
      </c>
      <c r="Y75" s="492">
        <v>0</v>
      </c>
      <c r="Z75" s="492">
        <f t="shared" si="64"/>
        <v>0</v>
      </c>
      <c r="AA75" s="492">
        <f t="shared" si="65"/>
        <v>0</v>
      </c>
      <c r="AB75" s="74">
        <f t="shared" si="66"/>
        <v>0</v>
      </c>
      <c r="AC75" s="74">
        <f t="shared" si="67"/>
        <v>0</v>
      </c>
      <c r="AD75" s="492">
        <v>0</v>
      </c>
      <c r="AE75" s="492">
        <v>0</v>
      </c>
      <c r="AF75" s="492">
        <f t="shared" si="12"/>
        <v>0</v>
      </c>
      <c r="AG75" s="492">
        <f t="shared" si="13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si="68"/>
        <v>0</v>
      </c>
      <c r="AP75" s="493">
        <f t="shared" si="69"/>
        <v>0</v>
      </c>
      <c r="AQ75" s="495">
        <f t="shared" si="16"/>
        <v>0</v>
      </c>
      <c r="AR75" s="501">
        <f t="shared" si="70"/>
        <v>121715</v>
      </c>
      <c r="AS75" s="492">
        <f t="shared" si="71"/>
        <v>86072</v>
      </c>
      <c r="AT75" s="492">
        <f t="shared" si="72"/>
        <v>0</v>
      </c>
      <c r="AU75" s="492">
        <f t="shared" si="73"/>
        <v>29092</v>
      </c>
      <c r="AV75" s="492">
        <f t="shared" si="73"/>
        <v>1721</v>
      </c>
      <c r="AW75" s="492">
        <f t="shared" si="74"/>
        <v>4830</v>
      </c>
      <c r="AX75" s="493">
        <f t="shared" si="75"/>
        <v>0.34</v>
      </c>
      <c r="AY75" s="493">
        <f t="shared" si="76"/>
        <v>0</v>
      </c>
      <c r="AZ75" s="495">
        <f t="shared" si="76"/>
        <v>0.34</v>
      </c>
    </row>
    <row r="76" spans="1:52" ht="12.95" customHeight="1" x14ac:dyDescent="0.25">
      <c r="A76" s="313">
        <v>14</v>
      </c>
      <c r="B76" s="229">
        <v>5457</v>
      </c>
      <c r="C76" s="229">
        <v>600099377</v>
      </c>
      <c r="D76" s="229">
        <v>855049</v>
      </c>
      <c r="E76" s="228" t="s">
        <v>509</v>
      </c>
      <c r="F76" s="229">
        <v>3143</v>
      </c>
      <c r="G76" s="356" t="s">
        <v>318</v>
      </c>
      <c r="H76" s="318" t="s">
        <v>279</v>
      </c>
      <c r="I76" s="494">
        <v>779842</v>
      </c>
      <c r="J76" s="489">
        <v>572490</v>
      </c>
      <c r="K76" s="489">
        <v>0</v>
      </c>
      <c r="L76" s="489">
        <v>193502</v>
      </c>
      <c r="M76" s="489">
        <v>11450</v>
      </c>
      <c r="N76" s="489">
        <v>2400</v>
      </c>
      <c r="O76" s="490">
        <v>1.29</v>
      </c>
      <c r="P76" s="491">
        <v>1.04</v>
      </c>
      <c r="Q76" s="500">
        <v>0.25</v>
      </c>
      <c r="R76" s="502">
        <f t="shared" si="10"/>
        <v>0</v>
      </c>
      <c r="S76" s="492">
        <v>0</v>
      </c>
      <c r="T76" s="492">
        <v>0</v>
      </c>
      <c r="U76" s="492">
        <v>0</v>
      </c>
      <c r="V76" s="492">
        <f t="shared" si="11"/>
        <v>0</v>
      </c>
      <c r="W76" s="713">
        <v>0</v>
      </c>
      <c r="X76" s="492">
        <v>0</v>
      </c>
      <c r="Y76" s="492">
        <v>0</v>
      </c>
      <c r="Z76" s="492">
        <f t="shared" si="64"/>
        <v>0</v>
      </c>
      <c r="AA76" s="492">
        <f t="shared" si="65"/>
        <v>0</v>
      </c>
      <c r="AB76" s="74">
        <f t="shared" si="66"/>
        <v>0</v>
      </c>
      <c r="AC76" s="74">
        <f t="shared" si="67"/>
        <v>0</v>
      </c>
      <c r="AD76" s="492">
        <v>0</v>
      </c>
      <c r="AE76" s="492">
        <v>0</v>
      </c>
      <c r="AF76" s="492">
        <f t="shared" si="12"/>
        <v>0</v>
      </c>
      <c r="AG76" s="492">
        <f t="shared" si="13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68"/>
        <v>0</v>
      </c>
      <c r="AP76" s="493">
        <f t="shared" si="69"/>
        <v>0</v>
      </c>
      <c r="AQ76" s="495">
        <f t="shared" si="16"/>
        <v>0</v>
      </c>
      <c r="AR76" s="501">
        <f t="shared" si="70"/>
        <v>779842</v>
      </c>
      <c r="AS76" s="492">
        <f t="shared" si="71"/>
        <v>572490</v>
      </c>
      <c r="AT76" s="492">
        <f t="shared" si="72"/>
        <v>0</v>
      </c>
      <c r="AU76" s="492">
        <f t="shared" si="73"/>
        <v>193502</v>
      </c>
      <c r="AV76" s="492">
        <f t="shared" si="73"/>
        <v>11450</v>
      </c>
      <c r="AW76" s="492">
        <f t="shared" si="74"/>
        <v>2400</v>
      </c>
      <c r="AX76" s="493">
        <f t="shared" si="75"/>
        <v>1.29</v>
      </c>
      <c r="AY76" s="493">
        <f t="shared" si="76"/>
        <v>1.04</v>
      </c>
      <c r="AZ76" s="495">
        <f t="shared" si="76"/>
        <v>0.25</v>
      </c>
    </row>
    <row r="77" spans="1:52" ht="12.95" customHeight="1" x14ac:dyDescent="0.25">
      <c r="A77" s="230">
        <v>14</v>
      </c>
      <c r="B77" s="53">
        <v>5457</v>
      </c>
      <c r="C77" s="53">
        <v>600099377</v>
      </c>
      <c r="D77" s="53">
        <v>855049</v>
      </c>
      <c r="E77" s="413" t="s">
        <v>510</v>
      </c>
      <c r="F77" s="53"/>
      <c r="G77" s="426"/>
      <c r="H77" s="197"/>
      <c r="I77" s="635">
        <v>47231236</v>
      </c>
      <c r="J77" s="631">
        <v>33907824</v>
      </c>
      <c r="K77" s="631">
        <v>211100</v>
      </c>
      <c r="L77" s="631">
        <v>11532196</v>
      </c>
      <c r="M77" s="631">
        <v>678156</v>
      </c>
      <c r="N77" s="631">
        <v>901960</v>
      </c>
      <c r="O77" s="632">
        <v>63.988899999999994</v>
      </c>
      <c r="P77" s="632">
        <v>50.515799999999992</v>
      </c>
      <c r="Q77" s="637">
        <v>13.473099999999999</v>
      </c>
      <c r="R77" s="635">
        <f t="shared" ref="R77:AZ77" si="77">SUM(R71:R76)</f>
        <v>0</v>
      </c>
      <c r="S77" s="631">
        <f t="shared" si="77"/>
        <v>0</v>
      </c>
      <c r="T77" s="631">
        <f t="shared" si="77"/>
        <v>0</v>
      </c>
      <c r="U77" s="631">
        <f t="shared" si="77"/>
        <v>0</v>
      </c>
      <c r="V77" s="631">
        <f t="shared" si="77"/>
        <v>0</v>
      </c>
      <c r="W77" s="631">
        <f t="shared" si="77"/>
        <v>0</v>
      </c>
      <c r="X77" s="631">
        <f t="shared" si="77"/>
        <v>0</v>
      </c>
      <c r="Y77" s="631">
        <f t="shared" si="77"/>
        <v>0</v>
      </c>
      <c r="Z77" s="631">
        <f t="shared" si="77"/>
        <v>0</v>
      </c>
      <c r="AA77" s="631">
        <f t="shared" si="77"/>
        <v>0</v>
      </c>
      <c r="AB77" s="631">
        <f t="shared" si="77"/>
        <v>0</v>
      </c>
      <c r="AC77" s="631">
        <f t="shared" si="77"/>
        <v>0</v>
      </c>
      <c r="AD77" s="631">
        <f t="shared" si="77"/>
        <v>0</v>
      </c>
      <c r="AE77" s="631">
        <f t="shared" si="77"/>
        <v>0</v>
      </c>
      <c r="AF77" s="631">
        <f t="shared" si="77"/>
        <v>0</v>
      </c>
      <c r="AG77" s="631">
        <f t="shared" si="77"/>
        <v>0</v>
      </c>
      <c r="AH77" s="632">
        <f t="shared" si="77"/>
        <v>0</v>
      </c>
      <c r="AI77" s="632">
        <f t="shared" si="77"/>
        <v>0</v>
      </c>
      <c r="AJ77" s="632">
        <f t="shared" si="77"/>
        <v>0</v>
      </c>
      <c r="AK77" s="632">
        <f t="shared" si="77"/>
        <v>0</v>
      </c>
      <c r="AL77" s="632">
        <f t="shared" si="77"/>
        <v>0</v>
      </c>
      <c r="AM77" s="632">
        <f t="shared" si="77"/>
        <v>0</v>
      </c>
      <c r="AN77" s="632">
        <f t="shared" si="77"/>
        <v>0</v>
      </c>
      <c r="AO77" s="632">
        <f t="shared" si="77"/>
        <v>0</v>
      </c>
      <c r="AP77" s="632">
        <f t="shared" si="77"/>
        <v>0</v>
      </c>
      <c r="AQ77" s="414">
        <f t="shared" si="77"/>
        <v>0</v>
      </c>
      <c r="AR77" s="639">
        <f t="shared" si="77"/>
        <v>47231236</v>
      </c>
      <c r="AS77" s="631">
        <f t="shared" si="77"/>
        <v>33907824</v>
      </c>
      <c r="AT77" s="631">
        <f t="shared" si="77"/>
        <v>211100</v>
      </c>
      <c r="AU77" s="631">
        <f t="shared" si="77"/>
        <v>11532196</v>
      </c>
      <c r="AV77" s="631">
        <f t="shared" si="77"/>
        <v>678156</v>
      </c>
      <c r="AW77" s="631">
        <f t="shared" si="77"/>
        <v>901960</v>
      </c>
      <c r="AX77" s="632">
        <f t="shared" si="77"/>
        <v>63.988899999999994</v>
      </c>
      <c r="AY77" s="632">
        <f t="shared" si="77"/>
        <v>50.515799999999992</v>
      </c>
      <c r="AZ77" s="414">
        <f t="shared" si="77"/>
        <v>13.473099999999999</v>
      </c>
    </row>
    <row r="78" spans="1:52" ht="12.95" customHeight="1" x14ac:dyDescent="0.25">
      <c r="A78" s="313">
        <v>15</v>
      </c>
      <c r="B78" s="229">
        <v>5459</v>
      </c>
      <c r="C78" s="229">
        <v>600099415</v>
      </c>
      <c r="D78" s="229">
        <v>70946086</v>
      </c>
      <c r="E78" s="411" t="s">
        <v>511</v>
      </c>
      <c r="F78" s="229">
        <v>3231</v>
      </c>
      <c r="G78" s="411" t="s">
        <v>511</v>
      </c>
      <c r="H78" s="318" t="s">
        <v>278</v>
      </c>
      <c r="I78" s="494">
        <v>21917587</v>
      </c>
      <c r="J78" s="489">
        <v>16088639</v>
      </c>
      <c r="K78" s="489">
        <v>0</v>
      </c>
      <c r="L78" s="489">
        <v>5437960</v>
      </c>
      <c r="M78" s="489">
        <v>321773</v>
      </c>
      <c r="N78" s="489">
        <v>69215</v>
      </c>
      <c r="O78" s="490">
        <v>29.881300000000003</v>
      </c>
      <c r="P78" s="491">
        <v>26.548200000000001</v>
      </c>
      <c r="Q78" s="500">
        <v>3.3331</v>
      </c>
      <c r="R78" s="502">
        <f t="shared" ref="R78:R141" si="78">W78*-1</f>
        <v>0</v>
      </c>
      <c r="S78" s="492">
        <v>0</v>
      </c>
      <c r="T78" s="492">
        <v>0</v>
      </c>
      <c r="U78" s="492">
        <v>0</v>
      </c>
      <c r="V78" s="492">
        <f t="shared" ref="V78:V141" si="79">SUM(R78:U78)</f>
        <v>0</v>
      </c>
      <c r="W78" s="492">
        <v>0</v>
      </c>
      <c r="X78" s="492">
        <v>0</v>
      </c>
      <c r="Y78" s="492">
        <v>0</v>
      </c>
      <c r="Z78" s="492">
        <f>SUM(W78:Y78)</f>
        <v>0</v>
      </c>
      <c r="AA78" s="492">
        <f>V78+Z78</f>
        <v>0</v>
      </c>
      <c r="AB78" s="74">
        <f>ROUND((V78+W78+X78)*33.8%,0)</f>
        <v>0</v>
      </c>
      <c r="AC78" s="74">
        <f>ROUND(V78*2%,0)</f>
        <v>0</v>
      </c>
      <c r="AD78" s="492">
        <v>0</v>
      </c>
      <c r="AE78" s="492">
        <v>0</v>
      </c>
      <c r="AF78" s="492">
        <f t="shared" ref="AF78:AF141" si="80">SUM(AD78:AE78)</f>
        <v>0</v>
      </c>
      <c r="AG78" s="492">
        <f t="shared" ref="AG78:AG141" si="81"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>AH78+AJ78+AM78</f>
        <v>0</v>
      </c>
      <c r="AP78" s="493">
        <f>AI78+AN78</f>
        <v>0</v>
      </c>
      <c r="AQ78" s="495">
        <f t="shared" ref="AQ78:AQ141" si="82">SUM(AO78:AP78)</f>
        <v>0</v>
      </c>
      <c r="AR78" s="501">
        <f>I78+AG78</f>
        <v>21917587</v>
      </c>
      <c r="AS78" s="492">
        <f>J78+V78</f>
        <v>16088639</v>
      </c>
      <c r="AT78" s="492">
        <f>K78+Z78</f>
        <v>0</v>
      </c>
      <c r="AU78" s="492">
        <f>L78+AB78</f>
        <v>5437960</v>
      </c>
      <c r="AV78" s="492">
        <f>M78+AC78</f>
        <v>321773</v>
      </c>
      <c r="AW78" s="492">
        <f>N78+AF78</f>
        <v>69215</v>
      </c>
      <c r="AX78" s="493">
        <f>O78+AQ78</f>
        <v>29.881300000000003</v>
      </c>
      <c r="AY78" s="493">
        <f>P78+AO78</f>
        <v>26.548200000000001</v>
      </c>
      <c r="AZ78" s="495">
        <f>Q78+AP78</f>
        <v>3.3331</v>
      </c>
    </row>
    <row r="79" spans="1:52" ht="12.95" customHeight="1" x14ac:dyDescent="0.25">
      <c r="A79" s="230">
        <v>15</v>
      </c>
      <c r="B79" s="50">
        <v>5459</v>
      </c>
      <c r="C79" s="50">
        <v>600099415</v>
      </c>
      <c r="D79" s="50">
        <v>70946086</v>
      </c>
      <c r="E79" s="413" t="s">
        <v>512</v>
      </c>
      <c r="F79" s="50"/>
      <c r="G79" s="413"/>
      <c r="H79" s="194"/>
      <c r="I79" s="584">
        <v>21917587</v>
      </c>
      <c r="J79" s="580">
        <v>16088639</v>
      </c>
      <c r="K79" s="580">
        <v>0</v>
      </c>
      <c r="L79" s="580">
        <v>5437960</v>
      </c>
      <c r="M79" s="580">
        <v>321773</v>
      </c>
      <c r="N79" s="580">
        <v>69215</v>
      </c>
      <c r="O79" s="581">
        <v>29.881300000000003</v>
      </c>
      <c r="P79" s="581">
        <v>26.548200000000001</v>
      </c>
      <c r="Q79" s="586">
        <v>3.3331</v>
      </c>
      <c r="R79" s="584">
        <f t="shared" ref="R79:AZ79" si="83">SUM(R78)</f>
        <v>0</v>
      </c>
      <c r="S79" s="580">
        <f t="shared" si="83"/>
        <v>0</v>
      </c>
      <c r="T79" s="580">
        <f t="shared" si="83"/>
        <v>0</v>
      </c>
      <c r="U79" s="580">
        <f t="shared" si="83"/>
        <v>0</v>
      </c>
      <c r="V79" s="580">
        <f t="shared" si="83"/>
        <v>0</v>
      </c>
      <c r="W79" s="580">
        <f t="shared" si="83"/>
        <v>0</v>
      </c>
      <c r="X79" s="580">
        <f t="shared" si="83"/>
        <v>0</v>
      </c>
      <c r="Y79" s="580">
        <f t="shared" si="83"/>
        <v>0</v>
      </c>
      <c r="Z79" s="580">
        <f t="shared" si="83"/>
        <v>0</v>
      </c>
      <c r="AA79" s="580">
        <f t="shared" si="83"/>
        <v>0</v>
      </c>
      <c r="AB79" s="580">
        <f t="shared" si="83"/>
        <v>0</v>
      </c>
      <c r="AC79" s="580">
        <f t="shared" si="83"/>
        <v>0</v>
      </c>
      <c r="AD79" s="580">
        <f t="shared" si="83"/>
        <v>0</v>
      </c>
      <c r="AE79" s="580">
        <f t="shared" si="83"/>
        <v>0</v>
      </c>
      <c r="AF79" s="580">
        <f t="shared" si="83"/>
        <v>0</v>
      </c>
      <c r="AG79" s="580">
        <f t="shared" si="83"/>
        <v>0</v>
      </c>
      <c r="AH79" s="581">
        <f t="shared" si="83"/>
        <v>0</v>
      </c>
      <c r="AI79" s="581">
        <f t="shared" si="83"/>
        <v>0</v>
      </c>
      <c r="AJ79" s="581">
        <f t="shared" si="83"/>
        <v>0</v>
      </c>
      <c r="AK79" s="581">
        <f t="shared" si="83"/>
        <v>0</v>
      </c>
      <c r="AL79" s="581">
        <f t="shared" si="83"/>
        <v>0</v>
      </c>
      <c r="AM79" s="581">
        <f t="shared" si="83"/>
        <v>0</v>
      </c>
      <c r="AN79" s="581">
        <f t="shared" si="83"/>
        <v>0</v>
      </c>
      <c r="AO79" s="581">
        <f t="shared" si="83"/>
        <v>0</v>
      </c>
      <c r="AP79" s="581">
        <f t="shared" si="83"/>
        <v>0</v>
      </c>
      <c r="AQ79" s="312">
        <f t="shared" si="83"/>
        <v>0</v>
      </c>
      <c r="AR79" s="588">
        <f t="shared" si="83"/>
        <v>21917587</v>
      </c>
      <c r="AS79" s="580">
        <f t="shared" si="83"/>
        <v>16088639</v>
      </c>
      <c r="AT79" s="580">
        <f t="shared" si="83"/>
        <v>0</v>
      </c>
      <c r="AU79" s="580">
        <f t="shared" si="83"/>
        <v>5437960</v>
      </c>
      <c r="AV79" s="580">
        <f t="shared" si="83"/>
        <v>321773</v>
      </c>
      <c r="AW79" s="580">
        <f t="shared" si="83"/>
        <v>69215</v>
      </c>
      <c r="AX79" s="581">
        <f t="shared" si="83"/>
        <v>29.881300000000003</v>
      </c>
      <c r="AY79" s="581">
        <f t="shared" si="83"/>
        <v>26.548200000000001</v>
      </c>
      <c r="AZ79" s="312">
        <f t="shared" si="83"/>
        <v>3.3331</v>
      </c>
    </row>
    <row r="80" spans="1:52" ht="12.95" customHeight="1" x14ac:dyDescent="0.25">
      <c r="A80" s="313">
        <v>16</v>
      </c>
      <c r="B80" s="415">
        <v>5482</v>
      </c>
      <c r="C80" s="415">
        <v>600098982</v>
      </c>
      <c r="D80" s="415">
        <v>71006923</v>
      </c>
      <c r="E80" s="411" t="s">
        <v>513</v>
      </c>
      <c r="F80" s="229">
        <v>3111</v>
      </c>
      <c r="G80" s="412" t="s">
        <v>326</v>
      </c>
      <c r="H80" s="318" t="s">
        <v>278</v>
      </c>
      <c r="I80" s="494">
        <v>1636138</v>
      </c>
      <c r="J80" s="489">
        <v>1195536</v>
      </c>
      <c r="K80" s="489">
        <v>0</v>
      </c>
      <c r="L80" s="489">
        <v>404091</v>
      </c>
      <c r="M80" s="489">
        <v>23911</v>
      </c>
      <c r="N80" s="489">
        <v>12600</v>
      </c>
      <c r="O80" s="490">
        <v>2.5108999999999999</v>
      </c>
      <c r="P80" s="491">
        <v>2</v>
      </c>
      <c r="Q80" s="500">
        <v>0.51090000000000002</v>
      </c>
      <c r="R80" s="502">
        <f t="shared" si="78"/>
        <v>0</v>
      </c>
      <c r="S80" s="492">
        <v>0</v>
      </c>
      <c r="T80" s="492">
        <v>0</v>
      </c>
      <c r="U80" s="492">
        <v>0</v>
      </c>
      <c r="V80" s="492">
        <f t="shared" si="79"/>
        <v>0</v>
      </c>
      <c r="W80" s="492">
        <v>0</v>
      </c>
      <c r="X80" s="492">
        <v>0</v>
      </c>
      <c r="Y80" s="492">
        <v>0</v>
      </c>
      <c r="Z80" s="492">
        <f t="shared" ref="Z80:Z85" si="84">SUM(W80:Y80)</f>
        <v>0</v>
      </c>
      <c r="AA80" s="492">
        <f t="shared" ref="AA80:AA85" si="85">V80+Z80</f>
        <v>0</v>
      </c>
      <c r="AB80" s="74">
        <f t="shared" ref="AB80:AB85" si="86">ROUND((V80+W80+X80)*33.8%,0)</f>
        <v>0</v>
      </c>
      <c r="AC80" s="74">
        <f t="shared" ref="AC80:AC85" si="87">ROUND(V80*2%,0)</f>
        <v>0</v>
      </c>
      <c r="AD80" s="492">
        <v>0</v>
      </c>
      <c r="AE80" s="492">
        <v>0</v>
      </c>
      <c r="AF80" s="492">
        <f t="shared" si="80"/>
        <v>0</v>
      </c>
      <c r="AG80" s="492">
        <f t="shared" si="81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ref="AO80:AO85" si="88">AH80+AJ80+AM80</f>
        <v>0</v>
      </c>
      <c r="AP80" s="493">
        <f t="shared" ref="AP80:AP85" si="89">AI80+AN80</f>
        <v>0</v>
      </c>
      <c r="AQ80" s="495">
        <f t="shared" si="82"/>
        <v>0</v>
      </c>
      <c r="AR80" s="501">
        <f t="shared" ref="AR80:AR85" si="90">I80+AG80</f>
        <v>1636138</v>
      </c>
      <c r="AS80" s="492">
        <f t="shared" ref="AS80:AS85" si="91">J80+V80</f>
        <v>1195536</v>
      </c>
      <c r="AT80" s="492">
        <f t="shared" ref="AT80:AT85" si="92">K80+Z80</f>
        <v>0</v>
      </c>
      <c r="AU80" s="492">
        <f t="shared" ref="AU80:AV85" si="93">L80+AB80</f>
        <v>404091</v>
      </c>
      <c r="AV80" s="492">
        <f t="shared" si="93"/>
        <v>23911</v>
      </c>
      <c r="AW80" s="492">
        <f t="shared" ref="AW80:AW85" si="94">N80+AF80</f>
        <v>12600</v>
      </c>
      <c r="AX80" s="493">
        <f t="shared" ref="AX80:AX85" si="95">O80+AQ80</f>
        <v>2.5108999999999999</v>
      </c>
      <c r="AY80" s="493">
        <f t="shared" ref="AY80:AZ85" si="96">P80+AO80</f>
        <v>2</v>
      </c>
      <c r="AZ80" s="495">
        <f t="shared" si="96"/>
        <v>0.51090000000000002</v>
      </c>
    </row>
    <row r="81" spans="1:52" ht="12.95" customHeight="1" x14ac:dyDescent="0.25">
      <c r="A81" s="313">
        <v>16</v>
      </c>
      <c r="B81" s="229">
        <v>5482</v>
      </c>
      <c r="C81" s="229">
        <v>600098982</v>
      </c>
      <c r="D81" s="229">
        <v>71006923</v>
      </c>
      <c r="E81" s="411" t="s">
        <v>513</v>
      </c>
      <c r="F81" s="229">
        <v>3117</v>
      </c>
      <c r="G81" s="411" t="s">
        <v>330</v>
      </c>
      <c r="H81" s="318" t="s">
        <v>278</v>
      </c>
      <c r="I81" s="494">
        <v>3740606</v>
      </c>
      <c r="J81" s="489">
        <v>2704129</v>
      </c>
      <c r="K81" s="489">
        <v>0</v>
      </c>
      <c r="L81" s="489">
        <v>913995</v>
      </c>
      <c r="M81" s="489">
        <v>54082</v>
      </c>
      <c r="N81" s="489">
        <v>68400</v>
      </c>
      <c r="O81" s="490">
        <v>4.8199000000000005</v>
      </c>
      <c r="P81" s="491">
        <v>3.3635999999999999</v>
      </c>
      <c r="Q81" s="500">
        <v>1.4563000000000001</v>
      </c>
      <c r="R81" s="502">
        <f t="shared" si="78"/>
        <v>0</v>
      </c>
      <c r="S81" s="492">
        <v>0</v>
      </c>
      <c r="T81" s="492">
        <v>0</v>
      </c>
      <c r="U81" s="492">
        <v>0</v>
      </c>
      <c r="V81" s="492">
        <f t="shared" si="79"/>
        <v>0</v>
      </c>
      <c r="W81" s="492">
        <v>0</v>
      </c>
      <c r="X81" s="492">
        <v>0</v>
      </c>
      <c r="Y81" s="492">
        <v>0</v>
      </c>
      <c r="Z81" s="492">
        <f t="shared" si="84"/>
        <v>0</v>
      </c>
      <c r="AA81" s="492">
        <f t="shared" si="85"/>
        <v>0</v>
      </c>
      <c r="AB81" s="74">
        <f t="shared" si="86"/>
        <v>0</v>
      </c>
      <c r="AC81" s="74">
        <f t="shared" si="87"/>
        <v>0</v>
      </c>
      <c r="AD81" s="492">
        <v>0</v>
      </c>
      <c r="AE81" s="492">
        <v>0</v>
      </c>
      <c r="AF81" s="492">
        <f t="shared" si="80"/>
        <v>0</v>
      </c>
      <c r="AG81" s="492">
        <f t="shared" si="81"/>
        <v>0</v>
      </c>
      <c r="AH81" s="493">
        <v>0</v>
      </c>
      <c r="AI81" s="493">
        <v>0</v>
      </c>
      <c r="AJ81" s="493">
        <v>0</v>
      </c>
      <c r="AK81" s="493">
        <v>0</v>
      </c>
      <c r="AL81" s="493">
        <v>0</v>
      </c>
      <c r="AM81" s="493">
        <v>0</v>
      </c>
      <c r="AN81" s="493">
        <v>0</v>
      </c>
      <c r="AO81" s="493">
        <f t="shared" si="88"/>
        <v>0</v>
      </c>
      <c r="AP81" s="493">
        <f t="shared" si="89"/>
        <v>0</v>
      </c>
      <c r="AQ81" s="495">
        <f t="shared" si="82"/>
        <v>0</v>
      </c>
      <c r="AR81" s="501">
        <f t="shared" si="90"/>
        <v>3740606</v>
      </c>
      <c r="AS81" s="492">
        <f t="shared" si="91"/>
        <v>2704129</v>
      </c>
      <c r="AT81" s="492">
        <f t="shared" si="92"/>
        <v>0</v>
      </c>
      <c r="AU81" s="492">
        <f t="shared" si="93"/>
        <v>913995</v>
      </c>
      <c r="AV81" s="492">
        <f t="shared" si="93"/>
        <v>54082</v>
      </c>
      <c r="AW81" s="492">
        <f t="shared" si="94"/>
        <v>68400</v>
      </c>
      <c r="AX81" s="493">
        <f t="shared" si="95"/>
        <v>4.8199000000000005</v>
      </c>
      <c r="AY81" s="493">
        <f t="shared" si="96"/>
        <v>3.3635999999999999</v>
      </c>
      <c r="AZ81" s="495">
        <f t="shared" si="96"/>
        <v>1.4563000000000001</v>
      </c>
    </row>
    <row r="82" spans="1:52" ht="12.95" customHeight="1" x14ac:dyDescent="0.25">
      <c r="A82" s="313">
        <v>16</v>
      </c>
      <c r="B82" s="229">
        <v>5482</v>
      </c>
      <c r="C82" s="229">
        <v>600098982</v>
      </c>
      <c r="D82" s="229">
        <v>71006923</v>
      </c>
      <c r="E82" s="411" t="s">
        <v>513</v>
      </c>
      <c r="F82" s="229">
        <v>3117</v>
      </c>
      <c r="G82" s="356" t="s">
        <v>313</v>
      </c>
      <c r="H82" s="318" t="s">
        <v>279</v>
      </c>
      <c r="I82" s="494">
        <v>0</v>
      </c>
      <c r="J82" s="489">
        <v>0</v>
      </c>
      <c r="K82" s="489">
        <v>0</v>
      </c>
      <c r="L82" s="489">
        <v>0</v>
      </c>
      <c r="M82" s="489">
        <v>0</v>
      </c>
      <c r="N82" s="489">
        <v>0</v>
      </c>
      <c r="O82" s="490">
        <v>0</v>
      </c>
      <c r="P82" s="491">
        <v>0</v>
      </c>
      <c r="Q82" s="500">
        <v>0</v>
      </c>
      <c r="R82" s="502">
        <f t="shared" si="78"/>
        <v>0</v>
      </c>
      <c r="S82" s="492">
        <v>0</v>
      </c>
      <c r="T82" s="492">
        <v>0</v>
      </c>
      <c r="U82" s="492">
        <v>0</v>
      </c>
      <c r="V82" s="492">
        <f t="shared" si="79"/>
        <v>0</v>
      </c>
      <c r="W82" s="492">
        <v>0</v>
      </c>
      <c r="X82" s="492">
        <v>0</v>
      </c>
      <c r="Y82" s="492">
        <v>0</v>
      </c>
      <c r="Z82" s="492">
        <f t="shared" si="84"/>
        <v>0</v>
      </c>
      <c r="AA82" s="492">
        <f t="shared" si="85"/>
        <v>0</v>
      </c>
      <c r="AB82" s="74">
        <f t="shared" si="86"/>
        <v>0</v>
      </c>
      <c r="AC82" s="74">
        <f t="shared" si="87"/>
        <v>0</v>
      </c>
      <c r="AD82" s="492">
        <v>0</v>
      </c>
      <c r="AE82" s="492">
        <v>0</v>
      </c>
      <c r="AF82" s="492">
        <f t="shared" si="80"/>
        <v>0</v>
      </c>
      <c r="AG82" s="492">
        <f t="shared" si="81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si="88"/>
        <v>0</v>
      </c>
      <c r="AP82" s="493">
        <f t="shared" si="89"/>
        <v>0</v>
      </c>
      <c r="AQ82" s="495">
        <f t="shared" si="82"/>
        <v>0</v>
      </c>
      <c r="AR82" s="501">
        <f t="shared" si="90"/>
        <v>0</v>
      </c>
      <c r="AS82" s="492">
        <f t="shared" si="91"/>
        <v>0</v>
      </c>
      <c r="AT82" s="492">
        <f t="shared" si="92"/>
        <v>0</v>
      </c>
      <c r="AU82" s="492">
        <f t="shared" si="93"/>
        <v>0</v>
      </c>
      <c r="AV82" s="492">
        <f t="shared" si="93"/>
        <v>0</v>
      </c>
      <c r="AW82" s="492">
        <f t="shared" si="94"/>
        <v>0</v>
      </c>
      <c r="AX82" s="493">
        <f t="shared" si="95"/>
        <v>0</v>
      </c>
      <c r="AY82" s="493">
        <f t="shared" si="96"/>
        <v>0</v>
      </c>
      <c r="AZ82" s="495">
        <f t="shared" si="96"/>
        <v>0</v>
      </c>
    </row>
    <row r="83" spans="1:52" ht="12.95" customHeight="1" x14ac:dyDescent="0.25">
      <c r="A83" s="313">
        <v>16</v>
      </c>
      <c r="B83" s="415">
        <v>5482</v>
      </c>
      <c r="C83" s="415">
        <v>600098982</v>
      </c>
      <c r="D83" s="415">
        <v>71006923</v>
      </c>
      <c r="E83" s="411" t="s">
        <v>513</v>
      </c>
      <c r="F83" s="229">
        <v>3141</v>
      </c>
      <c r="G83" s="412" t="s">
        <v>316</v>
      </c>
      <c r="H83" s="318" t="s">
        <v>279</v>
      </c>
      <c r="I83" s="494">
        <v>903369</v>
      </c>
      <c r="J83" s="489">
        <v>662316</v>
      </c>
      <c r="K83" s="489">
        <v>0</v>
      </c>
      <c r="L83" s="489">
        <v>223863</v>
      </c>
      <c r="M83" s="489">
        <v>13246</v>
      </c>
      <c r="N83" s="489">
        <v>3944</v>
      </c>
      <c r="O83" s="490">
        <v>2.09</v>
      </c>
      <c r="P83" s="491">
        <v>0</v>
      </c>
      <c r="Q83" s="500">
        <v>2.09</v>
      </c>
      <c r="R83" s="502">
        <f t="shared" si="78"/>
        <v>0</v>
      </c>
      <c r="S83" s="492">
        <v>0</v>
      </c>
      <c r="T83" s="492">
        <v>0</v>
      </c>
      <c r="U83" s="492">
        <v>0</v>
      </c>
      <c r="V83" s="492">
        <f t="shared" si="79"/>
        <v>0</v>
      </c>
      <c r="W83" s="492">
        <v>0</v>
      </c>
      <c r="X83" s="492">
        <v>0</v>
      </c>
      <c r="Y83" s="492">
        <v>0</v>
      </c>
      <c r="Z83" s="492">
        <f t="shared" si="84"/>
        <v>0</v>
      </c>
      <c r="AA83" s="492">
        <f t="shared" si="85"/>
        <v>0</v>
      </c>
      <c r="AB83" s="74">
        <f t="shared" si="86"/>
        <v>0</v>
      </c>
      <c r="AC83" s="74">
        <f t="shared" si="87"/>
        <v>0</v>
      </c>
      <c r="AD83" s="492">
        <v>0</v>
      </c>
      <c r="AE83" s="492">
        <v>0</v>
      </c>
      <c r="AF83" s="492">
        <f t="shared" si="80"/>
        <v>0</v>
      </c>
      <c r="AG83" s="492">
        <f t="shared" si="81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88"/>
        <v>0</v>
      </c>
      <c r="AP83" s="493">
        <f t="shared" si="89"/>
        <v>0</v>
      </c>
      <c r="AQ83" s="495">
        <f t="shared" si="82"/>
        <v>0</v>
      </c>
      <c r="AR83" s="501">
        <f t="shared" si="90"/>
        <v>903369</v>
      </c>
      <c r="AS83" s="492">
        <f t="shared" si="91"/>
        <v>662316</v>
      </c>
      <c r="AT83" s="492">
        <f t="shared" si="92"/>
        <v>0</v>
      </c>
      <c r="AU83" s="492">
        <f t="shared" si="93"/>
        <v>223863</v>
      </c>
      <c r="AV83" s="492">
        <f t="shared" si="93"/>
        <v>13246</v>
      </c>
      <c r="AW83" s="492">
        <f t="shared" si="94"/>
        <v>3944</v>
      </c>
      <c r="AX83" s="493">
        <f t="shared" si="95"/>
        <v>2.09</v>
      </c>
      <c r="AY83" s="493">
        <f t="shared" si="96"/>
        <v>0</v>
      </c>
      <c r="AZ83" s="495">
        <f t="shared" si="96"/>
        <v>2.09</v>
      </c>
    </row>
    <row r="84" spans="1:52" ht="12.95" customHeight="1" x14ac:dyDescent="0.25">
      <c r="A84" s="313">
        <v>16</v>
      </c>
      <c r="B84" s="229">
        <v>5482</v>
      </c>
      <c r="C84" s="229">
        <v>600098982</v>
      </c>
      <c r="D84" s="229">
        <v>71006923</v>
      </c>
      <c r="E84" s="411" t="s">
        <v>513</v>
      </c>
      <c r="F84" s="229">
        <v>3143</v>
      </c>
      <c r="G84" s="356" t="s">
        <v>629</v>
      </c>
      <c r="H84" s="318" t="s">
        <v>278</v>
      </c>
      <c r="I84" s="494">
        <v>580323</v>
      </c>
      <c r="J84" s="489">
        <v>427336</v>
      </c>
      <c r="K84" s="489">
        <v>0</v>
      </c>
      <c r="L84" s="489">
        <v>144440</v>
      </c>
      <c r="M84" s="489">
        <v>8547</v>
      </c>
      <c r="N84" s="489">
        <v>0</v>
      </c>
      <c r="O84" s="490">
        <v>0.78569999999999995</v>
      </c>
      <c r="P84" s="491">
        <v>0.78569999999999995</v>
      </c>
      <c r="Q84" s="500">
        <v>0</v>
      </c>
      <c r="R84" s="502">
        <f t="shared" si="78"/>
        <v>0</v>
      </c>
      <c r="S84" s="492">
        <v>0</v>
      </c>
      <c r="T84" s="492">
        <v>0</v>
      </c>
      <c r="U84" s="492">
        <v>0</v>
      </c>
      <c r="V84" s="492">
        <f t="shared" si="79"/>
        <v>0</v>
      </c>
      <c r="W84" s="492">
        <v>0</v>
      </c>
      <c r="X84" s="492">
        <v>0</v>
      </c>
      <c r="Y84" s="492">
        <v>0</v>
      </c>
      <c r="Z84" s="492">
        <f t="shared" si="84"/>
        <v>0</v>
      </c>
      <c r="AA84" s="492">
        <f t="shared" si="85"/>
        <v>0</v>
      </c>
      <c r="AB84" s="74">
        <f t="shared" si="86"/>
        <v>0</v>
      </c>
      <c r="AC84" s="74">
        <f t="shared" si="87"/>
        <v>0</v>
      </c>
      <c r="AD84" s="492">
        <v>0</v>
      </c>
      <c r="AE84" s="492">
        <v>0</v>
      </c>
      <c r="AF84" s="492">
        <f t="shared" si="80"/>
        <v>0</v>
      </c>
      <c r="AG84" s="492">
        <f t="shared" si="81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88"/>
        <v>0</v>
      </c>
      <c r="AP84" s="493">
        <f t="shared" si="89"/>
        <v>0</v>
      </c>
      <c r="AQ84" s="495">
        <f t="shared" si="82"/>
        <v>0</v>
      </c>
      <c r="AR84" s="501">
        <f t="shared" si="90"/>
        <v>580323</v>
      </c>
      <c r="AS84" s="492">
        <f t="shared" si="91"/>
        <v>427336</v>
      </c>
      <c r="AT84" s="492">
        <f t="shared" si="92"/>
        <v>0</v>
      </c>
      <c r="AU84" s="492">
        <f t="shared" si="93"/>
        <v>144440</v>
      </c>
      <c r="AV84" s="492">
        <f t="shared" si="93"/>
        <v>8547</v>
      </c>
      <c r="AW84" s="492">
        <f t="shared" si="94"/>
        <v>0</v>
      </c>
      <c r="AX84" s="493">
        <f t="shared" si="95"/>
        <v>0.78569999999999995</v>
      </c>
      <c r="AY84" s="493">
        <f t="shared" si="96"/>
        <v>0.78569999999999995</v>
      </c>
      <c r="AZ84" s="495">
        <f t="shared" si="96"/>
        <v>0</v>
      </c>
    </row>
    <row r="85" spans="1:52" ht="12.95" customHeight="1" x14ac:dyDescent="0.25">
      <c r="A85" s="313">
        <v>16</v>
      </c>
      <c r="B85" s="229">
        <v>5482</v>
      </c>
      <c r="C85" s="229">
        <v>600098982</v>
      </c>
      <c r="D85" s="229">
        <v>71006923</v>
      </c>
      <c r="E85" s="411" t="s">
        <v>513</v>
      </c>
      <c r="F85" s="229">
        <v>3143</v>
      </c>
      <c r="G85" s="356" t="s">
        <v>630</v>
      </c>
      <c r="H85" s="318" t="s">
        <v>279</v>
      </c>
      <c r="I85" s="494">
        <v>22680</v>
      </c>
      <c r="J85" s="489">
        <v>16038</v>
      </c>
      <c r="K85" s="489">
        <v>0</v>
      </c>
      <c r="L85" s="489">
        <v>5421</v>
      </c>
      <c r="M85" s="489">
        <v>321</v>
      </c>
      <c r="N85" s="489">
        <v>900</v>
      </c>
      <c r="O85" s="490">
        <v>0.06</v>
      </c>
      <c r="P85" s="491">
        <v>0</v>
      </c>
      <c r="Q85" s="500">
        <v>0.06</v>
      </c>
      <c r="R85" s="502">
        <f t="shared" si="78"/>
        <v>0</v>
      </c>
      <c r="S85" s="492">
        <v>0</v>
      </c>
      <c r="T85" s="492">
        <v>0</v>
      </c>
      <c r="U85" s="492">
        <v>0</v>
      </c>
      <c r="V85" s="492">
        <f t="shared" si="79"/>
        <v>0</v>
      </c>
      <c r="W85" s="492">
        <v>0</v>
      </c>
      <c r="X85" s="492">
        <v>0</v>
      </c>
      <c r="Y85" s="492">
        <v>0</v>
      </c>
      <c r="Z85" s="492">
        <f t="shared" si="84"/>
        <v>0</v>
      </c>
      <c r="AA85" s="492">
        <f t="shared" si="85"/>
        <v>0</v>
      </c>
      <c r="AB85" s="74">
        <f t="shared" si="86"/>
        <v>0</v>
      </c>
      <c r="AC85" s="74">
        <f t="shared" si="87"/>
        <v>0</v>
      </c>
      <c r="AD85" s="492">
        <v>0</v>
      </c>
      <c r="AE85" s="492">
        <v>0</v>
      </c>
      <c r="AF85" s="492">
        <f t="shared" si="80"/>
        <v>0</v>
      </c>
      <c r="AG85" s="492">
        <f t="shared" si="81"/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88"/>
        <v>0</v>
      </c>
      <c r="AP85" s="493">
        <f t="shared" si="89"/>
        <v>0</v>
      </c>
      <c r="AQ85" s="495">
        <f t="shared" si="82"/>
        <v>0</v>
      </c>
      <c r="AR85" s="501">
        <f t="shared" si="90"/>
        <v>22680</v>
      </c>
      <c r="AS85" s="492">
        <f t="shared" si="91"/>
        <v>16038</v>
      </c>
      <c r="AT85" s="492">
        <f t="shared" si="92"/>
        <v>0</v>
      </c>
      <c r="AU85" s="492">
        <f t="shared" si="93"/>
        <v>5421</v>
      </c>
      <c r="AV85" s="492">
        <f t="shared" si="93"/>
        <v>321</v>
      </c>
      <c r="AW85" s="492">
        <f t="shared" si="94"/>
        <v>900</v>
      </c>
      <c r="AX85" s="493">
        <f t="shared" si="95"/>
        <v>0.06</v>
      </c>
      <c r="AY85" s="493">
        <f t="shared" si="96"/>
        <v>0</v>
      </c>
      <c r="AZ85" s="495">
        <f t="shared" si="96"/>
        <v>0.06</v>
      </c>
    </row>
    <row r="86" spans="1:52" ht="12.95" customHeight="1" x14ac:dyDescent="0.25">
      <c r="A86" s="230">
        <v>16</v>
      </c>
      <c r="B86" s="50">
        <v>5482</v>
      </c>
      <c r="C86" s="50">
        <v>600098982</v>
      </c>
      <c r="D86" s="50">
        <v>71006923</v>
      </c>
      <c r="E86" s="413" t="s">
        <v>514</v>
      </c>
      <c r="F86" s="50"/>
      <c r="G86" s="413"/>
      <c r="H86" s="194"/>
      <c r="I86" s="584">
        <v>6883116</v>
      </c>
      <c r="J86" s="580">
        <v>5005355</v>
      </c>
      <c r="K86" s="580">
        <v>0</v>
      </c>
      <c r="L86" s="580">
        <v>1691810</v>
      </c>
      <c r="M86" s="580">
        <v>100107</v>
      </c>
      <c r="N86" s="580">
        <v>85844</v>
      </c>
      <c r="O86" s="581">
        <v>10.266500000000001</v>
      </c>
      <c r="P86" s="581">
        <v>6.1493000000000002</v>
      </c>
      <c r="Q86" s="586">
        <v>4.1171999999999995</v>
      </c>
      <c r="R86" s="584">
        <f t="shared" ref="R86:AZ86" si="97">SUM(R80:R85)</f>
        <v>0</v>
      </c>
      <c r="S86" s="580">
        <f t="shared" si="97"/>
        <v>0</v>
      </c>
      <c r="T86" s="580">
        <f t="shared" si="97"/>
        <v>0</v>
      </c>
      <c r="U86" s="580">
        <f t="shared" si="97"/>
        <v>0</v>
      </c>
      <c r="V86" s="580">
        <f t="shared" si="97"/>
        <v>0</v>
      </c>
      <c r="W86" s="580">
        <f t="shared" si="97"/>
        <v>0</v>
      </c>
      <c r="X86" s="580">
        <f t="shared" si="97"/>
        <v>0</v>
      </c>
      <c r="Y86" s="580">
        <f t="shared" si="97"/>
        <v>0</v>
      </c>
      <c r="Z86" s="580">
        <f t="shared" si="97"/>
        <v>0</v>
      </c>
      <c r="AA86" s="580">
        <f t="shared" si="97"/>
        <v>0</v>
      </c>
      <c r="AB86" s="580">
        <f t="shared" si="97"/>
        <v>0</v>
      </c>
      <c r="AC86" s="580">
        <f t="shared" si="97"/>
        <v>0</v>
      </c>
      <c r="AD86" s="580">
        <f t="shared" si="97"/>
        <v>0</v>
      </c>
      <c r="AE86" s="580">
        <f t="shared" si="97"/>
        <v>0</v>
      </c>
      <c r="AF86" s="580">
        <f t="shared" si="97"/>
        <v>0</v>
      </c>
      <c r="AG86" s="580">
        <f t="shared" si="97"/>
        <v>0</v>
      </c>
      <c r="AH86" s="581">
        <f t="shared" si="97"/>
        <v>0</v>
      </c>
      <c r="AI86" s="581">
        <f t="shared" si="97"/>
        <v>0</v>
      </c>
      <c r="AJ86" s="581">
        <f t="shared" si="97"/>
        <v>0</v>
      </c>
      <c r="AK86" s="581">
        <f t="shared" si="97"/>
        <v>0</v>
      </c>
      <c r="AL86" s="581">
        <f t="shared" si="97"/>
        <v>0</v>
      </c>
      <c r="AM86" s="581">
        <f t="shared" si="97"/>
        <v>0</v>
      </c>
      <c r="AN86" s="581">
        <f t="shared" si="97"/>
        <v>0</v>
      </c>
      <c r="AO86" s="581">
        <f t="shared" si="97"/>
        <v>0</v>
      </c>
      <c r="AP86" s="581">
        <f t="shared" si="97"/>
        <v>0</v>
      </c>
      <c r="AQ86" s="312">
        <f t="shared" si="97"/>
        <v>0</v>
      </c>
      <c r="AR86" s="588">
        <f t="shared" si="97"/>
        <v>6883116</v>
      </c>
      <c r="AS86" s="580">
        <f t="shared" si="97"/>
        <v>5005355</v>
      </c>
      <c r="AT86" s="580">
        <f t="shared" si="97"/>
        <v>0</v>
      </c>
      <c r="AU86" s="580">
        <f t="shared" si="97"/>
        <v>1691810</v>
      </c>
      <c r="AV86" s="580">
        <f t="shared" si="97"/>
        <v>100107</v>
      </c>
      <c r="AW86" s="580">
        <f t="shared" si="97"/>
        <v>85844</v>
      </c>
      <c r="AX86" s="581">
        <f t="shared" si="97"/>
        <v>10.266500000000001</v>
      </c>
      <c r="AY86" s="581">
        <f t="shared" si="97"/>
        <v>6.1493000000000002</v>
      </c>
      <c r="AZ86" s="312">
        <f t="shared" si="97"/>
        <v>4.1171999999999995</v>
      </c>
    </row>
    <row r="87" spans="1:52" ht="12.95" customHeight="1" x14ac:dyDescent="0.25">
      <c r="A87" s="313">
        <v>17</v>
      </c>
      <c r="B87" s="420">
        <v>3421</v>
      </c>
      <c r="C87" s="420">
        <v>600077985</v>
      </c>
      <c r="D87" s="314">
        <v>72741651</v>
      </c>
      <c r="E87" s="419" t="s">
        <v>515</v>
      </c>
      <c r="F87" s="420">
        <v>3111</v>
      </c>
      <c r="G87" s="412" t="s">
        <v>326</v>
      </c>
      <c r="H87" s="318" t="s">
        <v>278</v>
      </c>
      <c r="I87" s="494">
        <v>6270971</v>
      </c>
      <c r="J87" s="489">
        <v>4534202</v>
      </c>
      <c r="K87" s="489">
        <v>55250</v>
      </c>
      <c r="L87" s="489">
        <v>1551235</v>
      </c>
      <c r="M87" s="489">
        <v>90684</v>
      </c>
      <c r="N87" s="489">
        <v>39600</v>
      </c>
      <c r="O87" s="490">
        <v>10.508199999999999</v>
      </c>
      <c r="P87" s="491">
        <v>7.69</v>
      </c>
      <c r="Q87" s="500">
        <v>2.8182</v>
      </c>
      <c r="R87" s="502">
        <f t="shared" si="78"/>
        <v>0</v>
      </c>
      <c r="S87" s="492">
        <v>0</v>
      </c>
      <c r="T87" s="492">
        <v>0</v>
      </c>
      <c r="U87" s="492">
        <v>0</v>
      </c>
      <c r="V87" s="492">
        <f t="shared" si="79"/>
        <v>0</v>
      </c>
      <c r="W87" s="713">
        <v>0</v>
      </c>
      <c r="X87" s="492">
        <v>0</v>
      </c>
      <c r="Y87" s="492">
        <v>0</v>
      </c>
      <c r="Z87" s="492">
        <f>SUM(W87:Y87)</f>
        <v>0</v>
      </c>
      <c r="AA87" s="492">
        <f>V87+Z87</f>
        <v>0</v>
      </c>
      <c r="AB87" s="74">
        <f>ROUND((V87+W87+X87)*33.8%,0)</f>
        <v>0</v>
      </c>
      <c r="AC87" s="74">
        <f>ROUND(V87*2%,0)</f>
        <v>0</v>
      </c>
      <c r="AD87" s="492">
        <v>0</v>
      </c>
      <c r="AE87" s="492">
        <v>0</v>
      </c>
      <c r="AF87" s="492">
        <f t="shared" si="80"/>
        <v>0</v>
      </c>
      <c r="AG87" s="492">
        <f t="shared" si="81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>AH87+AJ87+AM87</f>
        <v>0</v>
      </c>
      <c r="AP87" s="493">
        <f>AI87+AN87</f>
        <v>0</v>
      </c>
      <c r="AQ87" s="495">
        <f t="shared" si="82"/>
        <v>0</v>
      </c>
      <c r="AR87" s="501">
        <f>I87+AG87</f>
        <v>6270971</v>
      </c>
      <c r="AS87" s="492">
        <f>J87+V87</f>
        <v>4534202</v>
      </c>
      <c r="AT87" s="492">
        <f t="shared" ref="AT87:AT89" si="98">K87+Z87</f>
        <v>55250</v>
      </c>
      <c r="AU87" s="492">
        <f t="shared" ref="AU87:AV89" si="99">L87+AB87</f>
        <v>1551235</v>
      </c>
      <c r="AV87" s="492">
        <f t="shared" si="99"/>
        <v>90684</v>
      </c>
      <c r="AW87" s="492">
        <f>N87+AF87</f>
        <v>39600</v>
      </c>
      <c r="AX87" s="493">
        <f>O87+AQ87</f>
        <v>10.508199999999999</v>
      </c>
      <c r="AY87" s="493">
        <f t="shared" ref="AY87:AZ89" si="100">P87+AO87</f>
        <v>7.69</v>
      </c>
      <c r="AZ87" s="495">
        <f t="shared" si="100"/>
        <v>2.8182</v>
      </c>
    </row>
    <row r="88" spans="1:52" ht="12.95" customHeight="1" x14ac:dyDescent="0.25">
      <c r="A88" s="313">
        <v>17</v>
      </c>
      <c r="B88" s="229">
        <v>3421</v>
      </c>
      <c r="C88" s="229">
        <v>600077985</v>
      </c>
      <c r="D88" s="314">
        <v>72741651</v>
      </c>
      <c r="E88" s="228" t="s">
        <v>515</v>
      </c>
      <c r="F88" s="420">
        <v>3111</v>
      </c>
      <c r="G88" s="356" t="s">
        <v>313</v>
      </c>
      <c r="H88" s="318" t="s">
        <v>279</v>
      </c>
      <c r="I88" s="494">
        <v>0</v>
      </c>
      <c r="J88" s="489">
        <v>0</v>
      </c>
      <c r="K88" s="489">
        <v>0</v>
      </c>
      <c r="L88" s="489">
        <v>0</v>
      </c>
      <c r="M88" s="489">
        <v>0</v>
      </c>
      <c r="N88" s="489">
        <v>0</v>
      </c>
      <c r="O88" s="490">
        <v>0</v>
      </c>
      <c r="P88" s="491">
        <v>0</v>
      </c>
      <c r="Q88" s="500">
        <v>0</v>
      </c>
      <c r="R88" s="502">
        <f t="shared" si="78"/>
        <v>0</v>
      </c>
      <c r="S88" s="492">
        <v>0</v>
      </c>
      <c r="T88" s="492">
        <v>0</v>
      </c>
      <c r="U88" s="492">
        <v>0</v>
      </c>
      <c r="V88" s="492">
        <f t="shared" si="79"/>
        <v>0</v>
      </c>
      <c r="W88" s="713">
        <v>0</v>
      </c>
      <c r="X88" s="492">
        <v>0</v>
      </c>
      <c r="Y88" s="492">
        <v>0</v>
      </c>
      <c r="Z88" s="492">
        <f>SUM(W88:Y88)</f>
        <v>0</v>
      </c>
      <c r="AA88" s="492">
        <f>V88+Z88</f>
        <v>0</v>
      </c>
      <c r="AB88" s="74">
        <f>ROUND((V88+W88+X88)*33.8%,0)</f>
        <v>0</v>
      </c>
      <c r="AC88" s="74">
        <f>ROUND(V88*2%,0)</f>
        <v>0</v>
      </c>
      <c r="AD88" s="492">
        <v>0</v>
      </c>
      <c r="AE88" s="492">
        <v>0</v>
      </c>
      <c r="AF88" s="492">
        <f t="shared" si="80"/>
        <v>0</v>
      </c>
      <c r="AG88" s="492">
        <f t="shared" si="81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>AH88+AJ88+AM88</f>
        <v>0</v>
      </c>
      <c r="AP88" s="493">
        <f>AI88+AN88</f>
        <v>0</v>
      </c>
      <c r="AQ88" s="495">
        <f t="shared" si="82"/>
        <v>0</v>
      </c>
      <c r="AR88" s="501">
        <f>I88+AG88</f>
        <v>0</v>
      </c>
      <c r="AS88" s="492">
        <f>J88+V88</f>
        <v>0</v>
      </c>
      <c r="AT88" s="492">
        <f t="shared" si="98"/>
        <v>0</v>
      </c>
      <c r="AU88" s="492">
        <f t="shared" si="99"/>
        <v>0</v>
      </c>
      <c r="AV88" s="492">
        <f t="shared" si="99"/>
        <v>0</v>
      </c>
      <c r="AW88" s="492">
        <f>N88+AF88</f>
        <v>0</v>
      </c>
      <c r="AX88" s="493">
        <f>O88+AQ88</f>
        <v>0</v>
      </c>
      <c r="AY88" s="493">
        <f t="shared" si="100"/>
        <v>0</v>
      </c>
      <c r="AZ88" s="495">
        <f t="shared" si="100"/>
        <v>0</v>
      </c>
    </row>
    <row r="89" spans="1:52" ht="12.95" customHeight="1" x14ac:dyDescent="0.25">
      <c r="A89" s="313">
        <v>17</v>
      </c>
      <c r="B89" s="229">
        <v>3421</v>
      </c>
      <c r="C89" s="229">
        <v>600077985</v>
      </c>
      <c r="D89" s="314">
        <v>72741651</v>
      </c>
      <c r="E89" s="228" t="s">
        <v>515</v>
      </c>
      <c r="F89" s="229">
        <v>3141</v>
      </c>
      <c r="G89" s="412" t="s">
        <v>316</v>
      </c>
      <c r="H89" s="318" t="s">
        <v>279</v>
      </c>
      <c r="I89" s="494">
        <v>1009860</v>
      </c>
      <c r="J89" s="489">
        <v>739879</v>
      </c>
      <c r="K89" s="489">
        <v>0</v>
      </c>
      <c r="L89" s="489">
        <v>250079</v>
      </c>
      <c r="M89" s="489">
        <v>14798</v>
      </c>
      <c r="N89" s="489">
        <v>5104</v>
      </c>
      <c r="O89" s="490">
        <v>2.33</v>
      </c>
      <c r="P89" s="491">
        <v>0</v>
      </c>
      <c r="Q89" s="500">
        <v>2.33</v>
      </c>
      <c r="R89" s="502">
        <f t="shared" si="78"/>
        <v>0</v>
      </c>
      <c r="S89" s="492">
        <v>0</v>
      </c>
      <c r="T89" s="492">
        <v>0</v>
      </c>
      <c r="U89" s="492">
        <v>0</v>
      </c>
      <c r="V89" s="492">
        <f t="shared" si="79"/>
        <v>0</v>
      </c>
      <c r="W89" s="713">
        <v>0</v>
      </c>
      <c r="X89" s="492">
        <v>0</v>
      </c>
      <c r="Y89" s="492">
        <v>0</v>
      </c>
      <c r="Z89" s="492">
        <f>SUM(W89:Y89)</f>
        <v>0</v>
      </c>
      <c r="AA89" s="492">
        <f>V89+Z89</f>
        <v>0</v>
      </c>
      <c r="AB89" s="74">
        <f>ROUND((V89+W89+X89)*33.8%,0)</f>
        <v>0</v>
      </c>
      <c r="AC89" s="74">
        <f>ROUND(V89*2%,0)</f>
        <v>0</v>
      </c>
      <c r="AD89" s="492">
        <v>0</v>
      </c>
      <c r="AE89" s="492">
        <v>0</v>
      </c>
      <c r="AF89" s="492">
        <f t="shared" si="80"/>
        <v>0</v>
      </c>
      <c r="AG89" s="492">
        <f t="shared" si="81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>AH89+AJ89+AM89</f>
        <v>0</v>
      </c>
      <c r="AP89" s="493">
        <f>AI89+AN89</f>
        <v>0</v>
      </c>
      <c r="AQ89" s="495">
        <f t="shared" si="82"/>
        <v>0</v>
      </c>
      <c r="AR89" s="501">
        <f>I89+AG89</f>
        <v>1009860</v>
      </c>
      <c r="AS89" s="492">
        <f>J89+V89</f>
        <v>739879</v>
      </c>
      <c r="AT89" s="492">
        <f t="shared" si="98"/>
        <v>0</v>
      </c>
      <c r="AU89" s="492">
        <f t="shared" si="99"/>
        <v>250079</v>
      </c>
      <c r="AV89" s="492">
        <f t="shared" si="99"/>
        <v>14798</v>
      </c>
      <c r="AW89" s="492">
        <f>N89+AF89</f>
        <v>5104</v>
      </c>
      <c r="AX89" s="493">
        <f>O89+AQ89</f>
        <v>2.33</v>
      </c>
      <c r="AY89" s="493">
        <f t="shared" si="100"/>
        <v>0</v>
      </c>
      <c r="AZ89" s="495">
        <f t="shared" si="100"/>
        <v>2.33</v>
      </c>
    </row>
    <row r="90" spans="1:52" ht="12.95" customHeight="1" x14ac:dyDescent="0.25">
      <c r="A90" s="230">
        <v>17</v>
      </c>
      <c r="B90" s="51">
        <v>3421</v>
      </c>
      <c r="C90" s="51">
        <v>600077985</v>
      </c>
      <c r="D90" s="53">
        <v>72741651</v>
      </c>
      <c r="E90" s="413" t="s">
        <v>516</v>
      </c>
      <c r="F90" s="53"/>
      <c r="G90" s="426"/>
      <c r="H90" s="197"/>
      <c r="I90" s="616">
        <v>7280831</v>
      </c>
      <c r="J90" s="614">
        <v>5274081</v>
      </c>
      <c r="K90" s="614">
        <v>55250</v>
      </c>
      <c r="L90" s="614">
        <v>1801314</v>
      </c>
      <c r="M90" s="614">
        <v>105482</v>
      </c>
      <c r="N90" s="614">
        <v>44704</v>
      </c>
      <c r="O90" s="615">
        <v>12.838199999999999</v>
      </c>
      <c r="P90" s="615">
        <v>7.69</v>
      </c>
      <c r="Q90" s="617">
        <v>5.1482000000000001</v>
      </c>
      <c r="R90" s="616">
        <f t="shared" ref="R90:AZ90" si="101">SUM(R87:R89)</f>
        <v>0</v>
      </c>
      <c r="S90" s="614">
        <f t="shared" si="101"/>
        <v>0</v>
      </c>
      <c r="T90" s="614">
        <f t="shared" si="101"/>
        <v>0</v>
      </c>
      <c r="U90" s="614">
        <f t="shared" si="101"/>
        <v>0</v>
      </c>
      <c r="V90" s="614">
        <f t="shared" si="101"/>
        <v>0</v>
      </c>
      <c r="W90" s="614">
        <f t="shared" si="101"/>
        <v>0</v>
      </c>
      <c r="X90" s="614">
        <f t="shared" si="101"/>
        <v>0</v>
      </c>
      <c r="Y90" s="614">
        <f t="shared" si="101"/>
        <v>0</v>
      </c>
      <c r="Z90" s="614">
        <f t="shared" si="101"/>
        <v>0</v>
      </c>
      <c r="AA90" s="614">
        <f t="shared" si="101"/>
        <v>0</v>
      </c>
      <c r="AB90" s="614">
        <f t="shared" si="101"/>
        <v>0</v>
      </c>
      <c r="AC90" s="614">
        <f t="shared" si="101"/>
        <v>0</v>
      </c>
      <c r="AD90" s="614">
        <f t="shared" si="101"/>
        <v>0</v>
      </c>
      <c r="AE90" s="614">
        <f t="shared" si="101"/>
        <v>0</v>
      </c>
      <c r="AF90" s="614">
        <f t="shared" si="101"/>
        <v>0</v>
      </c>
      <c r="AG90" s="614">
        <f t="shared" si="101"/>
        <v>0</v>
      </c>
      <c r="AH90" s="615">
        <f t="shared" si="101"/>
        <v>0</v>
      </c>
      <c r="AI90" s="615">
        <f t="shared" si="101"/>
        <v>0</v>
      </c>
      <c r="AJ90" s="615">
        <f t="shared" si="101"/>
        <v>0</v>
      </c>
      <c r="AK90" s="615">
        <f t="shared" si="101"/>
        <v>0</v>
      </c>
      <c r="AL90" s="615">
        <f t="shared" si="101"/>
        <v>0</v>
      </c>
      <c r="AM90" s="615">
        <f t="shared" si="101"/>
        <v>0</v>
      </c>
      <c r="AN90" s="615">
        <f t="shared" si="101"/>
        <v>0</v>
      </c>
      <c r="AO90" s="615">
        <f t="shared" si="101"/>
        <v>0</v>
      </c>
      <c r="AP90" s="615">
        <f t="shared" si="101"/>
        <v>0</v>
      </c>
      <c r="AQ90" s="386">
        <f t="shared" si="101"/>
        <v>0</v>
      </c>
      <c r="AR90" s="618">
        <f t="shared" si="101"/>
        <v>7280831</v>
      </c>
      <c r="AS90" s="614">
        <f t="shared" si="101"/>
        <v>5274081</v>
      </c>
      <c r="AT90" s="614">
        <f t="shared" si="101"/>
        <v>55250</v>
      </c>
      <c r="AU90" s="614">
        <f t="shared" si="101"/>
        <v>1801314</v>
      </c>
      <c r="AV90" s="614">
        <f t="shared" si="101"/>
        <v>105482</v>
      </c>
      <c r="AW90" s="614">
        <f t="shared" si="101"/>
        <v>44704</v>
      </c>
      <c r="AX90" s="615">
        <f t="shared" si="101"/>
        <v>12.838199999999999</v>
      </c>
      <c r="AY90" s="615">
        <f t="shared" si="101"/>
        <v>7.69</v>
      </c>
      <c r="AZ90" s="386">
        <f t="shared" si="101"/>
        <v>5.1482000000000001</v>
      </c>
    </row>
    <row r="91" spans="1:52" ht="12.95" customHeight="1" x14ac:dyDescent="0.25">
      <c r="A91" s="313">
        <v>18</v>
      </c>
      <c r="B91" s="229">
        <v>3420</v>
      </c>
      <c r="C91" s="229">
        <v>600078442</v>
      </c>
      <c r="D91" s="314">
        <v>72741571</v>
      </c>
      <c r="E91" s="411" t="s">
        <v>517</v>
      </c>
      <c r="F91" s="229">
        <v>3113</v>
      </c>
      <c r="G91" s="411" t="s">
        <v>330</v>
      </c>
      <c r="H91" s="318" t="s">
        <v>278</v>
      </c>
      <c r="I91" s="494">
        <v>14494165</v>
      </c>
      <c r="J91" s="489">
        <v>10380863</v>
      </c>
      <c r="K91" s="489">
        <v>58500</v>
      </c>
      <c r="L91" s="489">
        <v>3528505</v>
      </c>
      <c r="M91" s="489">
        <v>207617</v>
      </c>
      <c r="N91" s="489">
        <v>318680</v>
      </c>
      <c r="O91" s="490">
        <v>19.4559</v>
      </c>
      <c r="P91" s="491">
        <v>14.268199999999998</v>
      </c>
      <c r="Q91" s="500">
        <v>5.1877000000000004</v>
      </c>
      <c r="R91" s="502">
        <f t="shared" si="78"/>
        <v>0</v>
      </c>
      <c r="S91" s="492">
        <v>0</v>
      </c>
      <c r="T91" s="492">
        <v>0</v>
      </c>
      <c r="U91" s="492">
        <v>163452</v>
      </c>
      <c r="V91" s="492">
        <f t="shared" si="79"/>
        <v>163452</v>
      </c>
      <c r="W91" s="713">
        <v>0</v>
      </c>
      <c r="X91" s="492">
        <v>0</v>
      </c>
      <c r="Y91" s="492">
        <v>0</v>
      </c>
      <c r="Z91" s="492">
        <f>SUM(W91:Y91)</f>
        <v>0</v>
      </c>
      <c r="AA91" s="492">
        <f>V91+Z91</f>
        <v>163452</v>
      </c>
      <c r="AB91" s="74">
        <f>ROUND((V91+W91+X91)*33.8%,0)</f>
        <v>55247</v>
      </c>
      <c r="AC91" s="74">
        <f>ROUND(V91*2%,0)</f>
        <v>3269</v>
      </c>
      <c r="AD91" s="492">
        <v>0</v>
      </c>
      <c r="AE91" s="492">
        <v>0</v>
      </c>
      <c r="AF91" s="492">
        <f t="shared" si="80"/>
        <v>0</v>
      </c>
      <c r="AG91" s="492">
        <f t="shared" si="81"/>
        <v>221968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0.27</v>
      </c>
      <c r="AN91" s="493">
        <v>0</v>
      </c>
      <c r="AO91" s="493">
        <f>AH91+AJ91+AM91</f>
        <v>0.27</v>
      </c>
      <c r="AP91" s="493">
        <f>AI91+AN91</f>
        <v>0</v>
      </c>
      <c r="AQ91" s="495">
        <f t="shared" si="82"/>
        <v>0.27</v>
      </c>
      <c r="AR91" s="501">
        <f>I91+AG91</f>
        <v>14716133</v>
      </c>
      <c r="AS91" s="492">
        <f>J91+V91</f>
        <v>10544315</v>
      </c>
      <c r="AT91" s="492">
        <f t="shared" ref="AT91:AT95" si="102">K91+Z91</f>
        <v>58500</v>
      </c>
      <c r="AU91" s="492">
        <f t="shared" ref="AU91:AV95" si="103">L91+AB91</f>
        <v>3583752</v>
      </c>
      <c r="AV91" s="492">
        <f t="shared" si="103"/>
        <v>210886</v>
      </c>
      <c r="AW91" s="492">
        <f>N91+AF91</f>
        <v>318680</v>
      </c>
      <c r="AX91" s="493">
        <f>O91+AQ91</f>
        <v>19.725899999999999</v>
      </c>
      <c r="AY91" s="493">
        <f t="shared" ref="AY91:AZ95" si="104">P91+AO91</f>
        <v>14.538199999999998</v>
      </c>
      <c r="AZ91" s="495">
        <f t="shared" si="104"/>
        <v>5.1877000000000004</v>
      </c>
    </row>
    <row r="92" spans="1:52" ht="12.95" customHeight="1" x14ac:dyDescent="0.25">
      <c r="A92" s="313">
        <v>18</v>
      </c>
      <c r="B92" s="415">
        <v>3420</v>
      </c>
      <c r="C92" s="415">
        <v>600078442</v>
      </c>
      <c r="D92" s="314">
        <v>72741571</v>
      </c>
      <c r="E92" s="411" t="s">
        <v>517</v>
      </c>
      <c r="F92" s="229">
        <v>3113</v>
      </c>
      <c r="G92" s="356" t="s">
        <v>313</v>
      </c>
      <c r="H92" s="318" t="s">
        <v>279</v>
      </c>
      <c r="I92" s="494">
        <v>1063560</v>
      </c>
      <c r="J92" s="489">
        <v>779499</v>
      </c>
      <c r="K92" s="489">
        <v>0</v>
      </c>
      <c r="L92" s="489">
        <v>263471</v>
      </c>
      <c r="M92" s="489">
        <v>15590</v>
      </c>
      <c r="N92" s="489">
        <v>5000</v>
      </c>
      <c r="O92" s="490">
        <v>2.25</v>
      </c>
      <c r="P92" s="491">
        <v>2.25</v>
      </c>
      <c r="Q92" s="500">
        <v>0</v>
      </c>
      <c r="R92" s="502">
        <f t="shared" si="78"/>
        <v>0</v>
      </c>
      <c r="S92" s="492">
        <v>0</v>
      </c>
      <c r="T92" s="492">
        <v>0</v>
      </c>
      <c r="U92" s="492">
        <v>0</v>
      </c>
      <c r="V92" s="492">
        <f t="shared" si="79"/>
        <v>0</v>
      </c>
      <c r="W92" s="713">
        <v>0</v>
      </c>
      <c r="X92" s="492">
        <v>0</v>
      </c>
      <c r="Y92" s="492">
        <v>0</v>
      </c>
      <c r="Z92" s="492">
        <f>SUM(W92:Y92)</f>
        <v>0</v>
      </c>
      <c r="AA92" s="492">
        <f>V92+Z92</f>
        <v>0</v>
      </c>
      <c r="AB92" s="74">
        <f>ROUND((V92+W92+X92)*33.8%,0)</f>
        <v>0</v>
      </c>
      <c r="AC92" s="74">
        <f>ROUND(V92*2%,0)</f>
        <v>0</v>
      </c>
      <c r="AD92" s="492">
        <v>0</v>
      </c>
      <c r="AE92" s="492">
        <v>0</v>
      </c>
      <c r="AF92" s="492">
        <f t="shared" si="80"/>
        <v>0</v>
      </c>
      <c r="AG92" s="492">
        <f t="shared" si="81"/>
        <v>0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>AH92+AJ92+AM92</f>
        <v>0</v>
      </c>
      <c r="AP92" s="493">
        <f>AI92+AN92</f>
        <v>0</v>
      </c>
      <c r="AQ92" s="495">
        <f t="shared" si="82"/>
        <v>0</v>
      </c>
      <c r="AR92" s="501">
        <f>I92+AG92</f>
        <v>1063560</v>
      </c>
      <c r="AS92" s="492">
        <f>J92+V92</f>
        <v>779499</v>
      </c>
      <c r="AT92" s="492">
        <f t="shared" si="102"/>
        <v>0</v>
      </c>
      <c r="AU92" s="492">
        <f t="shared" si="103"/>
        <v>263471</v>
      </c>
      <c r="AV92" s="492">
        <f t="shared" si="103"/>
        <v>15590</v>
      </c>
      <c r="AW92" s="492">
        <f>N92+AF92</f>
        <v>5000</v>
      </c>
      <c r="AX92" s="493">
        <f>O92+AQ92</f>
        <v>2.25</v>
      </c>
      <c r="AY92" s="493">
        <f t="shared" si="104"/>
        <v>2.25</v>
      </c>
      <c r="AZ92" s="495">
        <f t="shared" si="104"/>
        <v>0</v>
      </c>
    </row>
    <row r="93" spans="1:52" ht="12.95" customHeight="1" x14ac:dyDescent="0.25">
      <c r="A93" s="313">
        <v>18</v>
      </c>
      <c r="B93" s="229">
        <v>3420</v>
      </c>
      <c r="C93" s="229">
        <v>600078442</v>
      </c>
      <c r="D93" s="314">
        <v>72741571</v>
      </c>
      <c r="E93" s="228" t="s">
        <v>517</v>
      </c>
      <c r="F93" s="229">
        <v>3141</v>
      </c>
      <c r="G93" s="412" t="s">
        <v>316</v>
      </c>
      <c r="H93" s="318" t="s">
        <v>279</v>
      </c>
      <c r="I93" s="494">
        <v>1448617</v>
      </c>
      <c r="J93" s="489">
        <v>1058656</v>
      </c>
      <c r="K93" s="489">
        <v>0</v>
      </c>
      <c r="L93" s="489">
        <v>357826</v>
      </c>
      <c r="M93" s="489">
        <v>21173</v>
      </c>
      <c r="N93" s="489">
        <v>10962</v>
      </c>
      <c r="O93" s="490">
        <v>3.33</v>
      </c>
      <c r="P93" s="491">
        <v>0</v>
      </c>
      <c r="Q93" s="500">
        <v>3.33</v>
      </c>
      <c r="R93" s="502">
        <f t="shared" si="78"/>
        <v>0</v>
      </c>
      <c r="S93" s="492">
        <v>0</v>
      </c>
      <c r="T93" s="492">
        <v>0</v>
      </c>
      <c r="U93" s="492">
        <v>0</v>
      </c>
      <c r="V93" s="492">
        <f t="shared" si="79"/>
        <v>0</v>
      </c>
      <c r="W93" s="713">
        <v>0</v>
      </c>
      <c r="X93" s="492">
        <v>0</v>
      </c>
      <c r="Y93" s="492">
        <v>0</v>
      </c>
      <c r="Z93" s="492">
        <f>SUM(W93:Y93)</f>
        <v>0</v>
      </c>
      <c r="AA93" s="492">
        <f>V93+Z93</f>
        <v>0</v>
      </c>
      <c r="AB93" s="74">
        <f>ROUND((V93+W93+X93)*33.8%,0)</f>
        <v>0</v>
      </c>
      <c r="AC93" s="74">
        <f>ROUND(V93*2%,0)</f>
        <v>0</v>
      </c>
      <c r="AD93" s="492">
        <v>0</v>
      </c>
      <c r="AE93" s="492">
        <v>0</v>
      </c>
      <c r="AF93" s="492">
        <f t="shared" si="80"/>
        <v>0</v>
      </c>
      <c r="AG93" s="492">
        <f t="shared" si="81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>AH93+AJ93+AM93</f>
        <v>0</v>
      </c>
      <c r="AP93" s="493">
        <f>AI93+AN93</f>
        <v>0</v>
      </c>
      <c r="AQ93" s="495">
        <f t="shared" si="82"/>
        <v>0</v>
      </c>
      <c r="AR93" s="501">
        <f>I93+AG93</f>
        <v>1448617</v>
      </c>
      <c r="AS93" s="492">
        <f>J93+V93</f>
        <v>1058656</v>
      </c>
      <c r="AT93" s="492">
        <f t="shared" si="102"/>
        <v>0</v>
      </c>
      <c r="AU93" s="492">
        <f t="shared" si="103"/>
        <v>357826</v>
      </c>
      <c r="AV93" s="492">
        <f t="shared" si="103"/>
        <v>21173</v>
      </c>
      <c r="AW93" s="492">
        <f>N93+AF93</f>
        <v>10962</v>
      </c>
      <c r="AX93" s="493">
        <f>O93+AQ93</f>
        <v>3.33</v>
      </c>
      <c r="AY93" s="493">
        <f t="shared" si="104"/>
        <v>0</v>
      </c>
      <c r="AZ93" s="495">
        <f t="shared" si="104"/>
        <v>3.33</v>
      </c>
    </row>
    <row r="94" spans="1:52" ht="12.95" customHeight="1" x14ac:dyDescent="0.25">
      <c r="A94" s="313">
        <v>18</v>
      </c>
      <c r="B94" s="415">
        <v>3420</v>
      </c>
      <c r="C94" s="415">
        <v>600078442</v>
      </c>
      <c r="D94" s="314">
        <v>72741571</v>
      </c>
      <c r="E94" s="411" t="s">
        <v>517</v>
      </c>
      <c r="F94" s="229">
        <v>3143</v>
      </c>
      <c r="G94" s="356" t="s">
        <v>629</v>
      </c>
      <c r="H94" s="318" t="s">
        <v>278</v>
      </c>
      <c r="I94" s="494">
        <v>942365</v>
      </c>
      <c r="J94" s="489">
        <v>693936</v>
      </c>
      <c r="K94" s="489">
        <v>0</v>
      </c>
      <c r="L94" s="489">
        <v>234550</v>
      </c>
      <c r="M94" s="489">
        <v>13879</v>
      </c>
      <c r="N94" s="489">
        <v>0</v>
      </c>
      <c r="O94" s="490">
        <v>1.5</v>
      </c>
      <c r="P94" s="491">
        <v>1.5</v>
      </c>
      <c r="Q94" s="500">
        <v>0</v>
      </c>
      <c r="R94" s="502">
        <f t="shared" si="78"/>
        <v>0</v>
      </c>
      <c r="S94" s="492">
        <v>0</v>
      </c>
      <c r="T94" s="492">
        <v>0</v>
      </c>
      <c r="U94" s="492">
        <v>0</v>
      </c>
      <c r="V94" s="492">
        <f t="shared" si="79"/>
        <v>0</v>
      </c>
      <c r="W94" s="713">
        <v>0</v>
      </c>
      <c r="X94" s="492">
        <v>0</v>
      </c>
      <c r="Y94" s="492">
        <v>0</v>
      </c>
      <c r="Z94" s="492">
        <f>SUM(W94:Y94)</f>
        <v>0</v>
      </c>
      <c r="AA94" s="492">
        <f>V94+Z94</f>
        <v>0</v>
      </c>
      <c r="AB94" s="74">
        <f>ROUND((V94+W94+X94)*33.8%,0)</f>
        <v>0</v>
      </c>
      <c r="AC94" s="74">
        <f>ROUND(V94*2%,0)</f>
        <v>0</v>
      </c>
      <c r="AD94" s="492">
        <v>0</v>
      </c>
      <c r="AE94" s="492">
        <v>0</v>
      </c>
      <c r="AF94" s="492">
        <f t="shared" si="80"/>
        <v>0</v>
      </c>
      <c r="AG94" s="492">
        <f t="shared" si="81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>AH94+AJ94+AM94</f>
        <v>0</v>
      </c>
      <c r="AP94" s="493">
        <f>AI94+AN94</f>
        <v>0</v>
      </c>
      <c r="AQ94" s="495">
        <f t="shared" si="82"/>
        <v>0</v>
      </c>
      <c r="AR94" s="501">
        <f>I94+AG94</f>
        <v>942365</v>
      </c>
      <c r="AS94" s="492">
        <f>J94+V94</f>
        <v>693936</v>
      </c>
      <c r="AT94" s="492">
        <f t="shared" si="102"/>
        <v>0</v>
      </c>
      <c r="AU94" s="492">
        <f t="shared" si="103"/>
        <v>234550</v>
      </c>
      <c r="AV94" s="492">
        <f t="shared" si="103"/>
        <v>13879</v>
      </c>
      <c r="AW94" s="492">
        <f>N94+AF94</f>
        <v>0</v>
      </c>
      <c r="AX94" s="493">
        <f>O94+AQ94</f>
        <v>1.5</v>
      </c>
      <c r="AY94" s="493">
        <f t="shared" si="104"/>
        <v>1.5</v>
      </c>
      <c r="AZ94" s="495">
        <f t="shared" si="104"/>
        <v>0</v>
      </c>
    </row>
    <row r="95" spans="1:52" ht="12.95" customHeight="1" x14ac:dyDescent="0.25">
      <c r="A95" s="313">
        <v>18</v>
      </c>
      <c r="B95" s="415">
        <v>3420</v>
      </c>
      <c r="C95" s="415">
        <v>600078442</v>
      </c>
      <c r="D95" s="314">
        <v>72741571</v>
      </c>
      <c r="E95" s="411" t="s">
        <v>517</v>
      </c>
      <c r="F95" s="229">
        <v>3143</v>
      </c>
      <c r="G95" s="356" t="s">
        <v>630</v>
      </c>
      <c r="H95" s="318" t="s">
        <v>279</v>
      </c>
      <c r="I95" s="494">
        <v>37800</v>
      </c>
      <c r="J95" s="489">
        <v>26730</v>
      </c>
      <c r="K95" s="489">
        <v>0</v>
      </c>
      <c r="L95" s="489">
        <v>9035</v>
      </c>
      <c r="M95" s="489">
        <v>535</v>
      </c>
      <c r="N95" s="489">
        <v>1500</v>
      </c>
      <c r="O95" s="490">
        <v>0.1</v>
      </c>
      <c r="P95" s="491">
        <v>0</v>
      </c>
      <c r="Q95" s="500">
        <v>0.1</v>
      </c>
      <c r="R95" s="502">
        <f t="shared" si="78"/>
        <v>0</v>
      </c>
      <c r="S95" s="492">
        <v>0</v>
      </c>
      <c r="T95" s="492">
        <v>0</v>
      </c>
      <c r="U95" s="492">
        <v>0</v>
      </c>
      <c r="V95" s="492">
        <f t="shared" si="79"/>
        <v>0</v>
      </c>
      <c r="W95" s="713">
        <v>0</v>
      </c>
      <c r="X95" s="492">
        <v>0</v>
      </c>
      <c r="Y95" s="492">
        <v>0</v>
      </c>
      <c r="Z95" s="492">
        <f>SUM(W95:Y95)</f>
        <v>0</v>
      </c>
      <c r="AA95" s="492">
        <f>V95+Z95</f>
        <v>0</v>
      </c>
      <c r="AB95" s="74">
        <f>ROUND((V95+W95+X95)*33.8%,0)</f>
        <v>0</v>
      </c>
      <c r="AC95" s="74">
        <f>ROUND(V95*2%,0)</f>
        <v>0</v>
      </c>
      <c r="AD95" s="492">
        <v>0</v>
      </c>
      <c r="AE95" s="492">
        <v>0</v>
      </c>
      <c r="AF95" s="492">
        <f t="shared" si="80"/>
        <v>0</v>
      </c>
      <c r="AG95" s="492">
        <f t="shared" si="81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>AH95+AJ95+AM95</f>
        <v>0</v>
      </c>
      <c r="AP95" s="493">
        <f>AI95+AN95</f>
        <v>0</v>
      </c>
      <c r="AQ95" s="495">
        <f t="shared" si="82"/>
        <v>0</v>
      </c>
      <c r="AR95" s="501">
        <f>I95+AG95</f>
        <v>37800</v>
      </c>
      <c r="AS95" s="492">
        <f>J95+V95</f>
        <v>26730</v>
      </c>
      <c r="AT95" s="492">
        <f t="shared" si="102"/>
        <v>0</v>
      </c>
      <c r="AU95" s="492">
        <f t="shared" si="103"/>
        <v>9035</v>
      </c>
      <c r="AV95" s="492">
        <f t="shared" si="103"/>
        <v>535</v>
      </c>
      <c r="AW95" s="492">
        <f>N95+AF95</f>
        <v>1500</v>
      </c>
      <c r="AX95" s="493">
        <f>O95+AQ95</f>
        <v>0.1</v>
      </c>
      <c r="AY95" s="493">
        <f t="shared" si="104"/>
        <v>0</v>
      </c>
      <c r="AZ95" s="495">
        <f t="shared" si="104"/>
        <v>0.1</v>
      </c>
    </row>
    <row r="96" spans="1:52" ht="12.95" customHeight="1" x14ac:dyDescent="0.25">
      <c r="A96" s="230">
        <v>18</v>
      </c>
      <c r="B96" s="51">
        <v>3420</v>
      </c>
      <c r="C96" s="51">
        <v>600078442</v>
      </c>
      <c r="D96" s="51">
        <v>72741571</v>
      </c>
      <c r="E96" s="413" t="s">
        <v>518</v>
      </c>
      <c r="F96" s="50"/>
      <c r="G96" s="413"/>
      <c r="H96" s="194"/>
      <c r="I96" s="584">
        <v>17986507</v>
      </c>
      <c r="J96" s="580">
        <v>12939684</v>
      </c>
      <c r="K96" s="580">
        <v>58500</v>
      </c>
      <c r="L96" s="580">
        <v>4393387</v>
      </c>
      <c r="M96" s="580">
        <v>258794</v>
      </c>
      <c r="N96" s="580">
        <v>336142</v>
      </c>
      <c r="O96" s="581">
        <v>26.635899999999999</v>
      </c>
      <c r="P96" s="581">
        <v>18.0182</v>
      </c>
      <c r="Q96" s="586">
        <v>8.617700000000001</v>
      </c>
      <c r="R96" s="584">
        <f t="shared" ref="R96:AZ96" si="105">SUM(R91:R95)</f>
        <v>0</v>
      </c>
      <c r="S96" s="580">
        <f t="shared" si="105"/>
        <v>0</v>
      </c>
      <c r="T96" s="580">
        <f t="shared" si="105"/>
        <v>0</v>
      </c>
      <c r="U96" s="580">
        <f t="shared" si="105"/>
        <v>163452</v>
      </c>
      <c r="V96" s="580">
        <f t="shared" si="105"/>
        <v>163452</v>
      </c>
      <c r="W96" s="580">
        <f t="shared" si="105"/>
        <v>0</v>
      </c>
      <c r="X96" s="580">
        <f t="shared" si="105"/>
        <v>0</v>
      </c>
      <c r="Y96" s="580">
        <f t="shared" si="105"/>
        <v>0</v>
      </c>
      <c r="Z96" s="580">
        <f t="shared" si="105"/>
        <v>0</v>
      </c>
      <c r="AA96" s="580">
        <f t="shared" si="105"/>
        <v>163452</v>
      </c>
      <c r="AB96" s="580">
        <f t="shared" si="105"/>
        <v>55247</v>
      </c>
      <c r="AC96" s="580">
        <f t="shared" si="105"/>
        <v>3269</v>
      </c>
      <c r="AD96" s="580">
        <f t="shared" si="105"/>
        <v>0</v>
      </c>
      <c r="AE96" s="580">
        <f t="shared" si="105"/>
        <v>0</v>
      </c>
      <c r="AF96" s="580">
        <f t="shared" si="105"/>
        <v>0</v>
      </c>
      <c r="AG96" s="580">
        <f t="shared" si="105"/>
        <v>221968</v>
      </c>
      <c r="AH96" s="581">
        <f t="shared" si="105"/>
        <v>0</v>
      </c>
      <c r="AI96" s="581">
        <f t="shared" si="105"/>
        <v>0</v>
      </c>
      <c r="AJ96" s="581">
        <f t="shared" si="105"/>
        <v>0</v>
      </c>
      <c r="AK96" s="581">
        <f t="shared" si="105"/>
        <v>0</v>
      </c>
      <c r="AL96" s="581">
        <f t="shared" si="105"/>
        <v>0</v>
      </c>
      <c r="AM96" s="581">
        <f t="shared" si="105"/>
        <v>0.27</v>
      </c>
      <c r="AN96" s="581">
        <f t="shared" si="105"/>
        <v>0</v>
      </c>
      <c r="AO96" s="581">
        <f t="shared" si="105"/>
        <v>0.27</v>
      </c>
      <c r="AP96" s="581">
        <f t="shared" si="105"/>
        <v>0</v>
      </c>
      <c r="AQ96" s="312">
        <f t="shared" si="105"/>
        <v>0.27</v>
      </c>
      <c r="AR96" s="588">
        <f t="shared" si="105"/>
        <v>18208475</v>
      </c>
      <c r="AS96" s="580">
        <f t="shared" si="105"/>
        <v>13103136</v>
      </c>
      <c r="AT96" s="580">
        <f t="shared" si="105"/>
        <v>58500</v>
      </c>
      <c r="AU96" s="580">
        <f t="shared" si="105"/>
        <v>4448634</v>
      </c>
      <c r="AV96" s="580">
        <f t="shared" si="105"/>
        <v>262063</v>
      </c>
      <c r="AW96" s="580">
        <f t="shared" si="105"/>
        <v>336142</v>
      </c>
      <c r="AX96" s="581">
        <f t="shared" si="105"/>
        <v>26.905900000000003</v>
      </c>
      <c r="AY96" s="581">
        <f t="shared" si="105"/>
        <v>18.288199999999996</v>
      </c>
      <c r="AZ96" s="312">
        <f t="shared" si="105"/>
        <v>8.617700000000001</v>
      </c>
    </row>
    <row r="97" spans="1:52" ht="12.95" customHeight="1" x14ac:dyDescent="0.25">
      <c r="A97" s="313">
        <v>19</v>
      </c>
      <c r="B97" s="409">
        <v>5493</v>
      </c>
      <c r="C97" s="409">
        <v>691009813</v>
      </c>
      <c r="D97" s="314">
        <v>6181457</v>
      </c>
      <c r="E97" s="410" t="s">
        <v>519</v>
      </c>
      <c r="F97" s="409">
        <v>3111</v>
      </c>
      <c r="G97" s="412" t="s">
        <v>326</v>
      </c>
      <c r="H97" s="318" t="s">
        <v>278</v>
      </c>
      <c r="I97" s="494">
        <v>1920445</v>
      </c>
      <c r="J97" s="489">
        <v>1388253</v>
      </c>
      <c r="K97" s="489">
        <v>17225</v>
      </c>
      <c r="L97" s="489">
        <v>475052</v>
      </c>
      <c r="M97" s="489">
        <v>27765</v>
      </c>
      <c r="N97" s="489">
        <v>12150</v>
      </c>
      <c r="O97" s="490">
        <v>3.0349000000000004</v>
      </c>
      <c r="P97" s="491">
        <v>2.2000000000000002</v>
      </c>
      <c r="Q97" s="500">
        <v>0.83489999999999998</v>
      </c>
      <c r="R97" s="502">
        <f t="shared" si="78"/>
        <v>0</v>
      </c>
      <c r="S97" s="492">
        <v>0</v>
      </c>
      <c r="T97" s="492">
        <v>0</v>
      </c>
      <c r="U97" s="492">
        <v>0</v>
      </c>
      <c r="V97" s="492">
        <f t="shared" si="79"/>
        <v>0</v>
      </c>
      <c r="W97" s="713">
        <v>0</v>
      </c>
      <c r="X97" s="492">
        <v>0</v>
      </c>
      <c r="Y97" s="492">
        <v>0</v>
      </c>
      <c r="Z97" s="492">
        <f>SUM(W97:Y97)</f>
        <v>0</v>
      </c>
      <c r="AA97" s="492">
        <f>V97+Z97</f>
        <v>0</v>
      </c>
      <c r="AB97" s="74">
        <f>ROUND((V97+W97+X97)*33.8%,0)</f>
        <v>0</v>
      </c>
      <c r="AC97" s="74">
        <f>ROUND(V97*2%,0)</f>
        <v>0</v>
      </c>
      <c r="AD97" s="492">
        <v>0</v>
      </c>
      <c r="AE97" s="492">
        <v>0</v>
      </c>
      <c r="AF97" s="492">
        <f t="shared" si="80"/>
        <v>0</v>
      </c>
      <c r="AG97" s="492">
        <f t="shared" si="81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>AH97+AJ97+AM97</f>
        <v>0</v>
      </c>
      <c r="AP97" s="493">
        <f>AI97+AN97</f>
        <v>0</v>
      </c>
      <c r="AQ97" s="495">
        <f t="shared" si="82"/>
        <v>0</v>
      </c>
      <c r="AR97" s="501">
        <f>I97+AG97</f>
        <v>1920445</v>
      </c>
      <c r="AS97" s="492">
        <f>J97+V97</f>
        <v>1388253</v>
      </c>
      <c r="AT97" s="492">
        <f t="shared" ref="AT97:AT99" si="106">K97+Z97</f>
        <v>17225</v>
      </c>
      <c r="AU97" s="492">
        <f t="shared" ref="AU97:AV99" si="107">L97+AB97</f>
        <v>475052</v>
      </c>
      <c r="AV97" s="492">
        <f t="shared" si="107"/>
        <v>27765</v>
      </c>
      <c r="AW97" s="492">
        <f>N97+AF97</f>
        <v>12150</v>
      </c>
      <c r="AX97" s="493">
        <f>O97+AQ97</f>
        <v>3.0349000000000004</v>
      </c>
      <c r="AY97" s="493">
        <f t="shared" ref="AY97:AZ99" si="108">P97+AO97</f>
        <v>2.2000000000000002</v>
      </c>
      <c r="AZ97" s="495">
        <f t="shared" si="108"/>
        <v>0.83489999999999998</v>
      </c>
    </row>
    <row r="98" spans="1:52" ht="12.95" customHeight="1" x14ac:dyDescent="0.25">
      <c r="A98" s="313">
        <v>19</v>
      </c>
      <c r="B98" s="409">
        <v>5493</v>
      </c>
      <c r="C98" s="409">
        <v>691009813</v>
      </c>
      <c r="D98" s="314">
        <v>6181457</v>
      </c>
      <c r="E98" s="410" t="s">
        <v>519</v>
      </c>
      <c r="F98" s="409">
        <v>3111</v>
      </c>
      <c r="G98" s="356" t="s">
        <v>313</v>
      </c>
      <c r="H98" s="318" t="s">
        <v>279</v>
      </c>
      <c r="I98" s="494">
        <v>352854</v>
      </c>
      <c r="J98" s="489">
        <v>259833</v>
      </c>
      <c r="K98" s="489">
        <v>0</v>
      </c>
      <c r="L98" s="489">
        <v>87824</v>
      </c>
      <c r="M98" s="489">
        <v>5197</v>
      </c>
      <c r="N98" s="489">
        <v>0</v>
      </c>
      <c r="O98" s="490">
        <v>0.75</v>
      </c>
      <c r="P98" s="491">
        <v>0.75</v>
      </c>
      <c r="Q98" s="500">
        <v>0</v>
      </c>
      <c r="R98" s="502">
        <f t="shared" si="78"/>
        <v>0</v>
      </c>
      <c r="S98" s="492">
        <v>0</v>
      </c>
      <c r="T98" s="492">
        <v>0</v>
      </c>
      <c r="U98" s="492">
        <v>0</v>
      </c>
      <c r="V98" s="492">
        <f t="shared" si="79"/>
        <v>0</v>
      </c>
      <c r="W98" s="713">
        <v>0</v>
      </c>
      <c r="X98" s="492">
        <v>0</v>
      </c>
      <c r="Y98" s="492">
        <v>0</v>
      </c>
      <c r="Z98" s="492">
        <f>SUM(W98:Y98)</f>
        <v>0</v>
      </c>
      <c r="AA98" s="492">
        <f>V98+Z98</f>
        <v>0</v>
      </c>
      <c r="AB98" s="74">
        <f>ROUND((V98+W98+X98)*33.8%,0)</f>
        <v>0</v>
      </c>
      <c r="AC98" s="74">
        <f>ROUND(V98*2%,0)</f>
        <v>0</v>
      </c>
      <c r="AD98" s="492">
        <v>0</v>
      </c>
      <c r="AE98" s="492">
        <v>0</v>
      </c>
      <c r="AF98" s="492">
        <f t="shared" si="80"/>
        <v>0</v>
      </c>
      <c r="AG98" s="492">
        <f t="shared" si="81"/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>AH98+AJ98+AM98</f>
        <v>0</v>
      </c>
      <c r="AP98" s="493">
        <f>AI98+AN98</f>
        <v>0</v>
      </c>
      <c r="AQ98" s="495">
        <f t="shared" si="82"/>
        <v>0</v>
      </c>
      <c r="AR98" s="501">
        <f>I98+AG98</f>
        <v>352854</v>
      </c>
      <c r="AS98" s="492">
        <f>J98+V98</f>
        <v>259833</v>
      </c>
      <c r="AT98" s="492">
        <f t="shared" si="106"/>
        <v>0</v>
      </c>
      <c r="AU98" s="492">
        <f t="shared" si="107"/>
        <v>87824</v>
      </c>
      <c r="AV98" s="492">
        <f t="shared" si="107"/>
        <v>5197</v>
      </c>
      <c r="AW98" s="492">
        <f>N98+AF98</f>
        <v>0</v>
      </c>
      <c r="AX98" s="493">
        <f>O98+AQ98</f>
        <v>0.75</v>
      </c>
      <c r="AY98" s="493">
        <f t="shared" si="108"/>
        <v>0.75</v>
      </c>
      <c r="AZ98" s="495">
        <f t="shared" si="108"/>
        <v>0</v>
      </c>
    </row>
    <row r="99" spans="1:52" ht="12.95" customHeight="1" x14ac:dyDescent="0.25">
      <c r="A99" s="313">
        <v>19</v>
      </c>
      <c r="B99" s="420">
        <v>5493</v>
      </c>
      <c r="C99" s="420">
        <v>691009813</v>
      </c>
      <c r="D99" s="314">
        <v>6181457</v>
      </c>
      <c r="E99" s="419" t="s">
        <v>519</v>
      </c>
      <c r="F99" s="420">
        <v>3141</v>
      </c>
      <c r="G99" s="412" t="s">
        <v>316</v>
      </c>
      <c r="H99" s="318" t="s">
        <v>279</v>
      </c>
      <c r="I99" s="494">
        <v>106992</v>
      </c>
      <c r="J99" s="489">
        <v>78031</v>
      </c>
      <c r="K99" s="489">
        <v>0</v>
      </c>
      <c r="L99" s="489">
        <v>26374</v>
      </c>
      <c r="M99" s="489">
        <v>1561</v>
      </c>
      <c r="N99" s="489">
        <v>1026</v>
      </c>
      <c r="O99" s="490">
        <v>0.41</v>
      </c>
      <c r="P99" s="491">
        <v>0</v>
      </c>
      <c r="Q99" s="500">
        <v>0.41</v>
      </c>
      <c r="R99" s="502">
        <f t="shared" si="78"/>
        <v>0</v>
      </c>
      <c r="S99" s="492">
        <v>0</v>
      </c>
      <c r="T99" s="492">
        <v>0</v>
      </c>
      <c r="U99" s="492">
        <v>0</v>
      </c>
      <c r="V99" s="492">
        <f t="shared" si="79"/>
        <v>0</v>
      </c>
      <c r="W99" s="713">
        <v>0</v>
      </c>
      <c r="X99" s="492">
        <v>0</v>
      </c>
      <c r="Y99" s="492">
        <v>0</v>
      </c>
      <c r="Z99" s="492">
        <f>SUM(W99:Y99)</f>
        <v>0</v>
      </c>
      <c r="AA99" s="492">
        <f>V99+Z99</f>
        <v>0</v>
      </c>
      <c r="AB99" s="74">
        <f>ROUND((V99+W99+X99)*33.8%,0)</f>
        <v>0</v>
      </c>
      <c r="AC99" s="74">
        <f>ROUND(V99*2%,0)</f>
        <v>0</v>
      </c>
      <c r="AD99" s="492">
        <v>0</v>
      </c>
      <c r="AE99" s="492">
        <v>0</v>
      </c>
      <c r="AF99" s="492">
        <f t="shared" si="80"/>
        <v>0</v>
      </c>
      <c r="AG99" s="492">
        <f t="shared" si="81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>AH99+AJ99+AM99</f>
        <v>0</v>
      </c>
      <c r="AP99" s="493">
        <f>AI99+AN99</f>
        <v>0</v>
      </c>
      <c r="AQ99" s="495">
        <f t="shared" si="82"/>
        <v>0</v>
      </c>
      <c r="AR99" s="501">
        <f>I99+AG99</f>
        <v>106992</v>
      </c>
      <c r="AS99" s="492">
        <f>J99+V99</f>
        <v>78031</v>
      </c>
      <c r="AT99" s="492">
        <f t="shared" si="106"/>
        <v>0</v>
      </c>
      <c r="AU99" s="492">
        <f t="shared" si="107"/>
        <v>26374</v>
      </c>
      <c r="AV99" s="492">
        <f t="shared" si="107"/>
        <v>1561</v>
      </c>
      <c r="AW99" s="492">
        <f>N99+AF99</f>
        <v>1026</v>
      </c>
      <c r="AX99" s="493">
        <f>O99+AQ99</f>
        <v>0.41</v>
      </c>
      <c r="AY99" s="493">
        <f t="shared" si="108"/>
        <v>0</v>
      </c>
      <c r="AZ99" s="495">
        <f t="shared" si="108"/>
        <v>0.41</v>
      </c>
    </row>
    <row r="100" spans="1:52" ht="12.95" customHeight="1" x14ac:dyDescent="0.25">
      <c r="A100" s="230">
        <v>19</v>
      </c>
      <c r="B100" s="52">
        <v>5493</v>
      </c>
      <c r="C100" s="52">
        <v>691009813</v>
      </c>
      <c r="D100" s="52">
        <v>6181457</v>
      </c>
      <c r="E100" s="425" t="s">
        <v>520</v>
      </c>
      <c r="F100" s="52"/>
      <c r="G100" s="425"/>
      <c r="H100" s="196"/>
      <c r="I100" s="584">
        <v>2380291</v>
      </c>
      <c r="J100" s="580">
        <v>1726117</v>
      </c>
      <c r="K100" s="580">
        <v>17225</v>
      </c>
      <c r="L100" s="580">
        <v>589250</v>
      </c>
      <c r="M100" s="580">
        <v>34523</v>
      </c>
      <c r="N100" s="580">
        <v>13176</v>
      </c>
      <c r="O100" s="581">
        <v>4.1949000000000005</v>
      </c>
      <c r="P100" s="581">
        <v>2.95</v>
      </c>
      <c r="Q100" s="586">
        <v>1.2448999999999999</v>
      </c>
      <c r="R100" s="584">
        <f t="shared" ref="R100:AZ100" si="109">SUM(R97:R99)</f>
        <v>0</v>
      </c>
      <c r="S100" s="580">
        <f t="shared" si="109"/>
        <v>0</v>
      </c>
      <c r="T100" s="580">
        <f t="shared" si="109"/>
        <v>0</v>
      </c>
      <c r="U100" s="580">
        <f t="shared" si="109"/>
        <v>0</v>
      </c>
      <c r="V100" s="580">
        <f t="shared" si="109"/>
        <v>0</v>
      </c>
      <c r="W100" s="580">
        <f t="shared" si="109"/>
        <v>0</v>
      </c>
      <c r="X100" s="580">
        <f t="shared" si="109"/>
        <v>0</v>
      </c>
      <c r="Y100" s="580">
        <f t="shared" si="109"/>
        <v>0</v>
      </c>
      <c r="Z100" s="580">
        <f t="shared" si="109"/>
        <v>0</v>
      </c>
      <c r="AA100" s="580">
        <f t="shared" si="109"/>
        <v>0</v>
      </c>
      <c r="AB100" s="580">
        <f t="shared" si="109"/>
        <v>0</v>
      </c>
      <c r="AC100" s="580">
        <f t="shared" si="109"/>
        <v>0</v>
      </c>
      <c r="AD100" s="580">
        <f t="shared" si="109"/>
        <v>0</v>
      </c>
      <c r="AE100" s="580">
        <f t="shared" si="109"/>
        <v>0</v>
      </c>
      <c r="AF100" s="580">
        <f t="shared" si="109"/>
        <v>0</v>
      </c>
      <c r="AG100" s="580">
        <f t="shared" si="109"/>
        <v>0</v>
      </c>
      <c r="AH100" s="581">
        <f t="shared" si="109"/>
        <v>0</v>
      </c>
      <c r="AI100" s="581">
        <f t="shared" si="109"/>
        <v>0</v>
      </c>
      <c r="AJ100" s="581">
        <f t="shared" si="109"/>
        <v>0</v>
      </c>
      <c r="AK100" s="581">
        <f t="shared" si="109"/>
        <v>0</v>
      </c>
      <c r="AL100" s="581">
        <f t="shared" si="109"/>
        <v>0</v>
      </c>
      <c r="AM100" s="581">
        <f t="shared" si="109"/>
        <v>0</v>
      </c>
      <c r="AN100" s="581">
        <f t="shared" si="109"/>
        <v>0</v>
      </c>
      <c r="AO100" s="581">
        <f t="shared" si="109"/>
        <v>0</v>
      </c>
      <c r="AP100" s="581">
        <f t="shared" si="109"/>
        <v>0</v>
      </c>
      <c r="AQ100" s="312">
        <f t="shared" si="109"/>
        <v>0</v>
      </c>
      <c r="AR100" s="588">
        <f t="shared" si="109"/>
        <v>2380291</v>
      </c>
      <c r="AS100" s="580">
        <f t="shared" si="109"/>
        <v>1726117</v>
      </c>
      <c r="AT100" s="580">
        <f t="shared" si="109"/>
        <v>17225</v>
      </c>
      <c r="AU100" s="580">
        <f t="shared" si="109"/>
        <v>589250</v>
      </c>
      <c r="AV100" s="580">
        <f t="shared" si="109"/>
        <v>34523</v>
      </c>
      <c r="AW100" s="580">
        <f t="shared" si="109"/>
        <v>13176</v>
      </c>
      <c r="AX100" s="581">
        <f t="shared" si="109"/>
        <v>4.1949000000000005</v>
      </c>
      <c r="AY100" s="581">
        <f t="shared" si="109"/>
        <v>2.95</v>
      </c>
      <c r="AZ100" s="312">
        <f t="shared" si="109"/>
        <v>1.2448999999999999</v>
      </c>
    </row>
    <row r="101" spans="1:52" ht="12.95" customHeight="1" x14ac:dyDescent="0.25">
      <c r="A101" s="313">
        <v>20</v>
      </c>
      <c r="B101" s="229">
        <v>2463</v>
      </c>
      <c r="C101" s="229">
        <v>600080056</v>
      </c>
      <c r="D101" s="314">
        <v>70982066</v>
      </c>
      <c r="E101" s="411" t="s">
        <v>521</v>
      </c>
      <c r="F101" s="229">
        <v>3113</v>
      </c>
      <c r="G101" s="411" t="s">
        <v>330</v>
      </c>
      <c r="H101" s="318" t="s">
        <v>278</v>
      </c>
      <c r="I101" s="494">
        <v>9102564</v>
      </c>
      <c r="J101" s="489">
        <v>6579523</v>
      </c>
      <c r="K101" s="489">
        <v>6825</v>
      </c>
      <c r="L101" s="489">
        <v>2226186</v>
      </c>
      <c r="M101" s="489">
        <v>131590</v>
      </c>
      <c r="N101" s="489">
        <v>158440</v>
      </c>
      <c r="O101" s="490">
        <v>12.4077</v>
      </c>
      <c r="P101" s="491">
        <v>9.1352999999999991</v>
      </c>
      <c r="Q101" s="500">
        <v>3.2724000000000002</v>
      </c>
      <c r="R101" s="502">
        <f t="shared" si="78"/>
        <v>0</v>
      </c>
      <c r="S101" s="492">
        <v>0</v>
      </c>
      <c r="T101" s="492">
        <v>0</v>
      </c>
      <c r="U101" s="492">
        <v>0</v>
      </c>
      <c r="V101" s="492">
        <f t="shared" si="79"/>
        <v>0</v>
      </c>
      <c r="W101" s="713">
        <v>0</v>
      </c>
      <c r="X101" s="492">
        <v>0</v>
      </c>
      <c r="Y101" s="492">
        <v>0</v>
      </c>
      <c r="Z101" s="492">
        <f>SUM(W101:Y101)</f>
        <v>0</v>
      </c>
      <c r="AA101" s="492">
        <f>V101+Z101</f>
        <v>0</v>
      </c>
      <c r="AB101" s="74">
        <f>ROUND((V101+W101+X101)*33.8%,0)</f>
        <v>0</v>
      </c>
      <c r="AC101" s="74">
        <f>ROUND(V101*2%,0)</f>
        <v>0</v>
      </c>
      <c r="AD101" s="492">
        <v>0</v>
      </c>
      <c r="AE101" s="492">
        <v>0</v>
      </c>
      <c r="AF101" s="492">
        <f t="shared" si="80"/>
        <v>0</v>
      </c>
      <c r="AG101" s="492">
        <f t="shared" si="81"/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>AH101+AJ101+AM101</f>
        <v>0</v>
      </c>
      <c r="AP101" s="493">
        <f>AI101+AN101</f>
        <v>0</v>
      </c>
      <c r="AQ101" s="495">
        <f t="shared" si="82"/>
        <v>0</v>
      </c>
      <c r="AR101" s="501">
        <f>I101+AG101</f>
        <v>9102564</v>
      </c>
      <c r="AS101" s="492">
        <f>J101+V101</f>
        <v>6579523</v>
      </c>
      <c r="AT101" s="492">
        <f t="shared" ref="AT101:AT105" si="110">K101+Z101</f>
        <v>6825</v>
      </c>
      <c r="AU101" s="492">
        <f t="shared" ref="AU101:AV105" si="111">L101+AB101</f>
        <v>2226186</v>
      </c>
      <c r="AV101" s="492">
        <f t="shared" si="111"/>
        <v>131590</v>
      </c>
      <c r="AW101" s="492">
        <f>N101+AF101</f>
        <v>158440</v>
      </c>
      <c r="AX101" s="493">
        <f>O101+AQ101</f>
        <v>12.4077</v>
      </c>
      <c r="AY101" s="493">
        <f t="shared" ref="AY101:AZ105" si="112">P101+AO101</f>
        <v>9.1352999999999991</v>
      </c>
      <c r="AZ101" s="495">
        <f t="shared" si="112"/>
        <v>3.2724000000000002</v>
      </c>
    </row>
    <row r="102" spans="1:52" ht="12.95" customHeight="1" x14ac:dyDescent="0.25">
      <c r="A102" s="313">
        <v>20</v>
      </c>
      <c r="B102" s="415">
        <v>2463</v>
      </c>
      <c r="C102" s="415">
        <v>600080056</v>
      </c>
      <c r="D102" s="314">
        <v>70982066</v>
      </c>
      <c r="E102" s="411" t="s">
        <v>521</v>
      </c>
      <c r="F102" s="229">
        <v>3113</v>
      </c>
      <c r="G102" s="356" t="s">
        <v>313</v>
      </c>
      <c r="H102" s="318" t="s">
        <v>279</v>
      </c>
      <c r="I102" s="494">
        <v>996487</v>
      </c>
      <c r="J102" s="489">
        <v>733790</v>
      </c>
      <c r="K102" s="489">
        <v>0</v>
      </c>
      <c r="L102" s="489">
        <v>248021</v>
      </c>
      <c r="M102" s="489">
        <v>14676</v>
      </c>
      <c r="N102" s="489">
        <v>0</v>
      </c>
      <c r="O102" s="490">
        <v>2.12</v>
      </c>
      <c r="P102" s="491">
        <v>2.12</v>
      </c>
      <c r="Q102" s="500">
        <v>0</v>
      </c>
      <c r="R102" s="502">
        <f t="shared" si="78"/>
        <v>0</v>
      </c>
      <c r="S102" s="492">
        <v>0</v>
      </c>
      <c r="T102" s="492">
        <v>0</v>
      </c>
      <c r="U102" s="492">
        <v>0</v>
      </c>
      <c r="V102" s="492">
        <f t="shared" si="79"/>
        <v>0</v>
      </c>
      <c r="W102" s="713">
        <v>0</v>
      </c>
      <c r="X102" s="492">
        <v>0</v>
      </c>
      <c r="Y102" s="492">
        <v>0</v>
      </c>
      <c r="Z102" s="492">
        <f>SUM(W102:Y102)</f>
        <v>0</v>
      </c>
      <c r="AA102" s="492">
        <f>V102+Z102</f>
        <v>0</v>
      </c>
      <c r="AB102" s="74">
        <f>ROUND((V102+W102+X102)*33.8%,0)</f>
        <v>0</v>
      </c>
      <c r="AC102" s="74">
        <f>ROUND(V102*2%,0)</f>
        <v>0</v>
      </c>
      <c r="AD102" s="492">
        <v>0</v>
      </c>
      <c r="AE102" s="492">
        <v>0</v>
      </c>
      <c r="AF102" s="492">
        <f t="shared" si="80"/>
        <v>0</v>
      </c>
      <c r="AG102" s="492">
        <f t="shared" si="81"/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>AH102+AJ102+AM102</f>
        <v>0</v>
      </c>
      <c r="AP102" s="493">
        <f>AI102+AN102</f>
        <v>0</v>
      </c>
      <c r="AQ102" s="495">
        <f t="shared" si="82"/>
        <v>0</v>
      </c>
      <c r="AR102" s="501">
        <f>I102+AG102</f>
        <v>996487</v>
      </c>
      <c r="AS102" s="492">
        <f>J102+V102</f>
        <v>733790</v>
      </c>
      <c r="AT102" s="492">
        <f t="shared" si="110"/>
        <v>0</v>
      </c>
      <c r="AU102" s="492">
        <f t="shared" si="111"/>
        <v>248021</v>
      </c>
      <c r="AV102" s="492">
        <f t="shared" si="111"/>
        <v>14676</v>
      </c>
      <c r="AW102" s="492">
        <f>N102+AF102</f>
        <v>0</v>
      </c>
      <c r="AX102" s="493">
        <f>O102+AQ102</f>
        <v>2.12</v>
      </c>
      <c r="AY102" s="493">
        <f t="shared" si="112"/>
        <v>2.12</v>
      </c>
      <c r="AZ102" s="495">
        <f t="shared" si="112"/>
        <v>0</v>
      </c>
    </row>
    <row r="103" spans="1:52" ht="12.95" customHeight="1" x14ac:dyDescent="0.25">
      <c r="A103" s="313">
        <v>20</v>
      </c>
      <c r="B103" s="229">
        <v>2463</v>
      </c>
      <c r="C103" s="229">
        <v>600080056</v>
      </c>
      <c r="D103" s="314">
        <v>70982066</v>
      </c>
      <c r="E103" s="411" t="s">
        <v>521</v>
      </c>
      <c r="F103" s="229">
        <v>3141</v>
      </c>
      <c r="G103" s="412" t="s">
        <v>316</v>
      </c>
      <c r="H103" s="318" t="s">
        <v>279</v>
      </c>
      <c r="I103" s="494">
        <v>869464</v>
      </c>
      <c r="J103" s="489">
        <v>636068</v>
      </c>
      <c r="K103" s="489">
        <v>0</v>
      </c>
      <c r="L103" s="489">
        <v>214991</v>
      </c>
      <c r="M103" s="489">
        <v>12721</v>
      </c>
      <c r="N103" s="489">
        <v>5684</v>
      </c>
      <c r="O103" s="490">
        <v>2</v>
      </c>
      <c r="P103" s="491">
        <v>0</v>
      </c>
      <c r="Q103" s="500">
        <v>2</v>
      </c>
      <c r="R103" s="502">
        <f t="shared" si="78"/>
        <v>0</v>
      </c>
      <c r="S103" s="492">
        <v>0</v>
      </c>
      <c r="T103" s="492">
        <v>0</v>
      </c>
      <c r="U103" s="492">
        <v>0</v>
      </c>
      <c r="V103" s="492">
        <f t="shared" si="79"/>
        <v>0</v>
      </c>
      <c r="W103" s="713">
        <v>0</v>
      </c>
      <c r="X103" s="492">
        <v>0</v>
      </c>
      <c r="Y103" s="492">
        <v>0</v>
      </c>
      <c r="Z103" s="492">
        <f>SUM(W103:Y103)</f>
        <v>0</v>
      </c>
      <c r="AA103" s="492">
        <f>V103+Z103</f>
        <v>0</v>
      </c>
      <c r="AB103" s="74">
        <f>ROUND((V103+W103+X103)*33.8%,0)</f>
        <v>0</v>
      </c>
      <c r="AC103" s="74">
        <f>ROUND(V103*2%,0)</f>
        <v>0</v>
      </c>
      <c r="AD103" s="492">
        <v>0</v>
      </c>
      <c r="AE103" s="492">
        <v>0</v>
      </c>
      <c r="AF103" s="492">
        <f t="shared" si="80"/>
        <v>0</v>
      </c>
      <c r="AG103" s="492">
        <f t="shared" si="81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>AH103+AJ103+AM103</f>
        <v>0</v>
      </c>
      <c r="AP103" s="493">
        <f>AI103+AN103</f>
        <v>0</v>
      </c>
      <c r="AQ103" s="495">
        <f t="shared" si="82"/>
        <v>0</v>
      </c>
      <c r="AR103" s="501">
        <f>I103+AG103</f>
        <v>869464</v>
      </c>
      <c r="AS103" s="492">
        <f>J103+V103</f>
        <v>636068</v>
      </c>
      <c r="AT103" s="492">
        <f t="shared" si="110"/>
        <v>0</v>
      </c>
      <c r="AU103" s="492">
        <f t="shared" si="111"/>
        <v>214991</v>
      </c>
      <c r="AV103" s="492">
        <f t="shared" si="111"/>
        <v>12721</v>
      </c>
      <c r="AW103" s="492">
        <f>N103+AF103</f>
        <v>5684</v>
      </c>
      <c r="AX103" s="493">
        <f>O103+AQ103</f>
        <v>2</v>
      </c>
      <c r="AY103" s="493">
        <f t="shared" si="112"/>
        <v>0</v>
      </c>
      <c r="AZ103" s="495">
        <f t="shared" si="112"/>
        <v>2</v>
      </c>
    </row>
    <row r="104" spans="1:52" ht="12.95" customHeight="1" x14ac:dyDescent="0.25">
      <c r="A104" s="313">
        <v>20</v>
      </c>
      <c r="B104" s="415">
        <v>2463</v>
      </c>
      <c r="C104" s="415">
        <v>600080056</v>
      </c>
      <c r="D104" s="314">
        <v>70982066</v>
      </c>
      <c r="E104" s="411" t="s">
        <v>521</v>
      </c>
      <c r="F104" s="229">
        <v>3143</v>
      </c>
      <c r="G104" s="356" t="s">
        <v>629</v>
      </c>
      <c r="H104" s="318" t="s">
        <v>278</v>
      </c>
      <c r="I104" s="494">
        <v>609378</v>
      </c>
      <c r="J104" s="489">
        <v>448732</v>
      </c>
      <c r="K104" s="489">
        <v>0</v>
      </c>
      <c r="L104" s="489">
        <v>151671</v>
      </c>
      <c r="M104" s="489">
        <v>8975</v>
      </c>
      <c r="N104" s="489">
        <v>0</v>
      </c>
      <c r="O104" s="490">
        <v>0.83330000000000004</v>
      </c>
      <c r="P104" s="491">
        <v>0.83330000000000004</v>
      </c>
      <c r="Q104" s="500">
        <v>0</v>
      </c>
      <c r="R104" s="502">
        <f t="shared" si="78"/>
        <v>0</v>
      </c>
      <c r="S104" s="492">
        <v>0</v>
      </c>
      <c r="T104" s="492">
        <v>0</v>
      </c>
      <c r="U104" s="492">
        <v>0</v>
      </c>
      <c r="V104" s="492">
        <f t="shared" si="79"/>
        <v>0</v>
      </c>
      <c r="W104" s="713">
        <v>0</v>
      </c>
      <c r="X104" s="492">
        <v>0</v>
      </c>
      <c r="Y104" s="492">
        <v>0</v>
      </c>
      <c r="Z104" s="492">
        <f>SUM(W104:Y104)</f>
        <v>0</v>
      </c>
      <c r="AA104" s="492">
        <f>V104+Z104</f>
        <v>0</v>
      </c>
      <c r="AB104" s="74">
        <f>ROUND((V104+W104+X104)*33.8%,0)</f>
        <v>0</v>
      </c>
      <c r="AC104" s="74">
        <f>ROUND(V104*2%,0)</f>
        <v>0</v>
      </c>
      <c r="AD104" s="492">
        <v>0</v>
      </c>
      <c r="AE104" s="492">
        <v>0</v>
      </c>
      <c r="AF104" s="492">
        <f t="shared" si="80"/>
        <v>0</v>
      </c>
      <c r="AG104" s="492">
        <f t="shared" si="81"/>
        <v>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>AH104+AJ104+AM104</f>
        <v>0</v>
      </c>
      <c r="AP104" s="493">
        <f>AI104+AN104</f>
        <v>0</v>
      </c>
      <c r="AQ104" s="495">
        <f t="shared" si="82"/>
        <v>0</v>
      </c>
      <c r="AR104" s="501">
        <f>I104+AG104</f>
        <v>609378</v>
      </c>
      <c r="AS104" s="492">
        <f>J104+V104</f>
        <v>448732</v>
      </c>
      <c r="AT104" s="492">
        <f t="shared" si="110"/>
        <v>0</v>
      </c>
      <c r="AU104" s="492">
        <f t="shared" si="111"/>
        <v>151671</v>
      </c>
      <c r="AV104" s="492">
        <f t="shared" si="111"/>
        <v>8975</v>
      </c>
      <c r="AW104" s="492">
        <f>N104+AF104</f>
        <v>0</v>
      </c>
      <c r="AX104" s="493">
        <f>O104+AQ104</f>
        <v>0.83330000000000004</v>
      </c>
      <c r="AY104" s="493">
        <f t="shared" si="112"/>
        <v>0.83330000000000004</v>
      </c>
      <c r="AZ104" s="495">
        <f t="shared" si="112"/>
        <v>0</v>
      </c>
    </row>
    <row r="105" spans="1:52" ht="12.95" customHeight="1" x14ac:dyDescent="0.25">
      <c r="A105" s="313">
        <v>20</v>
      </c>
      <c r="B105" s="415">
        <v>2463</v>
      </c>
      <c r="C105" s="415">
        <v>600080056</v>
      </c>
      <c r="D105" s="314">
        <v>70982066</v>
      </c>
      <c r="E105" s="411" t="s">
        <v>521</v>
      </c>
      <c r="F105" s="229">
        <v>3143</v>
      </c>
      <c r="G105" s="356" t="s">
        <v>630</v>
      </c>
      <c r="H105" s="318" t="s">
        <v>279</v>
      </c>
      <c r="I105" s="494">
        <v>21924</v>
      </c>
      <c r="J105" s="489">
        <v>15504</v>
      </c>
      <c r="K105" s="489">
        <v>0</v>
      </c>
      <c r="L105" s="489">
        <v>5240</v>
      </c>
      <c r="M105" s="489">
        <v>310</v>
      </c>
      <c r="N105" s="489">
        <v>870</v>
      </c>
      <c r="O105" s="490">
        <v>0.06</v>
      </c>
      <c r="P105" s="491">
        <v>0</v>
      </c>
      <c r="Q105" s="500">
        <v>0.06</v>
      </c>
      <c r="R105" s="502">
        <f t="shared" si="78"/>
        <v>0</v>
      </c>
      <c r="S105" s="492">
        <v>0</v>
      </c>
      <c r="T105" s="492">
        <v>0</v>
      </c>
      <c r="U105" s="492">
        <v>0</v>
      </c>
      <c r="V105" s="492">
        <f t="shared" si="79"/>
        <v>0</v>
      </c>
      <c r="W105" s="713">
        <v>0</v>
      </c>
      <c r="X105" s="492">
        <v>0</v>
      </c>
      <c r="Y105" s="492">
        <v>0</v>
      </c>
      <c r="Z105" s="492">
        <f>SUM(W105:Y105)</f>
        <v>0</v>
      </c>
      <c r="AA105" s="492">
        <f>V105+Z105</f>
        <v>0</v>
      </c>
      <c r="AB105" s="74">
        <f>ROUND((V105+W105+X105)*33.8%,0)</f>
        <v>0</v>
      </c>
      <c r="AC105" s="74">
        <f>ROUND(V105*2%,0)</f>
        <v>0</v>
      </c>
      <c r="AD105" s="492">
        <v>0</v>
      </c>
      <c r="AE105" s="492">
        <v>0</v>
      </c>
      <c r="AF105" s="492">
        <f t="shared" si="80"/>
        <v>0</v>
      </c>
      <c r="AG105" s="492">
        <f t="shared" si="81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>AH105+AJ105+AM105</f>
        <v>0</v>
      </c>
      <c r="AP105" s="493">
        <f>AI105+AN105</f>
        <v>0</v>
      </c>
      <c r="AQ105" s="495">
        <f t="shared" si="82"/>
        <v>0</v>
      </c>
      <c r="AR105" s="501">
        <f>I105+AG105</f>
        <v>21924</v>
      </c>
      <c r="AS105" s="492">
        <f>J105+V105</f>
        <v>15504</v>
      </c>
      <c r="AT105" s="492">
        <f t="shared" si="110"/>
        <v>0</v>
      </c>
      <c r="AU105" s="492">
        <f t="shared" si="111"/>
        <v>5240</v>
      </c>
      <c r="AV105" s="492">
        <f t="shared" si="111"/>
        <v>310</v>
      </c>
      <c r="AW105" s="492">
        <f>N105+AF105</f>
        <v>870</v>
      </c>
      <c r="AX105" s="493">
        <f>O105+AQ105</f>
        <v>0.06</v>
      </c>
      <c r="AY105" s="493">
        <f t="shared" si="112"/>
        <v>0</v>
      </c>
      <c r="AZ105" s="495">
        <f t="shared" si="112"/>
        <v>0.06</v>
      </c>
    </row>
    <row r="106" spans="1:52" ht="12.75" customHeight="1" x14ac:dyDescent="0.25">
      <c r="A106" s="230">
        <v>20</v>
      </c>
      <c r="B106" s="51">
        <v>2463</v>
      </c>
      <c r="C106" s="51">
        <v>600080056</v>
      </c>
      <c r="D106" s="51">
        <v>70982066</v>
      </c>
      <c r="E106" s="413" t="s">
        <v>522</v>
      </c>
      <c r="F106" s="53"/>
      <c r="G106" s="426"/>
      <c r="H106" s="197"/>
      <c r="I106" s="616">
        <v>11599817</v>
      </c>
      <c r="J106" s="614">
        <v>8413617</v>
      </c>
      <c r="K106" s="614">
        <v>6825</v>
      </c>
      <c r="L106" s="614">
        <v>2846109</v>
      </c>
      <c r="M106" s="614">
        <v>168272</v>
      </c>
      <c r="N106" s="614">
        <v>164994</v>
      </c>
      <c r="O106" s="615">
        <v>17.420999999999999</v>
      </c>
      <c r="P106" s="615">
        <v>12.088599999999998</v>
      </c>
      <c r="Q106" s="617">
        <v>5.3323999999999998</v>
      </c>
      <c r="R106" s="616">
        <f t="shared" ref="R106:AZ106" si="113">SUM(R101:R105)</f>
        <v>0</v>
      </c>
      <c r="S106" s="614">
        <f t="shared" si="113"/>
        <v>0</v>
      </c>
      <c r="T106" s="614">
        <f t="shared" si="113"/>
        <v>0</v>
      </c>
      <c r="U106" s="614">
        <f t="shared" si="113"/>
        <v>0</v>
      </c>
      <c r="V106" s="614">
        <f t="shared" si="113"/>
        <v>0</v>
      </c>
      <c r="W106" s="614">
        <f t="shared" si="113"/>
        <v>0</v>
      </c>
      <c r="X106" s="614">
        <f t="shared" si="113"/>
        <v>0</v>
      </c>
      <c r="Y106" s="614">
        <f t="shared" si="113"/>
        <v>0</v>
      </c>
      <c r="Z106" s="614">
        <f t="shared" si="113"/>
        <v>0</v>
      </c>
      <c r="AA106" s="614">
        <f t="shared" si="113"/>
        <v>0</v>
      </c>
      <c r="AB106" s="614">
        <f t="shared" si="113"/>
        <v>0</v>
      </c>
      <c r="AC106" s="614">
        <f t="shared" si="113"/>
        <v>0</v>
      </c>
      <c r="AD106" s="614">
        <f t="shared" si="113"/>
        <v>0</v>
      </c>
      <c r="AE106" s="614">
        <f t="shared" si="113"/>
        <v>0</v>
      </c>
      <c r="AF106" s="614">
        <f t="shared" si="113"/>
        <v>0</v>
      </c>
      <c r="AG106" s="614">
        <f t="shared" si="113"/>
        <v>0</v>
      </c>
      <c r="AH106" s="615">
        <f t="shared" si="113"/>
        <v>0</v>
      </c>
      <c r="AI106" s="615">
        <f t="shared" si="113"/>
        <v>0</v>
      </c>
      <c r="AJ106" s="615">
        <f t="shared" si="113"/>
        <v>0</v>
      </c>
      <c r="AK106" s="615">
        <f t="shared" si="113"/>
        <v>0</v>
      </c>
      <c r="AL106" s="615">
        <f t="shared" si="113"/>
        <v>0</v>
      </c>
      <c r="AM106" s="615">
        <f t="shared" si="113"/>
        <v>0</v>
      </c>
      <c r="AN106" s="615">
        <f t="shared" si="113"/>
        <v>0</v>
      </c>
      <c r="AO106" s="615">
        <f t="shared" si="113"/>
        <v>0</v>
      </c>
      <c r="AP106" s="615">
        <f t="shared" si="113"/>
        <v>0</v>
      </c>
      <c r="AQ106" s="386">
        <f t="shared" si="113"/>
        <v>0</v>
      </c>
      <c r="AR106" s="618">
        <f t="shared" si="113"/>
        <v>11599817</v>
      </c>
      <c r="AS106" s="614">
        <f t="shared" si="113"/>
        <v>8413617</v>
      </c>
      <c r="AT106" s="614">
        <f t="shared" si="113"/>
        <v>6825</v>
      </c>
      <c r="AU106" s="614">
        <f t="shared" si="113"/>
        <v>2846109</v>
      </c>
      <c r="AV106" s="614">
        <f t="shared" si="113"/>
        <v>168272</v>
      </c>
      <c r="AW106" s="614">
        <f t="shared" si="113"/>
        <v>164994</v>
      </c>
      <c r="AX106" s="615">
        <f t="shared" si="113"/>
        <v>17.420999999999999</v>
      </c>
      <c r="AY106" s="615">
        <f t="shared" si="113"/>
        <v>12.088599999999998</v>
      </c>
      <c r="AZ106" s="386">
        <f t="shared" si="113"/>
        <v>5.3323999999999998</v>
      </c>
    </row>
    <row r="107" spans="1:52" ht="12.95" customHeight="1" x14ac:dyDescent="0.25">
      <c r="A107" s="313">
        <v>21</v>
      </c>
      <c r="B107" s="229">
        <v>3427</v>
      </c>
      <c r="C107" s="229">
        <v>650023340</v>
      </c>
      <c r="D107" s="314">
        <v>70982988</v>
      </c>
      <c r="E107" s="228" t="s">
        <v>523</v>
      </c>
      <c r="F107" s="229">
        <v>3111</v>
      </c>
      <c r="G107" s="412" t="s">
        <v>326</v>
      </c>
      <c r="H107" s="318" t="s">
        <v>278</v>
      </c>
      <c r="I107" s="494">
        <v>2954307</v>
      </c>
      <c r="J107" s="489">
        <v>2160241</v>
      </c>
      <c r="K107" s="489">
        <v>0</v>
      </c>
      <c r="L107" s="489">
        <v>730161</v>
      </c>
      <c r="M107" s="489">
        <v>43205</v>
      </c>
      <c r="N107" s="489">
        <v>20700</v>
      </c>
      <c r="O107" s="490">
        <v>4.7218</v>
      </c>
      <c r="P107" s="491">
        <v>3.7</v>
      </c>
      <c r="Q107" s="500">
        <v>1.0218</v>
      </c>
      <c r="R107" s="502">
        <f t="shared" si="78"/>
        <v>0</v>
      </c>
      <c r="S107" s="492">
        <v>0</v>
      </c>
      <c r="T107" s="492">
        <v>0</v>
      </c>
      <c r="U107" s="492">
        <v>0</v>
      </c>
      <c r="V107" s="492">
        <f t="shared" si="79"/>
        <v>0</v>
      </c>
      <c r="W107" s="713">
        <v>0</v>
      </c>
      <c r="X107" s="492">
        <v>0</v>
      </c>
      <c r="Y107" s="492">
        <v>0</v>
      </c>
      <c r="Z107" s="492">
        <f t="shared" ref="Z107:Z112" si="114">SUM(W107:Y107)</f>
        <v>0</v>
      </c>
      <c r="AA107" s="492">
        <f t="shared" ref="AA107:AA112" si="115">V107+Z107</f>
        <v>0</v>
      </c>
      <c r="AB107" s="74">
        <f t="shared" ref="AB107:AB112" si="116">ROUND((V107+W107+X107)*33.8%,0)</f>
        <v>0</v>
      </c>
      <c r="AC107" s="74">
        <f t="shared" ref="AC107:AC112" si="117">ROUND(V107*2%,0)</f>
        <v>0</v>
      </c>
      <c r="AD107" s="492">
        <v>0</v>
      </c>
      <c r="AE107" s="492">
        <v>0</v>
      </c>
      <c r="AF107" s="492">
        <f t="shared" si="80"/>
        <v>0</v>
      </c>
      <c r="AG107" s="492">
        <f t="shared" si="81"/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 t="shared" ref="AO107:AO112" si="118">AH107+AJ107+AM107</f>
        <v>0</v>
      </c>
      <c r="AP107" s="493">
        <f t="shared" ref="AP107:AP112" si="119">AI107+AN107</f>
        <v>0</v>
      </c>
      <c r="AQ107" s="495">
        <f t="shared" si="82"/>
        <v>0</v>
      </c>
      <c r="AR107" s="501">
        <f t="shared" ref="AR107:AR112" si="120">I107+AG107</f>
        <v>2954307</v>
      </c>
      <c r="AS107" s="492">
        <f t="shared" ref="AS107:AS112" si="121">J107+V107</f>
        <v>2160241</v>
      </c>
      <c r="AT107" s="492">
        <f t="shared" ref="AT107:AT112" si="122">K107+Z107</f>
        <v>0</v>
      </c>
      <c r="AU107" s="492">
        <f t="shared" ref="AU107:AV112" si="123">L107+AB107</f>
        <v>730161</v>
      </c>
      <c r="AV107" s="492">
        <f t="shared" si="123"/>
        <v>43205</v>
      </c>
      <c r="AW107" s="492">
        <f t="shared" ref="AW107:AW112" si="124">N107+AF107</f>
        <v>20700</v>
      </c>
      <c r="AX107" s="493">
        <f t="shared" ref="AX107:AX112" si="125">O107+AQ107</f>
        <v>4.7218</v>
      </c>
      <c r="AY107" s="493">
        <f t="shared" ref="AY107:AZ112" si="126">P107+AO107</f>
        <v>3.7</v>
      </c>
      <c r="AZ107" s="495">
        <f t="shared" si="126"/>
        <v>1.0218</v>
      </c>
    </row>
    <row r="108" spans="1:52" ht="12.95" customHeight="1" x14ac:dyDescent="0.25">
      <c r="A108" s="313">
        <v>21</v>
      </c>
      <c r="B108" s="229">
        <v>3427</v>
      </c>
      <c r="C108" s="229">
        <v>650023340</v>
      </c>
      <c r="D108" s="314">
        <v>70982988</v>
      </c>
      <c r="E108" s="411" t="s">
        <v>523</v>
      </c>
      <c r="F108" s="229">
        <v>3113</v>
      </c>
      <c r="G108" s="411" t="s">
        <v>330</v>
      </c>
      <c r="H108" s="318" t="s">
        <v>278</v>
      </c>
      <c r="I108" s="494">
        <v>12494822</v>
      </c>
      <c r="J108" s="489">
        <v>9017705</v>
      </c>
      <c r="K108" s="489">
        <v>16770</v>
      </c>
      <c r="L108" s="489">
        <v>3053653</v>
      </c>
      <c r="M108" s="489">
        <v>180354</v>
      </c>
      <c r="N108" s="489">
        <v>226340</v>
      </c>
      <c r="O108" s="490">
        <v>18.040499999999998</v>
      </c>
      <c r="P108" s="491">
        <v>13.000299999999999</v>
      </c>
      <c r="Q108" s="491">
        <v>5.0401999999999996</v>
      </c>
      <c r="R108" s="502">
        <f t="shared" si="78"/>
        <v>0</v>
      </c>
      <c r="S108" s="492">
        <v>0</v>
      </c>
      <c r="T108" s="492">
        <v>0</v>
      </c>
      <c r="U108" s="492">
        <v>0</v>
      </c>
      <c r="V108" s="492">
        <f t="shared" si="79"/>
        <v>0</v>
      </c>
      <c r="W108" s="713">
        <v>0</v>
      </c>
      <c r="X108" s="492">
        <v>0</v>
      </c>
      <c r="Y108" s="492">
        <v>0</v>
      </c>
      <c r="Z108" s="492">
        <f t="shared" si="114"/>
        <v>0</v>
      </c>
      <c r="AA108" s="492">
        <f t="shared" si="115"/>
        <v>0</v>
      </c>
      <c r="AB108" s="74">
        <f t="shared" si="116"/>
        <v>0</v>
      </c>
      <c r="AC108" s="74">
        <f t="shared" si="117"/>
        <v>0</v>
      </c>
      <c r="AD108" s="492">
        <v>0</v>
      </c>
      <c r="AE108" s="492">
        <v>0</v>
      </c>
      <c r="AF108" s="492">
        <f t="shared" si="80"/>
        <v>0</v>
      </c>
      <c r="AG108" s="492">
        <f t="shared" si="81"/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si="118"/>
        <v>0</v>
      </c>
      <c r="AP108" s="493">
        <f t="shared" si="119"/>
        <v>0</v>
      </c>
      <c r="AQ108" s="495">
        <f t="shared" si="82"/>
        <v>0</v>
      </c>
      <c r="AR108" s="501">
        <f t="shared" si="120"/>
        <v>12494822</v>
      </c>
      <c r="AS108" s="492">
        <f t="shared" si="121"/>
        <v>9017705</v>
      </c>
      <c r="AT108" s="492">
        <f t="shared" si="122"/>
        <v>16770</v>
      </c>
      <c r="AU108" s="492">
        <f t="shared" si="123"/>
        <v>3053653</v>
      </c>
      <c r="AV108" s="492">
        <f t="shared" si="123"/>
        <v>180354</v>
      </c>
      <c r="AW108" s="492">
        <f t="shared" si="124"/>
        <v>226340</v>
      </c>
      <c r="AX108" s="493">
        <f t="shared" si="125"/>
        <v>18.040499999999998</v>
      </c>
      <c r="AY108" s="493">
        <f t="shared" si="126"/>
        <v>13.000299999999999</v>
      </c>
      <c r="AZ108" s="495">
        <f t="shared" si="126"/>
        <v>5.0401999999999996</v>
      </c>
    </row>
    <row r="109" spans="1:52" ht="12.95" customHeight="1" x14ac:dyDescent="0.25">
      <c r="A109" s="313">
        <v>21</v>
      </c>
      <c r="B109" s="229">
        <v>3427</v>
      </c>
      <c r="C109" s="229">
        <v>650023340</v>
      </c>
      <c r="D109" s="314">
        <v>70982988</v>
      </c>
      <c r="E109" s="411" t="s">
        <v>523</v>
      </c>
      <c r="F109" s="229">
        <v>3113</v>
      </c>
      <c r="G109" s="356" t="s">
        <v>313</v>
      </c>
      <c r="H109" s="318" t="s">
        <v>279</v>
      </c>
      <c r="I109" s="494">
        <v>1621540</v>
      </c>
      <c r="J109" s="489">
        <v>1194065</v>
      </c>
      <c r="K109" s="489">
        <v>0</v>
      </c>
      <c r="L109" s="489">
        <v>403594</v>
      </c>
      <c r="M109" s="489">
        <v>23881</v>
      </c>
      <c r="N109" s="489">
        <v>0</v>
      </c>
      <c r="O109" s="490">
        <v>3.57</v>
      </c>
      <c r="P109" s="491">
        <v>3.57</v>
      </c>
      <c r="Q109" s="500">
        <v>0</v>
      </c>
      <c r="R109" s="502">
        <f t="shared" si="78"/>
        <v>0</v>
      </c>
      <c r="S109" s="492">
        <v>0</v>
      </c>
      <c r="T109" s="492">
        <v>0</v>
      </c>
      <c r="U109" s="492">
        <v>0</v>
      </c>
      <c r="V109" s="492">
        <f t="shared" si="79"/>
        <v>0</v>
      </c>
      <c r="W109" s="713">
        <v>0</v>
      </c>
      <c r="X109" s="492">
        <v>0</v>
      </c>
      <c r="Y109" s="492">
        <v>0</v>
      </c>
      <c r="Z109" s="492">
        <f t="shared" si="114"/>
        <v>0</v>
      </c>
      <c r="AA109" s="492">
        <f t="shared" si="115"/>
        <v>0</v>
      </c>
      <c r="AB109" s="74">
        <f t="shared" si="116"/>
        <v>0</v>
      </c>
      <c r="AC109" s="74">
        <f t="shared" si="117"/>
        <v>0</v>
      </c>
      <c r="AD109" s="492">
        <v>0</v>
      </c>
      <c r="AE109" s="492">
        <v>0</v>
      </c>
      <c r="AF109" s="492">
        <f t="shared" si="80"/>
        <v>0</v>
      </c>
      <c r="AG109" s="492">
        <f t="shared" si="81"/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si="118"/>
        <v>0</v>
      </c>
      <c r="AP109" s="493">
        <f t="shared" si="119"/>
        <v>0</v>
      </c>
      <c r="AQ109" s="495">
        <f t="shared" si="82"/>
        <v>0</v>
      </c>
      <c r="AR109" s="501">
        <f t="shared" si="120"/>
        <v>1621540</v>
      </c>
      <c r="AS109" s="492">
        <f t="shared" si="121"/>
        <v>1194065</v>
      </c>
      <c r="AT109" s="492">
        <f t="shared" si="122"/>
        <v>0</v>
      </c>
      <c r="AU109" s="492">
        <f t="shared" si="123"/>
        <v>403594</v>
      </c>
      <c r="AV109" s="492">
        <f t="shared" si="123"/>
        <v>23881</v>
      </c>
      <c r="AW109" s="492">
        <f t="shared" si="124"/>
        <v>0</v>
      </c>
      <c r="AX109" s="493">
        <f t="shared" si="125"/>
        <v>3.57</v>
      </c>
      <c r="AY109" s="493">
        <f t="shared" si="126"/>
        <v>3.57</v>
      </c>
      <c r="AZ109" s="495">
        <f t="shared" si="126"/>
        <v>0</v>
      </c>
    </row>
    <row r="110" spans="1:52" ht="12.95" customHeight="1" x14ac:dyDescent="0.25">
      <c r="A110" s="313">
        <v>21</v>
      </c>
      <c r="B110" s="229">
        <v>3427</v>
      </c>
      <c r="C110" s="229">
        <v>650023340</v>
      </c>
      <c r="D110" s="314">
        <v>70982988</v>
      </c>
      <c r="E110" s="410" t="s">
        <v>523</v>
      </c>
      <c r="F110" s="421">
        <v>3141</v>
      </c>
      <c r="G110" s="412" t="s">
        <v>316</v>
      </c>
      <c r="H110" s="318" t="s">
        <v>279</v>
      </c>
      <c r="I110" s="494">
        <v>1752790</v>
      </c>
      <c r="J110" s="489">
        <v>1282414</v>
      </c>
      <c r="K110" s="489">
        <v>0</v>
      </c>
      <c r="L110" s="489">
        <v>433456</v>
      </c>
      <c r="M110" s="489">
        <v>25648</v>
      </c>
      <c r="N110" s="489">
        <v>11272</v>
      </c>
      <c r="O110" s="490">
        <v>4.04</v>
      </c>
      <c r="P110" s="491">
        <v>0</v>
      </c>
      <c r="Q110" s="500">
        <v>4.04</v>
      </c>
      <c r="R110" s="502">
        <f t="shared" si="78"/>
        <v>0</v>
      </c>
      <c r="S110" s="492">
        <v>0</v>
      </c>
      <c r="T110" s="492">
        <v>0</v>
      </c>
      <c r="U110" s="492">
        <v>0</v>
      </c>
      <c r="V110" s="492">
        <f t="shared" si="79"/>
        <v>0</v>
      </c>
      <c r="W110" s="713">
        <v>0</v>
      </c>
      <c r="X110" s="492">
        <v>0</v>
      </c>
      <c r="Y110" s="492">
        <v>0</v>
      </c>
      <c r="Z110" s="492">
        <f t="shared" si="114"/>
        <v>0</v>
      </c>
      <c r="AA110" s="492">
        <f t="shared" si="115"/>
        <v>0</v>
      </c>
      <c r="AB110" s="74">
        <f t="shared" si="116"/>
        <v>0</v>
      </c>
      <c r="AC110" s="74">
        <f t="shared" si="117"/>
        <v>0</v>
      </c>
      <c r="AD110" s="492">
        <v>0</v>
      </c>
      <c r="AE110" s="492">
        <v>0</v>
      </c>
      <c r="AF110" s="492">
        <f t="shared" si="80"/>
        <v>0</v>
      </c>
      <c r="AG110" s="492">
        <f t="shared" si="81"/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118"/>
        <v>0</v>
      </c>
      <c r="AP110" s="493">
        <f t="shared" si="119"/>
        <v>0</v>
      </c>
      <c r="AQ110" s="495">
        <f t="shared" si="82"/>
        <v>0</v>
      </c>
      <c r="AR110" s="501">
        <f t="shared" si="120"/>
        <v>1752790</v>
      </c>
      <c r="AS110" s="492">
        <f t="shared" si="121"/>
        <v>1282414</v>
      </c>
      <c r="AT110" s="492">
        <f t="shared" si="122"/>
        <v>0</v>
      </c>
      <c r="AU110" s="492">
        <f t="shared" si="123"/>
        <v>433456</v>
      </c>
      <c r="AV110" s="492">
        <f t="shared" si="123"/>
        <v>25648</v>
      </c>
      <c r="AW110" s="492">
        <f t="shared" si="124"/>
        <v>11272</v>
      </c>
      <c r="AX110" s="493">
        <f t="shared" si="125"/>
        <v>4.04</v>
      </c>
      <c r="AY110" s="493">
        <f t="shared" si="126"/>
        <v>0</v>
      </c>
      <c r="AZ110" s="495">
        <f t="shared" si="126"/>
        <v>4.04</v>
      </c>
    </row>
    <row r="111" spans="1:52" ht="12.95" customHeight="1" x14ac:dyDescent="0.25">
      <c r="A111" s="313">
        <v>21</v>
      </c>
      <c r="B111" s="229">
        <v>3427</v>
      </c>
      <c r="C111" s="229">
        <v>650023340</v>
      </c>
      <c r="D111" s="314">
        <v>70982988</v>
      </c>
      <c r="E111" s="411" t="s">
        <v>523</v>
      </c>
      <c r="F111" s="229">
        <v>3143</v>
      </c>
      <c r="G111" s="356" t="s">
        <v>629</v>
      </c>
      <c r="H111" s="318" t="s">
        <v>278</v>
      </c>
      <c r="I111" s="494">
        <v>1130190</v>
      </c>
      <c r="J111" s="489">
        <v>832246</v>
      </c>
      <c r="K111" s="489">
        <v>0</v>
      </c>
      <c r="L111" s="489">
        <v>281299</v>
      </c>
      <c r="M111" s="489">
        <v>16645</v>
      </c>
      <c r="N111" s="489">
        <v>0</v>
      </c>
      <c r="O111" s="490">
        <v>1.7142999999999999</v>
      </c>
      <c r="P111" s="491">
        <v>1.7142999999999999</v>
      </c>
      <c r="Q111" s="500">
        <v>0</v>
      </c>
      <c r="R111" s="502">
        <f t="shared" si="78"/>
        <v>0</v>
      </c>
      <c r="S111" s="492">
        <v>0</v>
      </c>
      <c r="T111" s="492">
        <v>0</v>
      </c>
      <c r="U111" s="492">
        <v>0</v>
      </c>
      <c r="V111" s="492">
        <f t="shared" si="79"/>
        <v>0</v>
      </c>
      <c r="W111" s="713">
        <v>0</v>
      </c>
      <c r="X111" s="492">
        <v>0</v>
      </c>
      <c r="Y111" s="492">
        <v>0</v>
      </c>
      <c r="Z111" s="492">
        <f t="shared" si="114"/>
        <v>0</v>
      </c>
      <c r="AA111" s="492">
        <f t="shared" si="115"/>
        <v>0</v>
      </c>
      <c r="AB111" s="74">
        <f t="shared" si="116"/>
        <v>0</v>
      </c>
      <c r="AC111" s="74">
        <f t="shared" si="117"/>
        <v>0</v>
      </c>
      <c r="AD111" s="492">
        <v>0</v>
      </c>
      <c r="AE111" s="492">
        <v>0</v>
      </c>
      <c r="AF111" s="492">
        <f t="shared" si="80"/>
        <v>0</v>
      </c>
      <c r="AG111" s="492">
        <f t="shared" si="81"/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si="118"/>
        <v>0</v>
      </c>
      <c r="AP111" s="493">
        <f t="shared" si="119"/>
        <v>0</v>
      </c>
      <c r="AQ111" s="495">
        <f t="shared" si="82"/>
        <v>0</v>
      </c>
      <c r="AR111" s="501">
        <f t="shared" si="120"/>
        <v>1130190</v>
      </c>
      <c r="AS111" s="492">
        <f t="shared" si="121"/>
        <v>832246</v>
      </c>
      <c r="AT111" s="492">
        <f t="shared" si="122"/>
        <v>0</v>
      </c>
      <c r="AU111" s="492">
        <f t="shared" si="123"/>
        <v>281299</v>
      </c>
      <c r="AV111" s="492">
        <f t="shared" si="123"/>
        <v>16645</v>
      </c>
      <c r="AW111" s="492">
        <f t="shared" si="124"/>
        <v>0</v>
      </c>
      <c r="AX111" s="493">
        <f t="shared" si="125"/>
        <v>1.7142999999999999</v>
      </c>
      <c r="AY111" s="493">
        <f t="shared" si="126"/>
        <v>1.7142999999999999</v>
      </c>
      <c r="AZ111" s="495">
        <f t="shared" si="126"/>
        <v>0</v>
      </c>
    </row>
    <row r="112" spans="1:52" ht="12.95" customHeight="1" x14ac:dyDescent="0.25">
      <c r="A112" s="313">
        <v>21</v>
      </c>
      <c r="B112" s="229">
        <v>3427</v>
      </c>
      <c r="C112" s="229">
        <v>650023340</v>
      </c>
      <c r="D112" s="314">
        <v>70982988</v>
      </c>
      <c r="E112" s="411" t="s">
        <v>523</v>
      </c>
      <c r="F112" s="229">
        <v>3143</v>
      </c>
      <c r="G112" s="356" t="s">
        <v>630</v>
      </c>
      <c r="H112" s="318" t="s">
        <v>279</v>
      </c>
      <c r="I112" s="494">
        <v>33264</v>
      </c>
      <c r="J112" s="489">
        <v>23523</v>
      </c>
      <c r="K112" s="489">
        <v>0</v>
      </c>
      <c r="L112" s="489">
        <v>7951</v>
      </c>
      <c r="M112" s="489">
        <v>470</v>
      </c>
      <c r="N112" s="489">
        <v>1320</v>
      </c>
      <c r="O112" s="490">
        <v>0.09</v>
      </c>
      <c r="P112" s="491">
        <v>0</v>
      </c>
      <c r="Q112" s="500">
        <v>0.09</v>
      </c>
      <c r="R112" s="502">
        <f t="shared" si="78"/>
        <v>0</v>
      </c>
      <c r="S112" s="492">
        <v>0</v>
      </c>
      <c r="T112" s="492">
        <v>0</v>
      </c>
      <c r="U112" s="492">
        <v>0</v>
      </c>
      <c r="V112" s="492">
        <f t="shared" si="79"/>
        <v>0</v>
      </c>
      <c r="W112" s="713">
        <v>0</v>
      </c>
      <c r="X112" s="492">
        <v>0</v>
      </c>
      <c r="Y112" s="492">
        <v>0</v>
      </c>
      <c r="Z112" s="492">
        <f t="shared" si="114"/>
        <v>0</v>
      </c>
      <c r="AA112" s="492">
        <f t="shared" si="115"/>
        <v>0</v>
      </c>
      <c r="AB112" s="74">
        <f t="shared" si="116"/>
        <v>0</v>
      </c>
      <c r="AC112" s="74">
        <f t="shared" si="117"/>
        <v>0</v>
      </c>
      <c r="AD112" s="492">
        <v>0</v>
      </c>
      <c r="AE112" s="492">
        <v>0</v>
      </c>
      <c r="AF112" s="492">
        <f t="shared" si="80"/>
        <v>0</v>
      </c>
      <c r="AG112" s="492">
        <f t="shared" si="81"/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118"/>
        <v>0</v>
      </c>
      <c r="AP112" s="493">
        <f t="shared" si="119"/>
        <v>0</v>
      </c>
      <c r="AQ112" s="495">
        <f t="shared" si="82"/>
        <v>0</v>
      </c>
      <c r="AR112" s="501">
        <f t="shared" si="120"/>
        <v>33264</v>
      </c>
      <c r="AS112" s="492">
        <f t="shared" si="121"/>
        <v>23523</v>
      </c>
      <c r="AT112" s="492">
        <f t="shared" si="122"/>
        <v>0</v>
      </c>
      <c r="AU112" s="492">
        <f t="shared" si="123"/>
        <v>7951</v>
      </c>
      <c r="AV112" s="492">
        <f t="shared" si="123"/>
        <v>470</v>
      </c>
      <c r="AW112" s="492">
        <f t="shared" si="124"/>
        <v>1320</v>
      </c>
      <c r="AX112" s="493">
        <f t="shared" si="125"/>
        <v>0.09</v>
      </c>
      <c r="AY112" s="493">
        <f t="shared" si="126"/>
        <v>0</v>
      </c>
      <c r="AZ112" s="495">
        <f t="shared" si="126"/>
        <v>0.09</v>
      </c>
    </row>
    <row r="113" spans="1:52" ht="12.95" customHeight="1" x14ac:dyDescent="0.25">
      <c r="A113" s="230">
        <v>21</v>
      </c>
      <c r="B113" s="51">
        <v>3427</v>
      </c>
      <c r="C113" s="51">
        <v>650023340</v>
      </c>
      <c r="D113" s="51">
        <v>70982988</v>
      </c>
      <c r="E113" s="413" t="s">
        <v>524</v>
      </c>
      <c r="F113" s="50"/>
      <c r="G113" s="413"/>
      <c r="H113" s="194"/>
      <c r="I113" s="636">
        <v>19986913</v>
      </c>
      <c r="J113" s="633">
        <v>14510194</v>
      </c>
      <c r="K113" s="633">
        <v>16770</v>
      </c>
      <c r="L113" s="633">
        <v>4910114</v>
      </c>
      <c r="M113" s="633">
        <v>290203</v>
      </c>
      <c r="N113" s="633">
        <v>259632</v>
      </c>
      <c r="O113" s="634">
        <v>32.176600000000001</v>
      </c>
      <c r="P113" s="634">
        <v>21.9846</v>
      </c>
      <c r="Q113" s="638">
        <v>10.192</v>
      </c>
      <c r="R113" s="636">
        <f t="shared" ref="R113:AZ113" si="127">SUM(R107:R112)</f>
        <v>0</v>
      </c>
      <c r="S113" s="633">
        <f t="shared" si="127"/>
        <v>0</v>
      </c>
      <c r="T113" s="633">
        <f t="shared" si="127"/>
        <v>0</v>
      </c>
      <c r="U113" s="633">
        <f t="shared" si="127"/>
        <v>0</v>
      </c>
      <c r="V113" s="633">
        <f t="shared" si="127"/>
        <v>0</v>
      </c>
      <c r="W113" s="633">
        <f t="shared" si="127"/>
        <v>0</v>
      </c>
      <c r="X113" s="633">
        <f t="shared" si="127"/>
        <v>0</v>
      </c>
      <c r="Y113" s="633">
        <f t="shared" si="127"/>
        <v>0</v>
      </c>
      <c r="Z113" s="633">
        <f t="shared" si="127"/>
        <v>0</v>
      </c>
      <c r="AA113" s="633">
        <f t="shared" si="127"/>
        <v>0</v>
      </c>
      <c r="AB113" s="633">
        <f t="shared" si="127"/>
        <v>0</v>
      </c>
      <c r="AC113" s="633">
        <f t="shared" si="127"/>
        <v>0</v>
      </c>
      <c r="AD113" s="633">
        <f t="shared" si="127"/>
        <v>0</v>
      </c>
      <c r="AE113" s="633">
        <f t="shared" si="127"/>
        <v>0</v>
      </c>
      <c r="AF113" s="633">
        <f t="shared" si="127"/>
        <v>0</v>
      </c>
      <c r="AG113" s="633">
        <f t="shared" si="127"/>
        <v>0</v>
      </c>
      <c r="AH113" s="634">
        <f t="shared" si="127"/>
        <v>0</v>
      </c>
      <c r="AI113" s="634">
        <f t="shared" si="127"/>
        <v>0</v>
      </c>
      <c r="AJ113" s="634">
        <f t="shared" si="127"/>
        <v>0</v>
      </c>
      <c r="AK113" s="634">
        <f t="shared" si="127"/>
        <v>0</v>
      </c>
      <c r="AL113" s="634">
        <f t="shared" si="127"/>
        <v>0</v>
      </c>
      <c r="AM113" s="634">
        <f t="shared" si="127"/>
        <v>0</v>
      </c>
      <c r="AN113" s="634">
        <f t="shared" si="127"/>
        <v>0</v>
      </c>
      <c r="AO113" s="634">
        <f t="shared" si="127"/>
        <v>0</v>
      </c>
      <c r="AP113" s="634">
        <f t="shared" si="127"/>
        <v>0</v>
      </c>
      <c r="AQ113" s="418">
        <f t="shared" si="127"/>
        <v>0</v>
      </c>
      <c r="AR113" s="640">
        <f t="shared" si="127"/>
        <v>19986913</v>
      </c>
      <c r="AS113" s="633">
        <f t="shared" si="127"/>
        <v>14510194</v>
      </c>
      <c r="AT113" s="633">
        <f t="shared" si="127"/>
        <v>16770</v>
      </c>
      <c r="AU113" s="633">
        <f t="shared" si="127"/>
        <v>4910114</v>
      </c>
      <c r="AV113" s="633">
        <f t="shared" si="127"/>
        <v>290203</v>
      </c>
      <c r="AW113" s="633">
        <f t="shared" si="127"/>
        <v>259632</v>
      </c>
      <c r="AX113" s="634">
        <f t="shared" si="127"/>
        <v>32.176600000000001</v>
      </c>
      <c r="AY113" s="634">
        <f t="shared" si="127"/>
        <v>21.9846</v>
      </c>
      <c r="AZ113" s="418">
        <f t="shared" si="127"/>
        <v>10.192</v>
      </c>
    </row>
    <row r="114" spans="1:52" ht="12.95" customHeight="1" x14ac:dyDescent="0.25">
      <c r="A114" s="313">
        <v>22</v>
      </c>
      <c r="B114" s="229">
        <v>5484</v>
      </c>
      <c r="C114" s="229">
        <v>600098532</v>
      </c>
      <c r="D114" s="314">
        <v>72743255</v>
      </c>
      <c r="E114" s="411" t="s">
        <v>525</v>
      </c>
      <c r="F114" s="229">
        <v>3111</v>
      </c>
      <c r="G114" s="412" t="s">
        <v>326</v>
      </c>
      <c r="H114" s="318" t="s">
        <v>278</v>
      </c>
      <c r="I114" s="494">
        <v>6338450</v>
      </c>
      <c r="J114" s="489">
        <v>4642636</v>
      </c>
      <c r="K114" s="489">
        <v>0</v>
      </c>
      <c r="L114" s="489">
        <v>1569211</v>
      </c>
      <c r="M114" s="489">
        <v>92853</v>
      </c>
      <c r="N114" s="489">
        <v>33750</v>
      </c>
      <c r="O114" s="490">
        <v>10.668199999999999</v>
      </c>
      <c r="P114" s="491">
        <v>8</v>
      </c>
      <c r="Q114" s="500">
        <v>2.6681999999999997</v>
      </c>
      <c r="R114" s="502">
        <f t="shared" si="78"/>
        <v>0</v>
      </c>
      <c r="S114" s="492">
        <v>0</v>
      </c>
      <c r="T114" s="492">
        <v>0</v>
      </c>
      <c r="U114" s="492">
        <v>0</v>
      </c>
      <c r="V114" s="492">
        <f t="shared" si="79"/>
        <v>0</v>
      </c>
      <c r="W114" s="492">
        <v>0</v>
      </c>
      <c r="X114" s="492">
        <v>0</v>
      </c>
      <c r="Y114" s="492">
        <v>0</v>
      </c>
      <c r="Z114" s="492">
        <f>SUM(W114:Y114)</f>
        <v>0</v>
      </c>
      <c r="AA114" s="492">
        <f>V114+Z114</f>
        <v>0</v>
      </c>
      <c r="AB114" s="74">
        <f>ROUND((V114+W114+X114)*33.8%,0)</f>
        <v>0</v>
      </c>
      <c r="AC114" s="74">
        <f>ROUND(V114*2%,0)</f>
        <v>0</v>
      </c>
      <c r="AD114" s="492">
        <v>0</v>
      </c>
      <c r="AE114" s="492">
        <v>0</v>
      </c>
      <c r="AF114" s="492">
        <f t="shared" si="80"/>
        <v>0</v>
      </c>
      <c r="AG114" s="492">
        <f t="shared" si="81"/>
        <v>0</v>
      </c>
      <c r="AH114" s="493">
        <v>0</v>
      </c>
      <c r="AI114" s="493">
        <v>0</v>
      </c>
      <c r="AJ114" s="493">
        <v>0</v>
      </c>
      <c r="AK114" s="493">
        <v>0</v>
      </c>
      <c r="AL114" s="493">
        <v>0</v>
      </c>
      <c r="AM114" s="493">
        <v>0</v>
      </c>
      <c r="AN114" s="493">
        <v>0</v>
      </c>
      <c r="AO114" s="493">
        <f>AH114+AJ114+AM114</f>
        <v>0</v>
      </c>
      <c r="AP114" s="493">
        <f>AI114+AN114</f>
        <v>0</v>
      </c>
      <c r="AQ114" s="495">
        <f t="shared" si="82"/>
        <v>0</v>
      </c>
      <c r="AR114" s="501">
        <f>I114+AG114</f>
        <v>6338450</v>
      </c>
      <c r="AS114" s="492">
        <f>J114+V114</f>
        <v>4642636</v>
      </c>
      <c r="AT114" s="492">
        <f t="shared" ref="AT114:AT115" si="128">K114+Z114</f>
        <v>0</v>
      </c>
      <c r="AU114" s="492">
        <f>L114+AB114</f>
        <v>1569211</v>
      </c>
      <c r="AV114" s="492">
        <f>M114+AC114</f>
        <v>92853</v>
      </c>
      <c r="AW114" s="492">
        <f>N114+AF114</f>
        <v>33750</v>
      </c>
      <c r="AX114" s="493">
        <f>O114+AQ114</f>
        <v>10.668199999999999</v>
      </c>
      <c r="AY114" s="493">
        <f>P114+AO114</f>
        <v>8</v>
      </c>
      <c r="AZ114" s="495">
        <f>Q114+AP114</f>
        <v>2.6681999999999997</v>
      </c>
    </row>
    <row r="115" spans="1:52" ht="12.95" customHeight="1" x14ac:dyDescent="0.25">
      <c r="A115" s="313">
        <v>22</v>
      </c>
      <c r="B115" s="229">
        <v>5484</v>
      </c>
      <c r="C115" s="229">
        <v>600098532</v>
      </c>
      <c r="D115" s="314">
        <v>72743255</v>
      </c>
      <c r="E115" s="411" t="s">
        <v>525</v>
      </c>
      <c r="F115" s="229">
        <v>3141</v>
      </c>
      <c r="G115" s="412" t="s">
        <v>316</v>
      </c>
      <c r="H115" s="318" t="s">
        <v>279</v>
      </c>
      <c r="I115" s="494">
        <v>1348035</v>
      </c>
      <c r="J115" s="489">
        <v>987248</v>
      </c>
      <c r="K115" s="489">
        <v>0</v>
      </c>
      <c r="L115" s="489">
        <v>333690</v>
      </c>
      <c r="M115" s="489">
        <v>19745</v>
      </c>
      <c r="N115" s="489">
        <v>7352</v>
      </c>
      <c r="O115" s="490">
        <v>3.11</v>
      </c>
      <c r="P115" s="491">
        <v>0</v>
      </c>
      <c r="Q115" s="500">
        <v>3.11</v>
      </c>
      <c r="R115" s="502">
        <f t="shared" si="78"/>
        <v>0</v>
      </c>
      <c r="S115" s="492">
        <v>0</v>
      </c>
      <c r="T115" s="492">
        <v>0</v>
      </c>
      <c r="U115" s="492">
        <v>0</v>
      </c>
      <c r="V115" s="492">
        <f t="shared" si="79"/>
        <v>0</v>
      </c>
      <c r="W115" s="492">
        <v>0</v>
      </c>
      <c r="X115" s="492">
        <v>0</v>
      </c>
      <c r="Y115" s="492">
        <v>0</v>
      </c>
      <c r="Z115" s="492">
        <f>SUM(W115:Y115)</f>
        <v>0</v>
      </c>
      <c r="AA115" s="492">
        <f>V115+Z115</f>
        <v>0</v>
      </c>
      <c r="AB115" s="74">
        <f>ROUND((V115+W115+X115)*33.8%,0)</f>
        <v>0</v>
      </c>
      <c r="AC115" s="74">
        <f>ROUND(V115*2%,0)</f>
        <v>0</v>
      </c>
      <c r="AD115" s="492">
        <v>0</v>
      </c>
      <c r="AE115" s="492">
        <v>0</v>
      </c>
      <c r="AF115" s="492">
        <f t="shared" si="80"/>
        <v>0</v>
      </c>
      <c r="AG115" s="492">
        <f t="shared" si="81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>AH115+AJ115+AM115</f>
        <v>0</v>
      </c>
      <c r="AP115" s="493">
        <f>AI115+AN115</f>
        <v>0</v>
      </c>
      <c r="AQ115" s="495">
        <f t="shared" si="82"/>
        <v>0</v>
      </c>
      <c r="AR115" s="501">
        <f>I115+AG115</f>
        <v>1348035</v>
      </c>
      <c r="AS115" s="492">
        <f>J115+V115</f>
        <v>987248</v>
      </c>
      <c r="AT115" s="492">
        <f t="shared" si="128"/>
        <v>0</v>
      </c>
      <c r="AU115" s="492">
        <f>L115+AB115</f>
        <v>333690</v>
      </c>
      <c r="AV115" s="492">
        <f>M115+AC115</f>
        <v>19745</v>
      </c>
      <c r="AW115" s="492">
        <f>N115+AF115</f>
        <v>7352</v>
      </c>
      <c r="AX115" s="493">
        <f>O115+AQ115</f>
        <v>3.11</v>
      </c>
      <c r="AY115" s="493">
        <f>P115+AO115</f>
        <v>0</v>
      </c>
      <c r="AZ115" s="495">
        <f>Q115+AP115</f>
        <v>3.11</v>
      </c>
    </row>
    <row r="116" spans="1:52" ht="12.95" customHeight="1" x14ac:dyDescent="0.25">
      <c r="A116" s="230">
        <v>22</v>
      </c>
      <c r="B116" s="50">
        <v>5484</v>
      </c>
      <c r="C116" s="50">
        <v>600098532</v>
      </c>
      <c r="D116" s="50">
        <v>72743255</v>
      </c>
      <c r="E116" s="413" t="s">
        <v>526</v>
      </c>
      <c r="F116" s="50"/>
      <c r="G116" s="413"/>
      <c r="H116" s="194"/>
      <c r="I116" s="584">
        <v>7686485</v>
      </c>
      <c r="J116" s="580">
        <v>5629884</v>
      </c>
      <c r="K116" s="580">
        <v>0</v>
      </c>
      <c r="L116" s="580">
        <v>1902901</v>
      </c>
      <c r="M116" s="580">
        <v>112598</v>
      </c>
      <c r="N116" s="580">
        <v>41102</v>
      </c>
      <c r="O116" s="581">
        <v>13.778199999999998</v>
      </c>
      <c r="P116" s="581">
        <v>8</v>
      </c>
      <c r="Q116" s="586">
        <v>5.7782</v>
      </c>
      <c r="R116" s="584">
        <f t="shared" ref="R116:AZ116" si="129">SUM(R114:R115)</f>
        <v>0</v>
      </c>
      <c r="S116" s="580">
        <f t="shared" si="129"/>
        <v>0</v>
      </c>
      <c r="T116" s="580">
        <f t="shared" si="129"/>
        <v>0</v>
      </c>
      <c r="U116" s="580">
        <f t="shared" si="129"/>
        <v>0</v>
      </c>
      <c r="V116" s="580">
        <f t="shared" si="129"/>
        <v>0</v>
      </c>
      <c r="W116" s="580">
        <f t="shared" si="129"/>
        <v>0</v>
      </c>
      <c r="X116" s="580">
        <f t="shared" si="129"/>
        <v>0</v>
      </c>
      <c r="Y116" s="580">
        <f t="shared" si="129"/>
        <v>0</v>
      </c>
      <c r="Z116" s="580">
        <f t="shared" si="129"/>
        <v>0</v>
      </c>
      <c r="AA116" s="580">
        <f t="shared" si="129"/>
        <v>0</v>
      </c>
      <c r="AB116" s="580">
        <f t="shared" si="129"/>
        <v>0</v>
      </c>
      <c r="AC116" s="580">
        <f t="shared" si="129"/>
        <v>0</v>
      </c>
      <c r="AD116" s="580">
        <f t="shared" si="129"/>
        <v>0</v>
      </c>
      <c r="AE116" s="580">
        <f t="shared" si="129"/>
        <v>0</v>
      </c>
      <c r="AF116" s="580">
        <f t="shared" si="129"/>
        <v>0</v>
      </c>
      <c r="AG116" s="580">
        <f t="shared" si="129"/>
        <v>0</v>
      </c>
      <c r="AH116" s="581">
        <f t="shared" si="129"/>
        <v>0</v>
      </c>
      <c r="AI116" s="581">
        <f t="shared" si="129"/>
        <v>0</v>
      </c>
      <c r="AJ116" s="581">
        <f t="shared" si="129"/>
        <v>0</v>
      </c>
      <c r="AK116" s="581">
        <f t="shared" si="129"/>
        <v>0</v>
      </c>
      <c r="AL116" s="581">
        <f t="shared" si="129"/>
        <v>0</v>
      </c>
      <c r="AM116" s="581">
        <f t="shared" si="129"/>
        <v>0</v>
      </c>
      <c r="AN116" s="581">
        <f t="shared" si="129"/>
        <v>0</v>
      </c>
      <c r="AO116" s="581">
        <f t="shared" si="129"/>
        <v>0</v>
      </c>
      <c r="AP116" s="581">
        <f t="shared" si="129"/>
        <v>0</v>
      </c>
      <c r="AQ116" s="312">
        <f t="shared" si="129"/>
        <v>0</v>
      </c>
      <c r="AR116" s="588">
        <f t="shared" si="129"/>
        <v>7686485</v>
      </c>
      <c r="AS116" s="580">
        <f t="shared" si="129"/>
        <v>5629884</v>
      </c>
      <c r="AT116" s="580">
        <f t="shared" si="129"/>
        <v>0</v>
      </c>
      <c r="AU116" s="580">
        <f t="shared" si="129"/>
        <v>1902901</v>
      </c>
      <c r="AV116" s="580">
        <f t="shared" si="129"/>
        <v>112598</v>
      </c>
      <c r="AW116" s="580">
        <f t="shared" si="129"/>
        <v>41102</v>
      </c>
      <c r="AX116" s="581">
        <f t="shared" si="129"/>
        <v>13.778199999999998</v>
      </c>
      <c r="AY116" s="581">
        <f t="shared" si="129"/>
        <v>8</v>
      </c>
      <c r="AZ116" s="312">
        <f t="shared" si="129"/>
        <v>5.7782</v>
      </c>
    </row>
    <row r="117" spans="1:52" ht="12.95" customHeight="1" x14ac:dyDescent="0.25">
      <c r="A117" s="313">
        <v>23</v>
      </c>
      <c r="B117" s="229">
        <v>5485</v>
      </c>
      <c r="C117" s="229">
        <v>600099300</v>
      </c>
      <c r="D117" s="314">
        <v>72743174</v>
      </c>
      <c r="E117" s="411" t="s">
        <v>527</v>
      </c>
      <c r="F117" s="229">
        <v>3117</v>
      </c>
      <c r="G117" s="411" t="s">
        <v>330</v>
      </c>
      <c r="H117" s="318" t="s">
        <v>278</v>
      </c>
      <c r="I117" s="494">
        <v>6115998</v>
      </c>
      <c r="J117" s="489">
        <v>4402944</v>
      </c>
      <c r="K117" s="489">
        <v>0</v>
      </c>
      <c r="L117" s="489">
        <v>1488195</v>
      </c>
      <c r="M117" s="489">
        <v>88059</v>
      </c>
      <c r="N117" s="489">
        <v>136800</v>
      </c>
      <c r="O117" s="490">
        <v>8.9179999999999993</v>
      </c>
      <c r="P117" s="491">
        <v>6.0903</v>
      </c>
      <c r="Q117" s="500">
        <v>2.8277000000000001</v>
      </c>
      <c r="R117" s="502">
        <f t="shared" si="78"/>
        <v>0</v>
      </c>
      <c r="S117" s="492">
        <v>0</v>
      </c>
      <c r="T117" s="492">
        <v>0</v>
      </c>
      <c r="U117" s="492">
        <v>0</v>
      </c>
      <c r="V117" s="492">
        <f t="shared" si="79"/>
        <v>0</v>
      </c>
      <c r="W117" s="492">
        <v>0</v>
      </c>
      <c r="X117" s="492">
        <v>0</v>
      </c>
      <c r="Y117" s="492">
        <v>0</v>
      </c>
      <c r="Z117" s="492">
        <f>SUM(W117:Y117)</f>
        <v>0</v>
      </c>
      <c r="AA117" s="492">
        <f>V117+Z117</f>
        <v>0</v>
      </c>
      <c r="AB117" s="74">
        <f>ROUND((V117+W117+X117)*33.8%,0)</f>
        <v>0</v>
      </c>
      <c r="AC117" s="74">
        <f>ROUND(V117*2%,0)</f>
        <v>0</v>
      </c>
      <c r="AD117" s="492">
        <v>0</v>
      </c>
      <c r="AE117" s="492">
        <v>0</v>
      </c>
      <c r="AF117" s="492">
        <f t="shared" si="80"/>
        <v>0</v>
      </c>
      <c r="AG117" s="492">
        <f t="shared" si="81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>AH117+AJ117+AM117</f>
        <v>0</v>
      </c>
      <c r="AP117" s="493">
        <f>AI117+AN117</f>
        <v>0</v>
      </c>
      <c r="AQ117" s="495">
        <f t="shared" si="82"/>
        <v>0</v>
      </c>
      <c r="AR117" s="501">
        <f>I117+AG117</f>
        <v>6115998</v>
      </c>
      <c r="AS117" s="492">
        <f>J117+V117</f>
        <v>4402944</v>
      </c>
      <c r="AT117" s="492">
        <f t="shared" ref="AT117:AT121" si="130">K117+Z117</f>
        <v>0</v>
      </c>
      <c r="AU117" s="492">
        <f t="shared" ref="AU117:AV121" si="131">L117+AB117</f>
        <v>1488195</v>
      </c>
      <c r="AV117" s="492">
        <f t="shared" si="131"/>
        <v>88059</v>
      </c>
      <c r="AW117" s="492">
        <f>N117+AF117</f>
        <v>136800</v>
      </c>
      <c r="AX117" s="493">
        <f>O117+AQ117</f>
        <v>8.9179999999999993</v>
      </c>
      <c r="AY117" s="493">
        <f t="shared" ref="AY117:AZ121" si="132">P117+AO117</f>
        <v>6.0903</v>
      </c>
      <c r="AZ117" s="495">
        <f t="shared" si="132"/>
        <v>2.8277000000000001</v>
      </c>
    </row>
    <row r="118" spans="1:52" ht="12.95" customHeight="1" x14ac:dyDescent="0.25">
      <c r="A118" s="313">
        <v>23</v>
      </c>
      <c r="B118" s="229">
        <v>5485</v>
      </c>
      <c r="C118" s="229">
        <v>600099300</v>
      </c>
      <c r="D118" s="314">
        <v>72743174</v>
      </c>
      <c r="E118" s="410" t="s">
        <v>527</v>
      </c>
      <c r="F118" s="229">
        <v>3117</v>
      </c>
      <c r="G118" s="356" t="s">
        <v>313</v>
      </c>
      <c r="H118" s="318" t="s">
        <v>279</v>
      </c>
      <c r="I118" s="494">
        <v>478528</v>
      </c>
      <c r="J118" s="489">
        <v>352377</v>
      </c>
      <c r="K118" s="489">
        <v>0</v>
      </c>
      <c r="L118" s="489">
        <v>119103</v>
      </c>
      <c r="M118" s="489">
        <v>7048</v>
      </c>
      <c r="N118" s="489">
        <v>0</v>
      </c>
      <c r="O118" s="490">
        <v>0.95</v>
      </c>
      <c r="P118" s="491">
        <v>0.95</v>
      </c>
      <c r="Q118" s="500">
        <v>0</v>
      </c>
      <c r="R118" s="502">
        <f t="shared" si="78"/>
        <v>0</v>
      </c>
      <c r="S118" s="492">
        <v>0</v>
      </c>
      <c r="T118" s="492">
        <v>0</v>
      </c>
      <c r="U118" s="492">
        <v>0</v>
      </c>
      <c r="V118" s="492">
        <f t="shared" si="79"/>
        <v>0</v>
      </c>
      <c r="W118" s="492">
        <v>0</v>
      </c>
      <c r="X118" s="492">
        <v>0</v>
      </c>
      <c r="Y118" s="492">
        <v>0</v>
      </c>
      <c r="Z118" s="492">
        <f>SUM(W118:Y118)</f>
        <v>0</v>
      </c>
      <c r="AA118" s="492">
        <f>V118+Z118</f>
        <v>0</v>
      </c>
      <c r="AB118" s="74">
        <f>ROUND((V118+W118+X118)*33.8%,0)</f>
        <v>0</v>
      </c>
      <c r="AC118" s="74">
        <f>ROUND(V118*2%,0)</f>
        <v>0</v>
      </c>
      <c r="AD118" s="492">
        <v>0</v>
      </c>
      <c r="AE118" s="492">
        <v>0</v>
      </c>
      <c r="AF118" s="492">
        <f t="shared" si="80"/>
        <v>0</v>
      </c>
      <c r="AG118" s="492">
        <f t="shared" si="81"/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>AH118+AJ118+AM118</f>
        <v>0</v>
      </c>
      <c r="AP118" s="493">
        <f>AI118+AN118</f>
        <v>0</v>
      </c>
      <c r="AQ118" s="495">
        <f t="shared" si="82"/>
        <v>0</v>
      </c>
      <c r="AR118" s="501">
        <f>I118+AG118</f>
        <v>478528</v>
      </c>
      <c r="AS118" s="492">
        <f>J118+V118</f>
        <v>352377</v>
      </c>
      <c r="AT118" s="492">
        <f t="shared" si="130"/>
        <v>0</v>
      </c>
      <c r="AU118" s="492">
        <f t="shared" si="131"/>
        <v>119103</v>
      </c>
      <c r="AV118" s="492">
        <f t="shared" si="131"/>
        <v>7048</v>
      </c>
      <c r="AW118" s="492">
        <f>N118+AF118</f>
        <v>0</v>
      </c>
      <c r="AX118" s="493">
        <f>O118+AQ118</f>
        <v>0.95</v>
      </c>
      <c r="AY118" s="493">
        <f t="shared" si="132"/>
        <v>0.95</v>
      </c>
      <c r="AZ118" s="495">
        <f t="shared" si="132"/>
        <v>0</v>
      </c>
    </row>
    <row r="119" spans="1:52" ht="12.95" customHeight="1" x14ac:dyDescent="0.25">
      <c r="A119" s="313">
        <v>23</v>
      </c>
      <c r="B119" s="229">
        <v>5485</v>
      </c>
      <c r="C119" s="229">
        <v>600099300</v>
      </c>
      <c r="D119" s="314">
        <v>72743174</v>
      </c>
      <c r="E119" s="411" t="s">
        <v>527</v>
      </c>
      <c r="F119" s="229">
        <v>3141</v>
      </c>
      <c r="G119" s="412" t="s">
        <v>316</v>
      </c>
      <c r="H119" s="318" t="s">
        <v>279</v>
      </c>
      <c r="I119" s="494">
        <v>296482</v>
      </c>
      <c r="J119" s="489">
        <v>216112</v>
      </c>
      <c r="K119" s="489">
        <v>0</v>
      </c>
      <c r="L119" s="489">
        <v>73046</v>
      </c>
      <c r="M119" s="489">
        <v>4322</v>
      </c>
      <c r="N119" s="489">
        <v>3002</v>
      </c>
      <c r="O119" s="490">
        <v>0.68</v>
      </c>
      <c r="P119" s="491">
        <v>0</v>
      </c>
      <c r="Q119" s="500">
        <v>0.68</v>
      </c>
      <c r="R119" s="502">
        <f t="shared" si="78"/>
        <v>0</v>
      </c>
      <c r="S119" s="492">
        <v>0</v>
      </c>
      <c r="T119" s="492">
        <v>0</v>
      </c>
      <c r="U119" s="492">
        <v>0</v>
      </c>
      <c r="V119" s="492">
        <f t="shared" si="79"/>
        <v>0</v>
      </c>
      <c r="W119" s="492">
        <v>0</v>
      </c>
      <c r="X119" s="492">
        <v>0</v>
      </c>
      <c r="Y119" s="492">
        <v>0</v>
      </c>
      <c r="Z119" s="492">
        <f>SUM(W119:Y119)</f>
        <v>0</v>
      </c>
      <c r="AA119" s="492">
        <f>V119+Z119</f>
        <v>0</v>
      </c>
      <c r="AB119" s="74">
        <f>ROUND((V119+W119+X119)*33.8%,0)</f>
        <v>0</v>
      </c>
      <c r="AC119" s="74">
        <f>ROUND(V119*2%,0)</f>
        <v>0</v>
      </c>
      <c r="AD119" s="492">
        <v>0</v>
      </c>
      <c r="AE119" s="492">
        <v>0</v>
      </c>
      <c r="AF119" s="492">
        <f t="shared" si="80"/>
        <v>0</v>
      </c>
      <c r="AG119" s="492">
        <f t="shared" si="81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>AH119+AJ119+AM119</f>
        <v>0</v>
      </c>
      <c r="AP119" s="493">
        <f>AI119+AN119</f>
        <v>0</v>
      </c>
      <c r="AQ119" s="495">
        <f t="shared" si="82"/>
        <v>0</v>
      </c>
      <c r="AR119" s="501">
        <f>I119+AG119</f>
        <v>296482</v>
      </c>
      <c r="AS119" s="492">
        <f>J119+V119</f>
        <v>216112</v>
      </c>
      <c r="AT119" s="492">
        <f t="shared" si="130"/>
        <v>0</v>
      </c>
      <c r="AU119" s="492">
        <f t="shared" si="131"/>
        <v>73046</v>
      </c>
      <c r="AV119" s="492">
        <f t="shared" si="131"/>
        <v>4322</v>
      </c>
      <c r="AW119" s="492">
        <f>N119+AF119</f>
        <v>3002</v>
      </c>
      <c r="AX119" s="493">
        <f>O119+AQ119</f>
        <v>0.68</v>
      </c>
      <c r="AY119" s="493">
        <f t="shared" si="132"/>
        <v>0</v>
      </c>
      <c r="AZ119" s="495">
        <f t="shared" si="132"/>
        <v>0.68</v>
      </c>
    </row>
    <row r="120" spans="1:52" ht="12.95" customHeight="1" x14ac:dyDescent="0.25">
      <c r="A120" s="313">
        <v>23</v>
      </c>
      <c r="B120" s="229">
        <v>5485</v>
      </c>
      <c r="C120" s="229">
        <v>600099300</v>
      </c>
      <c r="D120" s="314">
        <v>72743174</v>
      </c>
      <c r="E120" s="410" t="s">
        <v>527</v>
      </c>
      <c r="F120" s="421">
        <v>3143</v>
      </c>
      <c r="G120" s="356" t="s">
        <v>629</v>
      </c>
      <c r="H120" s="318" t="s">
        <v>278</v>
      </c>
      <c r="I120" s="494">
        <v>947045</v>
      </c>
      <c r="J120" s="489">
        <v>697382</v>
      </c>
      <c r="K120" s="489">
        <v>0</v>
      </c>
      <c r="L120" s="489">
        <v>235715</v>
      </c>
      <c r="M120" s="489">
        <v>13948</v>
      </c>
      <c r="N120" s="489">
        <v>0</v>
      </c>
      <c r="O120" s="490">
        <v>1.4</v>
      </c>
      <c r="P120" s="491">
        <v>1.4</v>
      </c>
      <c r="Q120" s="500">
        <v>0</v>
      </c>
      <c r="R120" s="502">
        <f t="shared" si="78"/>
        <v>0</v>
      </c>
      <c r="S120" s="492">
        <v>0</v>
      </c>
      <c r="T120" s="492">
        <v>0</v>
      </c>
      <c r="U120" s="492">
        <v>0</v>
      </c>
      <c r="V120" s="492">
        <f t="shared" si="79"/>
        <v>0</v>
      </c>
      <c r="W120" s="492">
        <v>0</v>
      </c>
      <c r="X120" s="492">
        <v>0</v>
      </c>
      <c r="Y120" s="492">
        <v>0</v>
      </c>
      <c r="Z120" s="492">
        <f>SUM(W120:Y120)</f>
        <v>0</v>
      </c>
      <c r="AA120" s="492">
        <f>V120+Z120</f>
        <v>0</v>
      </c>
      <c r="AB120" s="74">
        <f>ROUND((V120+W120+X120)*33.8%,0)</f>
        <v>0</v>
      </c>
      <c r="AC120" s="74">
        <f>ROUND(V120*2%,0)</f>
        <v>0</v>
      </c>
      <c r="AD120" s="492">
        <v>0</v>
      </c>
      <c r="AE120" s="492">
        <v>0</v>
      </c>
      <c r="AF120" s="492">
        <f t="shared" si="80"/>
        <v>0</v>
      </c>
      <c r="AG120" s="492">
        <f t="shared" si="81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>AH120+AJ120+AM120</f>
        <v>0</v>
      </c>
      <c r="AP120" s="493">
        <f>AI120+AN120</f>
        <v>0</v>
      </c>
      <c r="AQ120" s="495">
        <f t="shared" si="82"/>
        <v>0</v>
      </c>
      <c r="AR120" s="501">
        <f>I120+AG120</f>
        <v>947045</v>
      </c>
      <c r="AS120" s="492">
        <f>J120+V120</f>
        <v>697382</v>
      </c>
      <c r="AT120" s="492">
        <f t="shared" si="130"/>
        <v>0</v>
      </c>
      <c r="AU120" s="492">
        <f t="shared" si="131"/>
        <v>235715</v>
      </c>
      <c r="AV120" s="492">
        <f t="shared" si="131"/>
        <v>13948</v>
      </c>
      <c r="AW120" s="492">
        <f>N120+AF120</f>
        <v>0</v>
      </c>
      <c r="AX120" s="493">
        <f>O120+AQ120</f>
        <v>1.4</v>
      </c>
      <c r="AY120" s="493">
        <f t="shared" si="132"/>
        <v>1.4</v>
      </c>
      <c r="AZ120" s="495">
        <f t="shared" si="132"/>
        <v>0</v>
      </c>
    </row>
    <row r="121" spans="1:52" ht="12.95" customHeight="1" x14ac:dyDescent="0.25">
      <c r="A121" s="313">
        <v>23</v>
      </c>
      <c r="B121" s="229">
        <v>5485</v>
      </c>
      <c r="C121" s="229">
        <v>600099300</v>
      </c>
      <c r="D121" s="314">
        <v>72743174</v>
      </c>
      <c r="E121" s="410" t="s">
        <v>527</v>
      </c>
      <c r="F121" s="421">
        <v>3143</v>
      </c>
      <c r="G121" s="356" t="s">
        <v>630</v>
      </c>
      <c r="H121" s="318" t="s">
        <v>279</v>
      </c>
      <c r="I121" s="494">
        <v>45361</v>
      </c>
      <c r="J121" s="489">
        <v>32077</v>
      </c>
      <c r="K121" s="489">
        <v>0</v>
      </c>
      <c r="L121" s="489">
        <v>10842</v>
      </c>
      <c r="M121" s="489">
        <v>642</v>
      </c>
      <c r="N121" s="489">
        <v>1800</v>
      </c>
      <c r="O121" s="490">
        <v>0.13</v>
      </c>
      <c r="P121" s="491">
        <v>0</v>
      </c>
      <c r="Q121" s="500">
        <v>0.13</v>
      </c>
      <c r="R121" s="502">
        <f t="shared" si="78"/>
        <v>0</v>
      </c>
      <c r="S121" s="492">
        <v>0</v>
      </c>
      <c r="T121" s="492">
        <v>0</v>
      </c>
      <c r="U121" s="492">
        <v>0</v>
      </c>
      <c r="V121" s="492">
        <f t="shared" si="79"/>
        <v>0</v>
      </c>
      <c r="W121" s="492">
        <v>0</v>
      </c>
      <c r="X121" s="492">
        <v>0</v>
      </c>
      <c r="Y121" s="492">
        <v>0</v>
      </c>
      <c r="Z121" s="492">
        <f>SUM(W121:Y121)</f>
        <v>0</v>
      </c>
      <c r="AA121" s="492">
        <f>V121+Z121</f>
        <v>0</v>
      </c>
      <c r="AB121" s="74">
        <f>ROUND((V121+W121+X121)*33.8%,0)</f>
        <v>0</v>
      </c>
      <c r="AC121" s="74">
        <f>ROUND(V121*2%,0)</f>
        <v>0</v>
      </c>
      <c r="AD121" s="492">
        <v>0</v>
      </c>
      <c r="AE121" s="492">
        <v>0</v>
      </c>
      <c r="AF121" s="492">
        <f t="shared" si="80"/>
        <v>0</v>
      </c>
      <c r="AG121" s="492">
        <f t="shared" si="81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>AH121+AJ121+AM121</f>
        <v>0</v>
      </c>
      <c r="AP121" s="493">
        <f>AI121+AN121</f>
        <v>0</v>
      </c>
      <c r="AQ121" s="495">
        <f t="shared" si="82"/>
        <v>0</v>
      </c>
      <c r="AR121" s="501">
        <f>I121+AG121</f>
        <v>45361</v>
      </c>
      <c r="AS121" s="492">
        <f>J121+V121</f>
        <v>32077</v>
      </c>
      <c r="AT121" s="492">
        <f t="shared" si="130"/>
        <v>0</v>
      </c>
      <c r="AU121" s="492">
        <f t="shared" si="131"/>
        <v>10842</v>
      </c>
      <c r="AV121" s="492">
        <f t="shared" si="131"/>
        <v>642</v>
      </c>
      <c r="AW121" s="492">
        <f>N121+AF121</f>
        <v>1800</v>
      </c>
      <c r="AX121" s="493">
        <f>O121+AQ121</f>
        <v>0.13</v>
      </c>
      <c r="AY121" s="493">
        <f t="shared" si="132"/>
        <v>0</v>
      </c>
      <c r="AZ121" s="495">
        <f t="shared" si="132"/>
        <v>0.13</v>
      </c>
    </row>
    <row r="122" spans="1:52" ht="12.95" customHeight="1" x14ac:dyDescent="0.25">
      <c r="A122" s="230">
        <v>23</v>
      </c>
      <c r="B122" s="51">
        <v>5485</v>
      </c>
      <c r="C122" s="51">
        <v>600099300</v>
      </c>
      <c r="D122" s="51">
        <v>72743174</v>
      </c>
      <c r="E122" s="422" t="s">
        <v>528</v>
      </c>
      <c r="F122" s="427"/>
      <c r="G122" s="426"/>
      <c r="H122" s="197"/>
      <c r="I122" s="584">
        <v>7883414</v>
      </c>
      <c r="J122" s="580">
        <v>5700892</v>
      </c>
      <c r="K122" s="580">
        <v>0</v>
      </c>
      <c r="L122" s="580">
        <v>1926901</v>
      </c>
      <c r="M122" s="580">
        <v>114019</v>
      </c>
      <c r="N122" s="580">
        <v>141602</v>
      </c>
      <c r="O122" s="581">
        <v>12.077999999999999</v>
      </c>
      <c r="P122" s="581">
        <v>8.4403000000000006</v>
      </c>
      <c r="Q122" s="586">
        <v>3.6377000000000002</v>
      </c>
      <c r="R122" s="584">
        <f t="shared" ref="R122:AZ122" si="133">SUM(R117:R121)</f>
        <v>0</v>
      </c>
      <c r="S122" s="580">
        <f t="shared" si="133"/>
        <v>0</v>
      </c>
      <c r="T122" s="580">
        <f t="shared" si="133"/>
        <v>0</v>
      </c>
      <c r="U122" s="580">
        <f t="shared" si="133"/>
        <v>0</v>
      </c>
      <c r="V122" s="580">
        <f t="shared" si="133"/>
        <v>0</v>
      </c>
      <c r="W122" s="580">
        <f t="shared" si="133"/>
        <v>0</v>
      </c>
      <c r="X122" s="580">
        <f t="shared" si="133"/>
        <v>0</v>
      </c>
      <c r="Y122" s="580">
        <f t="shared" si="133"/>
        <v>0</v>
      </c>
      <c r="Z122" s="580">
        <f t="shared" si="133"/>
        <v>0</v>
      </c>
      <c r="AA122" s="580">
        <f t="shared" si="133"/>
        <v>0</v>
      </c>
      <c r="AB122" s="580">
        <f t="shared" si="133"/>
        <v>0</v>
      </c>
      <c r="AC122" s="580">
        <f t="shared" si="133"/>
        <v>0</v>
      </c>
      <c r="AD122" s="580">
        <f t="shared" si="133"/>
        <v>0</v>
      </c>
      <c r="AE122" s="580">
        <f t="shared" si="133"/>
        <v>0</v>
      </c>
      <c r="AF122" s="580">
        <f t="shared" si="133"/>
        <v>0</v>
      </c>
      <c r="AG122" s="580">
        <f t="shared" si="133"/>
        <v>0</v>
      </c>
      <c r="AH122" s="581">
        <f t="shared" si="133"/>
        <v>0</v>
      </c>
      <c r="AI122" s="581">
        <f t="shared" si="133"/>
        <v>0</v>
      </c>
      <c r="AJ122" s="581">
        <f t="shared" si="133"/>
        <v>0</v>
      </c>
      <c r="AK122" s="581">
        <f t="shared" si="133"/>
        <v>0</v>
      </c>
      <c r="AL122" s="581">
        <f t="shared" si="133"/>
        <v>0</v>
      </c>
      <c r="AM122" s="581">
        <f t="shared" si="133"/>
        <v>0</v>
      </c>
      <c r="AN122" s="581">
        <f t="shared" si="133"/>
        <v>0</v>
      </c>
      <c r="AO122" s="581">
        <f t="shared" si="133"/>
        <v>0</v>
      </c>
      <c r="AP122" s="581">
        <f t="shared" si="133"/>
        <v>0</v>
      </c>
      <c r="AQ122" s="312">
        <f t="shared" si="133"/>
        <v>0</v>
      </c>
      <c r="AR122" s="588">
        <f t="shared" si="133"/>
        <v>7883414</v>
      </c>
      <c r="AS122" s="580">
        <f t="shared" si="133"/>
        <v>5700892</v>
      </c>
      <c r="AT122" s="580">
        <f t="shared" si="133"/>
        <v>0</v>
      </c>
      <c r="AU122" s="580">
        <f t="shared" si="133"/>
        <v>1926901</v>
      </c>
      <c r="AV122" s="580">
        <f t="shared" si="133"/>
        <v>114019</v>
      </c>
      <c r="AW122" s="580">
        <f t="shared" si="133"/>
        <v>141602</v>
      </c>
      <c r="AX122" s="581">
        <f t="shared" si="133"/>
        <v>12.077999999999999</v>
      </c>
      <c r="AY122" s="581">
        <f t="shared" si="133"/>
        <v>8.4403000000000006</v>
      </c>
      <c r="AZ122" s="312">
        <f t="shared" si="133"/>
        <v>3.6377000000000002</v>
      </c>
    </row>
    <row r="123" spans="1:52" ht="12.95" customHeight="1" x14ac:dyDescent="0.25">
      <c r="A123" s="313">
        <v>24</v>
      </c>
      <c r="B123" s="229">
        <v>5434</v>
      </c>
      <c r="C123" s="229">
        <v>600098923</v>
      </c>
      <c r="D123" s="314">
        <v>70695318</v>
      </c>
      <c r="E123" s="411" t="s">
        <v>529</v>
      </c>
      <c r="F123" s="229">
        <v>3111</v>
      </c>
      <c r="G123" s="412" t="s">
        <v>326</v>
      </c>
      <c r="H123" s="318" t="s">
        <v>278</v>
      </c>
      <c r="I123" s="494">
        <v>3191236</v>
      </c>
      <c r="J123" s="489">
        <v>2337029</v>
      </c>
      <c r="K123" s="489">
        <v>0</v>
      </c>
      <c r="L123" s="489">
        <v>789916</v>
      </c>
      <c r="M123" s="489">
        <v>46741</v>
      </c>
      <c r="N123" s="489">
        <v>17550</v>
      </c>
      <c r="O123" s="490">
        <v>5.3898000000000001</v>
      </c>
      <c r="P123" s="491">
        <v>4</v>
      </c>
      <c r="Q123" s="500">
        <v>1.3897999999999999</v>
      </c>
      <c r="R123" s="502">
        <f t="shared" si="78"/>
        <v>0</v>
      </c>
      <c r="S123" s="492">
        <v>0</v>
      </c>
      <c r="T123" s="492">
        <v>0</v>
      </c>
      <c r="U123" s="492">
        <v>0</v>
      </c>
      <c r="V123" s="492">
        <f t="shared" si="79"/>
        <v>0</v>
      </c>
      <c r="W123" s="492">
        <v>0</v>
      </c>
      <c r="X123" s="492">
        <v>0</v>
      </c>
      <c r="Y123" s="492">
        <v>0</v>
      </c>
      <c r="Z123" s="492">
        <f>SUM(W123:Y123)</f>
        <v>0</v>
      </c>
      <c r="AA123" s="492">
        <f>V123+Z123</f>
        <v>0</v>
      </c>
      <c r="AB123" s="74">
        <f>ROUND((V123+W123+X123)*33.8%,0)</f>
        <v>0</v>
      </c>
      <c r="AC123" s="74">
        <f>ROUND(V123*2%,0)</f>
        <v>0</v>
      </c>
      <c r="AD123" s="492">
        <v>0</v>
      </c>
      <c r="AE123" s="492">
        <v>0</v>
      </c>
      <c r="AF123" s="492">
        <f t="shared" si="80"/>
        <v>0</v>
      </c>
      <c r="AG123" s="492">
        <f t="shared" si="81"/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>AH123+AJ123+AM123</f>
        <v>0</v>
      </c>
      <c r="AP123" s="493">
        <f>AI123+AN123</f>
        <v>0</v>
      </c>
      <c r="AQ123" s="495">
        <f t="shared" si="82"/>
        <v>0</v>
      </c>
      <c r="AR123" s="501">
        <f>I123+AG123</f>
        <v>3191236</v>
      </c>
      <c r="AS123" s="492">
        <f>J123+V123</f>
        <v>2337029</v>
      </c>
      <c r="AT123" s="492">
        <f t="shared" ref="AT123:AT125" si="134">K123+Z123</f>
        <v>0</v>
      </c>
      <c r="AU123" s="492">
        <f t="shared" ref="AU123:AV125" si="135">L123+AB123</f>
        <v>789916</v>
      </c>
      <c r="AV123" s="492">
        <f t="shared" si="135"/>
        <v>46741</v>
      </c>
      <c r="AW123" s="492">
        <f>N123+AF123</f>
        <v>17550</v>
      </c>
      <c r="AX123" s="493">
        <f>O123+AQ123</f>
        <v>5.3898000000000001</v>
      </c>
      <c r="AY123" s="493">
        <f t="shared" ref="AY123:AZ125" si="136">P123+AO123</f>
        <v>4</v>
      </c>
      <c r="AZ123" s="495">
        <f t="shared" si="136"/>
        <v>1.3897999999999999</v>
      </c>
    </row>
    <row r="124" spans="1:52" ht="12.95" customHeight="1" x14ac:dyDescent="0.25">
      <c r="A124" s="313">
        <v>24</v>
      </c>
      <c r="B124" s="229">
        <v>5434</v>
      </c>
      <c r="C124" s="229">
        <v>600098923</v>
      </c>
      <c r="D124" s="314">
        <v>70695318</v>
      </c>
      <c r="E124" s="410" t="s">
        <v>529</v>
      </c>
      <c r="F124" s="229">
        <v>3111</v>
      </c>
      <c r="G124" s="356" t="s">
        <v>313</v>
      </c>
      <c r="H124" s="318" t="s">
        <v>279</v>
      </c>
      <c r="I124" s="494">
        <v>470470</v>
      </c>
      <c r="J124" s="489">
        <v>346443</v>
      </c>
      <c r="K124" s="489">
        <v>0</v>
      </c>
      <c r="L124" s="489">
        <v>117098</v>
      </c>
      <c r="M124" s="489">
        <v>6929</v>
      </c>
      <c r="N124" s="489">
        <v>0</v>
      </c>
      <c r="O124" s="490">
        <v>1</v>
      </c>
      <c r="P124" s="491">
        <v>1</v>
      </c>
      <c r="Q124" s="500">
        <v>0</v>
      </c>
      <c r="R124" s="502">
        <f t="shared" si="78"/>
        <v>0</v>
      </c>
      <c r="S124" s="492">
        <v>0</v>
      </c>
      <c r="T124" s="492">
        <v>0</v>
      </c>
      <c r="U124" s="492">
        <v>0</v>
      </c>
      <c r="V124" s="492">
        <f t="shared" si="79"/>
        <v>0</v>
      </c>
      <c r="W124" s="492">
        <v>0</v>
      </c>
      <c r="X124" s="492">
        <v>0</v>
      </c>
      <c r="Y124" s="492">
        <v>0</v>
      </c>
      <c r="Z124" s="492">
        <f>SUM(W124:Y124)</f>
        <v>0</v>
      </c>
      <c r="AA124" s="492">
        <f>V124+Z124</f>
        <v>0</v>
      </c>
      <c r="AB124" s="74">
        <f>ROUND((V124+W124+X124)*33.8%,0)</f>
        <v>0</v>
      </c>
      <c r="AC124" s="74">
        <f>ROUND(V124*2%,0)</f>
        <v>0</v>
      </c>
      <c r="AD124" s="492">
        <v>0</v>
      </c>
      <c r="AE124" s="492">
        <v>0</v>
      </c>
      <c r="AF124" s="492">
        <f t="shared" si="80"/>
        <v>0</v>
      </c>
      <c r="AG124" s="492">
        <f t="shared" si="81"/>
        <v>0</v>
      </c>
      <c r="AH124" s="493">
        <v>0</v>
      </c>
      <c r="AI124" s="493">
        <v>0</v>
      </c>
      <c r="AJ124" s="493">
        <v>0</v>
      </c>
      <c r="AK124" s="493">
        <v>0</v>
      </c>
      <c r="AL124" s="493">
        <v>0</v>
      </c>
      <c r="AM124" s="493">
        <v>0</v>
      </c>
      <c r="AN124" s="493">
        <v>0</v>
      </c>
      <c r="AO124" s="493">
        <f>AH124+AJ124+AM124</f>
        <v>0</v>
      </c>
      <c r="AP124" s="493">
        <f>AI124+AN124</f>
        <v>0</v>
      </c>
      <c r="AQ124" s="495">
        <f t="shared" si="82"/>
        <v>0</v>
      </c>
      <c r="AR124" s="501">
        <f>I124+AG124</f>
        <v>470470</v>
      </c>
      <c r="AS124" s="492">
        <f>J124+V124</f>
        <v>346443</v>
      </c>
      <c r="AT124" s="492">
        <f t="shared" si="134"/>
        <v>0</v>
      </c>
      <c r="AU124" s="492">
        <f t="shared" si="135"/>
        <v>117098</v>
      </c>
      <c r="AV124" s="492">
        <f t="shared" si="135"/>
        <v>6929</v>
      </c>
      <c r="AW124" s="492">
        <f>N124+AF124</f>
        <v>0</v>
      </c>
      <c r="AX124" s="493">
        <f>O124+AQ124</f>
        <v>1</v>
      </c>
      <c r="AY124" s="493">
        <f t="shared" si="136"/>
        <v>1</v>
      </c>
      <c r="AZ124" s="495">
        <f t="shared" si="136"/>
        <v>0</v>
      </c>
    </row>
    <row r="125" spans="1:52" ht="12.75" customHeight="1" x14ac:dyDescent="0.25">
      <c r="A125" s="313">
        <v>24</v>
      </c>
      <c r="B125" s="229">
        <v>5434</v>
      </c>
      <c r="C125" s="229">
        <v>600098923</v>
      </c>
      <c r="D125" s="314">
        <v>70695318</v>
      </c>
      <c r="E125" s="410" t="s">
        <v>529</v>
      </c>
      <c r="F125" s="421">
        <v>3141</v>
      </c>
      <c r="G125" s="412" t="s">
        <v>316</v>
      </c>
      <c r="H125" s="318" t="s">
        <v>279</v>
      </c>
      <c r="I125" s="494">
        <v>568241</v>
      </c>
      <c r="J125" s="489">
        <v>416817</v>
      </c>
      <c r="K125" s="489">
        <v>0</v>
      </c>
      <c r="L125" s="489">
        <v>140884</v>
      </c>
      <c r="M125" s="489">
        <v>8336</v>
      </c>
      <c r="N125" s="489">
        <v>2204</v>
      </c>
      <c r="O125" s="490">
        <v>1.31</v>
      </c>
      <c r="P125" s="491">
        <v>0</v>
      </c>
      <c r="Q125" s="500">
        <v>1.31</v>
      </c>
      <c r="R125" s="502">
        <f t="shared" si="78"/>
        <v>0</v>
      </c>
      <c r="S125" s="492">
        <v>0</v>
      </c>
      <c r="T125" s="492">
        <v>0</v>
      </c>
      <c r="U125" s="492">
        <v>0</v>
      </c>
      <c r="V125" s="492">
        <f t="shared" si="79"/>
        <v>0</v>
      </c>
      <c r="W125" s="492">
        <v>0</v>
      </c>
      <c r="X125" s="492">
        <v>0</v>
      </c>
      <c r="Y125" s="492">
        <v>0</v>
      </c>
      <c r="Z125" s="492">
        <f>SUM(W125:Y125)</f>
        <v>0</v>
      </c>
      <c r="AA125" s="492">
        <f>V125+Z125</f>
        <v>0</v>
      </c>
      <c r="AB125" s="74">
        <f>ROUND((V125+W125+X125)*33.8%,0)</f>
        <v>0</v>
      </c>
      <c r="AC125" s="74">
        <f>ROUND(V125*2%,0)</f>
        <v>0</v>
      </c>
      <c r="AD125" s="492">
        <v>0</v>
      </c>
      <c r="AE125" s="492">
        <v>0</v>
      </c>
      <c r="AF125" s="492">
        <f t="shared" si="80"/>
        <v>0</v>
      </c>
      <c r="AG125" s="492">
        <f t="shared" si="81"/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>AH125+AJ125+AM125</f>
        <v>0</v>
      </c>
      <c r="AP125" s="493">
        <f>AI125+AN125</f>
        <v>0</v>
      </c>
      <c r="AQ125" s="495">
        <f t="shared" si="82"/>
        <v>0</v>
      </c>
      <c r="AR125" s="501">
        <f>I125+AG125</f>
        <v>568241</v>
      </c>
      <c r="AS125" s="492">
        <f>J125+V125</f>
        <v>416817</v>
      </c>
      <c r="AT125" s="492">
        <f t="shared" si="134"/>
        <v>0</v>
      </c>
      <c r="AU125" s="492">
        <f t="shared" si="135"/>
        <v>140884</v>
      </c>
      <c r="AV125" s="492">
        <f t="shared" si="135"/>
        <v>8336</v>
      </c>
      <c r="AW125" s="492">
        <f>N125+AF125</f>
        <v>2204</v>
      </c>
      <c r="AX125" s="493">
        <f>O125+AQ125</f>
        <v>1.31</v>
      </c>
      <c r="AY125" s="493">
        <f t="shared" si="136"/>
        <v>0</v>
      </c>
      <c r="AZ125" s="495">
        <f t="shared" si="136"/>
        <v>1.31</v>
      </c>
    </row>
    <row r="126" spans="1:52" ht="12.75" customHeight="1" x14ac:dyDescent="0.25">
      <c r="A126" s="230">
        <v>24</v>
      </c>
      <c r="B126" s="51">
        <v>5434</v>
      </c>
      <c r="C126" s="51">
        <v>600098923</v>
      </c>
      <c r="D126" s="51">
        <v>70695318</v>
      </c>
      <c r="E126" s="422" t="s">
        <v>530</v>
      </c>
      <c r="F126" s="423"/>
      <c r="G126" s="422"/>
      <c r="H126" s="424"/>
      <c r="I126" s="584">
        <v>4229947</v>
      </c>
      <c r="J126" s="580">
        <v>3100289</v>
      </c>
      <c r="K126" s="580">
        <v>0</v>
      </c>
      <c r="L126" s="580">
        <v>1047898</v>
      </c>
      <c r="M126" s="580">
        <v>62006</v>
      </c>
      <c r="N126" s="580">
        <v>19754</v>
      </c>
      <c r="O126" s="581">
        <v>7.6997999999999998</v>
      </c>
      <c r="P126" s="581">
        <v>5</v>
      </c>
      <c r="Q126" s="586">
        <v>2.6997999999999998</v>
      </c>
      <c r="R126" s="584">
        <f t="shared" ref="R126:AZ126" si="137">SUM(R123:R125)</f>
        <v>0</v>
      </c>
      <c r="S126" s="580">
        <f t="shared" si="137"/>
        <v>0</v>
      </c>
      <c r="T126" s="580">
        <f t="shared" si="137"/>
        <v>0</v>
      </c>
      <c r="U126" s="580">
        <f t="shared" si="137"/>
        <v>0</v>
      </c>
      <c r="V126" s="580">
        <f t="shared" si="137"/>
        <v>0</v>
      </c>
      <c r="W126" s="580">
        <f t="shared" si="137"/>
        <v>0</v>
      </c>
      <c r="X126" s="580">
        <f t="shared" si="137"/>
        <v>0</v>
      </c>
      <c r="Y126" s="580">
        <f t="shared" si="137"/>
        <v>0</v>
      </c>
      <c r="Z126" s="580">
        <f t="shared" si="137"/>
        <v>0</v>
      </c>
      <c r="AA126" s="580">
        <f t="shared" si="137"/>
        <v>0</v>
      </c>
      <c r="AB126" s="580">
        <f t="shared" si="137"/>
        <v>0</v>
      </c>
      <c r="AC126" s="580">
        <f t="shared" si="137"/>
        <v>0</v>
      </c>
      <c r="AD126" s="580">
        <f t="shared" si="137"/>
        <v>0</v>
      </c>
      <c r="AE126" s="580">
        <f t="shared" si="137"/>
        <v>0</v>
      </c>
      <c r="AF126" s="580">
        <f t="shared" si="137"/>
        <v>0</v>
      </c>
      <c r="AG126" s="580">
        <f t="shared" si="137"/>
        <v>0</v>
      </c>
      <c r="AH126" s="581">
        <f t="shared" si="137"/>
        <v>0</v>
      </c>
      <c r="AI126" s="581">
        <f t="shared" si="137"/>
        <v>0</v>
      </c>
      <c r="AJ126" s="581">
        <f t="shared" si="137"/>
        <v>0</v>
      </c>
      <c r="AK126" s="581">
        <f t="shared" si="137"/>
        <v>0</v>
      </c>
      <c r="AL126" s="581">
        <f t="shared" si="137"/>
        <v>0</v>
      </c>
      <c r="AM126" s="581">
        <f t="shared" si="137"/>
        <v>0</v>
      </c>
      <c r="AN126" s="581">
        <f t="shared" si="137"/>
        <v>0</v>
      </c>
      <c r="AO126" s="581">
        <f t="shared" si="137"/>
        <v>0</v>
      </c>
      <c r="AP126" s="581">
        <f t="shared" si="137"/>
        <v>0</v>
      </c>
      <c r="AQ126" s="312">
        <f t="shared" si="137"/>
        <v>0</v>
      </c>
      <c r="AR126" s="588">
        <f t="shared" si="137"/>
        <v>4229947</v>
      </c>
      <c r="AS126" s="580">
        <f t="shared" si="137"/>
        <v>3100289</v>
      </c>
      <c r="AT126" s="580">
        <f t="shared" si="137"/>
        <v>0</v>
      </c>
      <c r="AU126" s="580">
        <f t="shared" si="137"/>
        <v>1047898</v>
      </c>
      <c r="AV126" s="580">
        <f t="shared" si="137"/>
        <v>62006</v>
      </c>
      <c r="AW126" s="580">
        <f t="shared" si="137"/>
        <v>19754</v>
      </c>
      <c r="AX126" s="581">
        <f t="shared" si="137"/>
        <v>7.6997999999999998</v>
      </c>
      <c r="AY126" s="581">
        <f t="shared" si="137"/>
        <v>5</v>
      </c>
      <c r="AZ126" s="312">
        <f t="shared" si="137"/>
        <v>2.6997999999999998</v>
      </c>
    </row>
    <row r="127" spans="1:52" ht="12.95" customHeight="1" x14ac:dyDescent="0.25">
      <c r="A127" s="313">
        <v>25</v>
      </c>
      <c r="B127" s="229">
        <v>5433</v>
      </c>
      <c r="C127" s="229">
        <v>600099253</v>
      </c>
      <c r="D127" s="314">
        <v>70695300</v>
      </c>
      <c r="E127" s="228" t="s">
        <v>531</v>
      </c>
      <c r="F127" s="229">
        <v>3117</v>
      </c>
      <c r="G127" s="411" t="s">
        <v>330</v>
      </c>
      <c r="H127" s="318" t="s">
        <v>278</v>
      </c>
      <c r="I127" s="494">
        <v>3509896</v>
      </c>
      <c r="J127" s="489">
        <v>2540535</v>
      </c>
      <c r="K127" s="489">
        <v>0</v>
      </c>
      <c r="L127" s="489">
        <v>858700</v>
      </c>
      <c r="M127" s="489">
        <v>50811</v>
      </c>
      <c r="N127" s="489">
        <v>59850</v>
      </c>
      <c r="O127" s="490">
        <v>4.6193</v>
      </c>
      <c r="P127" s="491">
        <v>3.4089999999999998</v>
      </c>
      <c r="Q127" s="500">
        <v>1.2102999999999999</v>
      </c>
      <c r="R127" s="502">
        <f t="shared" si="78"/>
        <v>0</v>
      </c>
      <c r="S127" s="492">
        <v>0</v>
      </c>
      <c r="T127" s="492">
        <v>0</v>
      </c>
      <c r="U127" s="492">
        <v>0</v>
      </c>
      <c r="V127" s="492">
        <f t="shared" si="79"/>
        <v>0</v>
      </c>
      <c r="W127" s="492">
        <v>0</v>
      </c>
      <c r="X127" s="492">
        <v>0</v>
      </c>
      <c r="Y127" s="492">
        <v>0</v>
      </c>
      <c r="Z127" s="492">
        <f>SUM(W127:Y127)</f>
        <v>0</v>
      </c>
      <c r="AA127" s="492">
        <f>V127+Z127</f>
        <v>0</v>
      </c>
      <c r="AB127" s="74">
        <f>ROUND((V127+W127+X127)*33.8%,0)</f>
        <v>0</v>
      </c>
      <c r="AC127" s="74">
        <f>ROUND(V127*2%,0)</f>
        <v>0</v>
      </c>
      <c r="AD127" s="492">
        <v>0</v>
      </c>
      <c r="AE127" s="492">
        <v>0</v>
      </c>
      <c r="AF127" s="492">
        <f t="shared" si="80"/>
        <v>0</v>
      </c>
      <c r="AG127" s="492">
        <f t="shared" si="81"/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>AH127+AJ127+AM127</f>
        <v>0</v>
      </c>
      <c r="AP127" s="493">
        <f>AI127+AN127</f>
        <v>0</v>
      </c>
      <c r="AQ127" s="495">
        <f t="shared" si="82"/>
        <v>0</v>
      </c>
      <c r="AR127" s="501">
        <f>I127+AG127</f>
        <v>3509896</v>
      </c>
      <c r="AS127" s="492">
        <f>J127+V127</f>
        <v>2540535</v>
      </c>
      <c r="AT127" s="492">
        <f t="shared" ref="AT127:AT131" si="138">K127+Z127</f>
        <v>0</v>
      </c>
      <c r="AU127" s="492">
        <f t="shared" ref="AU127:AV131" si="139">L127+AB127</f>
        <v>858700</v>
      </c>
      <c r="AV127" s="492">
        <f t="shared" si="139"/>
        <v>50811</v>
      </c>
      <c r="AW127" s="492">
        <f>N127+AF127</f>
        <v>59850</v>
      </c>
      <c r="AX127" s="493">
        <f>O127+AQ127</f>
        <v>4.6193</v>
      </c>
      <c r="AY127" s="493">
        <f t="shared" ref="AY127:AZ131" si="140">P127+AO127</f>
        <v>3.4089999999999998</v>
      </c>
      <c r="AZ127" s="495">
        <f t="shared" si="140"/>
        <v>1.2102999999999999</v>
      </c>
    </row>
    <row r="128" spans="1:52" ht="12.95" customHeight="1" x14ac:dyDescent="0.25">
      <c r="A128" s="313">
        <v>25</v>
      </c>
      <c r="B128" s="229">
        <v>5433</v>
      </c>
      <c r="C128" s="229">
        <v>600099253</v>
      </c>
      <c r="D128" s="314">
        <v>70695300</v>
      </c>
      <c r="E128" s="410" t="s">
        <v>531</v>
      </c>
      <c r="F128" s="229">
        <v>3117</v>
      </c>
      <c r="G128" s="356" t="s">
        <v>313</v>
      </c>
      <c r="H128" s="318" t="s">
        <v>279</v>
      </c>
      <c r="I128" s="494">
        <v>0</v>
      </c>
      <c r="J128" s="489">
        <v>0</v>
      </c>
      <c r="K128" s="489">
        <v>0</v>
      </c>
      <c r="L128" s="489">
        <v>0</v>
      </c>
      <c r="M128" s="489">
        <v>0</v>
      </c>
      <c r="N128" s="489">
        <v>0</v>
      </c>
      <c r="O128" s="490">
        <v>0</v>
      </c>
      <c r="P128" s="491">
        <v>0</v>
      </c>
      <c r="Q128" s="500">
        <v>0</v>
      </c>
      <c r="R128" s="502">
        <f t="shared" si="78"/>
        <v>0</v>
      </c>
      <c r="S128" s="492">
        <v>0</v>
      </c>
      <c r="T128" s="492">
        <v>0</v>
      </c>
      <c r="U128" s="492">
        <v>0</v>
      </c>
      <c r="V128" s="492">
        <f t="shared" si="79"/>
        <v>0</v>
      </c>
      <c r="W128" s="492">
        <v>0</v>
      </c>
      <c r="X128" s="492">
        <v>0</v>
      </c>
      <c r="Y128" s="492">
        <v>0</v>
      </c>
      <c r="Z128" s="492">
        <f>SUM(W128:Y128)</f>
        <v>0</v>
      </c>
      <c r="AA128" s="492">
        <f>V128+Z128</f>
        <v>0</v>
      </c>
      <c r="AB128" s="74">
        <f>ROUND((V128+W128+X128)*33.8%,0)</f>
        <v>0</v>
      </c>
      <c r="AC128" s="74">
        <f>ROUND(V128*2%,0)</f>
        <v>0</v>
      </c>
      <c r="AD128" s="492">
        <v>0</v>
      </c>
      <c r="AE128" s="492">
        <v>0</v>
      </c>
      <c r="AF128" s="492">
        <f t="shared" si="80"/>
        <v>0</v>
      </c>
      <c r="AG128" s="492">
        <f t="shared" si="81"/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>AH128+AJ128+AM128</f>
        <v>0</v>
      </c>
      <c r="AP128" s="493">
        <f>AI128+AN128</f>
        <v>0</v>
      </c>
      <c r="AQ128" s="495">
        <f t="shared" si="82"/>
        <v>0</v>
      </c>
      <c r="AR128" s="501">
        <f>I128+AG128</f>
        <v>0</v>
      </c>
      <c r="AS128" s="492">
        <f>J128+V128</f>
        <v>0</v>
      </c>
      <c r="AT128" s="492">
        <f t="shared" si="138"/>
        <v>0</v>
      </c>
      <c r="AU128" s="492">
        <f t="shared" si="139"/>
        <v>0</v>
      </c>
      <c r="AV128" s="492">
        <f t="shared" si="139"/>
        <v>0</v>
      </c>
      <c r="AW128" s="492">
        <f>N128+AF128</f>
        <v>0</v>
      </c>
      <c r="AX128" s="493">
        <f>O128+AQ128</f>
        <v>0</v>
      </c>
      <c r="AY128" s="493">
        <f t="shared" si="140"/>
        <v>0</v>
      </c>
      <c r="AZ128" s="495">
        <f t="shared" si="140"/>
        <v>0</v>
      </c>
    </row>
    <row r="129" spans="1:52" ht="12.95" customHeight="1" x14ac:dyDescent="0.25">
      <c r="A129" s="313">
        <v>25</v>
      </c>
      <c r="B129" s="229">
        <v>5433</v>
      </c>
      <c r="C129" s="229">
        <v>600099253</v>
      </c>
      <c r="D129" s="314">
        <v>70695300</v>
      </c>
      <c r="E129" s="411" t="s">
        <v>531</v>
      </c>
      <c r="F129" s="229">
        <v>3141</v>
      </c>
      <c r="G129" s="412" t="s">
        <v>316</v>
      </c>
      <c r="H129" s="318" t="s">
        <v>279</v>
      </c>
      <c r="I129" s="494">
        <v>416347</v>
      </c>
      <c r="J129" s="489">
        <v>305051</v>
      </c>
      <c r="K129" s="489">
        <v>0</v>
      </c>
      <c r="L129" s="489">
        <v>103107</v>
      </c>
      <c r="M129" s="489">
        <v>6101</v>
      </c>
      <c r="N129" s="489">
        <v>2088</v>
      </c>
      <c r="O129" s="490">
        <v>0.96</v>
      </c>
      <c r="P129" s="491">
        <v>0</v>
      </c>
      <c r="Q129" s="500">
        <v>0.96</v>
      </c>
      <c r="R129" s="502">
        <f t="shared" si="78"/>
        <v>0</v>
      </c>
      <c r="S129" s="492">
        <v>0</v>
      </c>
      <c r="T129" s="492">
        <v>0</v>
      </c>
      <c r="U129" s="492">
        <v>0</v>
      </c>
      <c r="V129" s="492">
        <f t="shared" si="79"/>
        <v>0</v>
      </c>
      <c r="W129" s="492">
        <v>0</v>
      </c>
      <c r="X129" s="492">
        <v>0</v>
      </c>
      <c r="Y129" s="492">
        <v>0</v>
      </c>
      <c r="Z129" s="492">
        <f>SUM(W129:Y129)</f>
        <v>0</v>
      </c>
      <c r="AA129" s="492">
        <f>V129+Z129</f>
        <v>0</v>
      </c>
      <c r="AB129" s="74">
        <f>ROUND((V129+W129+X129)*33.8%,0)</f>
        <v>0</v>
      </c>
      <c r="AC129" s="74">
        <f>ROUND(V129*2%,0)</f>
        <v>0</v>
      </c>
      <c r="AD129" s="492">
        <v>0</v>
      </c>
      <c r="AE129" s="492">
        <v>0</v>
      </c>
      <c r="AF129" s="492">
        <f t="shared" si="80"/>
        <v>0</v>
      </c>
      <c r="AG129" s="492">
        <f t="shared" si="81"/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>AH129+AJ129+AM129</f>
        <v>0</v>
      </c>
      <c r="AP129" s="493">
        <f>AI129+AN129</f>
        <v>0</v>
      </c>
      <c r="AQ129" s="495">
        <f t="shared" si="82"/>
        <v>0</v>
      </c>
      <c r="AR129" s="501">
        <f>I129+AG129</f>
        <v>416347</v>
      </c>
      <c r="AS129" s="492">
        <f>J129+V129</f>
        <v>305051</v>
      </c>
      <c r="AT129" s="492">
        <f t="shared" si="138"/>
        <v>0</v>
      </c>
      <c r="AU129" s="492">
        <f t="shared" si="139"/>
        <v>103107</v>
      </c>
      <c r="AV129" s="492">
        <f t="shared" si="139"/>
        <v>6101</v>
      </c>
      <c r="AW129" s="492">
        <f>N129+AF129</f>
        <v>2088</v>
      </c>
      <c r="AX129" s="493">
        <f>O129+AQ129</f>
        <v>0.96</v>
      </c>
      <c r="AY129" s="493">
        <f t="shared" si="140"/>
        <v>0</v>
      </c>
      <c r="AZ129" s="495">
        <f t="shared" si="140"/>
        <v>0.96</v>
      </c>
    </row>
    <row r="130" spans="1:52" ht="12.95" customHeight="1" x14ac:dyDescent="0.25">
      <c r="A130" s="313">
        <v>25</v>
      </c>
      <c r="B130" s="229">
        <v>5433</v>
      </c>
      <c r="C130" s="229">
        <v>600099253</v>
      </c>
      <c r="D130" s="314">
        <v>70695300</v>
      </c>
      <c r="E130" s="410" t="s">
        <v>531</v>
      </c>
      <c r="F130" s="421">
        <v>3143</v>
      </c>
      <c r="G130" s="356" t="s">
        <v>629</v>
      </c>
      <c r="H130" s="318" t="s">
        <v>278</v>
      </c>
      <c r="I130" s="494">
        <v>544428</v>
      </c>
      <c r="J130" s="489">
        <v>400904</v>
      </c>
      <c r="K130" s="489">
        <v>0</v>
      </c>
      <c r="L130" s="489">
        <v>135506</v>
      </c>
      <c r="M130" s="489">
        <v>8018</v>
      </c>
      <c r="N130" s="489">
        <v>0</v>
      </c>
      <c r="O130" s="490">
        <v>1</v>
      </c>
      <c r="P130" s="491">
        <v>1</v>
      </c>
      <c r="Q130" s="500">
        <v>0</v>
      </c>
      <c r="R130" s="502">
        <f t="shared" si="78"/>
        <v>0</v>
      </c>
      <c r="S130" s="492">
        <v>0</v>
      </c>
      <c r="T130" s="492">
        <v>0</v>
      </c>
      <c r="U130" s="492">
        <v>0</v>
      </c>
      <c r="V130" s="492">
        <f t="shared" si="79"/>
        <v>0</v>
      </c>
      <c r="W130" s="492">
        <v>0</v>
      </c>
      <c r="X130" s="492">
        <v>0</v>
      </c>
      <c r="Y130" s="492">
        <v>0</v>
      </c>
      <c r="Z130" s="492">
        <f>SUM(W130:Y130)</f>
        <v>0</v>
      </c>
      <c r="AA130" s="492">
        <f>V130+Z130</f>
        <v>0</v>
      </c>
      <c r="AB130" s="74">
        <f>ROUND((V130+W130+X130)*33.8%,0)</f>
        <v>0</v>
      </c>
      <c r="AC130" s="74">
        <f>ROUND(V130*2%,0)</f>
        <v>0</v>
      </c>
      <c r="AD130" s="492">
        <v>0</v>
      </c>
      <c r="AE130" s="492">
        <v>0</v>
      </c>
      <c r="AF130" s="492">
        <f t="shared" si="80"/>
        <v>0</v>
      </c>
      <c r="AG130" s="492">
        <f t="shared" si="81"/>
        <v>0</v>
      </c>
      <c r="AH130" s="493">
        <v>0</v>
      </c>
      <c r="AI130" s="493">
        <v>0</v>
      </c>
      <c r="AJ130" s="493">
        <v>0</v>
      </c>
      <c r="AK130" s="493">
        <v>0</v>
      </c>
      <c r="AL130" s="493">
        <v>0</v>
      </c>
      <c r="AM130" s="493">
        <v>0</v>
      </c>
      <c r="AN130" s="493">
        <v>0</v>
      </c>
      <c r="AO130" s="493">
        <f>AH130+AJ130+AM130</f>
        <v>0</v>
      </c>
      <c r="AP130" s="493">
        <f>AI130+AN130</f>
        <v>0</v>
      </c>
      <c r="AQ130" s="495">
        <f t="shared" si="82"/>
        <v>0</v>
      </c>
      <c r="AR130" s="501">
        <f>I130+AG130</f>
        <v>544428</v>
      </c>
      <c r="AS130" s="492">
        <f>J130+V130</f>
        <v>400904</v>
      </c>
      <c r="AT130" s="492">
        <f t="shared" si="138"/>
        <v>0</v>
      </c>
      <c r="AU130" s="492">
        <f t="shared" si="139"/>
        <v>135506</v>
      </c>
      <c r="AV130" s="492">
        <f t="shared" si="139"/>
        <v>8018</v>
      </c>
      <c r="AW130" s="492">
        <f>N130+AF130</f>
        <v>0</v>
      </c>
      <c r="AX130" s="493">
        <f>O130+AQ130</f>
        <v>1</v>
      </c>
      <c r="AY130" s="493">
        <f t="shared" si="140"/>
        <v>1</v>
      </c>
      <c r="AZ130" s="495">
        <f t="shared" si="140"/>
        <v>0</v>
      </c>
    </row>
    <row r="131" spans="1:52" ht="12.95" customHeight="1" x14ac:dyDescent="0.25">
      <c r="A131" s="313">
        <v>25</v>
      </c>
      <c r="B131" s="229">
        <v>5433</v>
      </c>
      <c r="C131" s="229">
        <v>600099253</v>
      </c>
      <c r="D131" s="314">
        <v>70695300</v>
      </c>
      <c r="E131" s="410" t="s">
        <v>531</v>
      </c>
      <c r="F131" s="421">
        <v>3143</v>
      </c>
      <c r="G131" s="356" t="s">
        <v>630</v>
      </c>
      <c r="H131" s="318" t="s">
        <v>279</v>
      </c>
      <c r="I131" s="494">
        <v>18899</v>
      </c>
      <c r="J131" s="489">
        <v>13365</v>
      </c>
      <c r="K131" s="489">
        <v>0</v>
      </c>
      <c r="L131" s="489">
        <v>4517</v>
      </c>
      <c r="M131" s="489">
        <v>267</v>
      </c>
      <c r="N131" s="489">
        <v>750</v>
      </c>
      <c r="O131" s="490">
        <v>0.05</v>
      </c>
      <c r="P131" s="491">
        <v>0</v>
      </c>
      <c r="Q131" s="500">
        <v>0.05</v>
      </c>
      <c r="R131" s="502">
        <f t="shared" si="78"/>
        <v>0</v>
      </c>
      <c r="S131" s="492">
        <v>0</v>
      </c>
      <c r="T131" s="492">
        <v>0</v>
      </c>
      <c r="U131" s="492">
        <v>0</v>
      </c>
      <c r="V131" s="492">
        <f t="shared" si="79"/>
        <v>0</v>
      </c>
      <c r="W131" s="492">
        <v>0</v>
      </c>
      <c r="X131" s="492">
        <v>0</v>
      </c>
      <c r="Y131" s="492">
        <v>0</v>
      </c>
      <c r="Z131" s="492">
        <f>SUM(W131:Y131)</f>
        <v>0</v>
      </c>
      <c r="AA131" s="492">
        <f>V131+Z131</f>
        <v>0</v>
      </c>
      <c r="AB131" s="74">
        <f>ROUND((V131+W131+X131)*33.8%,0)</f>
        <v>0</v>
      </c>
      <c r="AC131" s="74">
        <f>ROUND(V131*2%,0)</f>
        <v>0</v>
      </c>
      <c r="AD131" s="492">
        <v>0</v>
      </c>
      <c r="AE131" s="492">
        <v>0</v>
      </c>
      <c r="AF131" s="492">
        <f t="shared" si="80"/>
        <v>0</v>
      </c>
      <c r="AG131" s="492">
        <f t="shared" si="81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>AH131+AJ131+AM131</f>
        <v>0</v>
      </c>
      <c r="AP131" s="493">
        <f>AI131+AN131</f>
        <v>0</v>
      </c>
      <c r="AQ131" s="495">
        <f t="shared" si="82"/>
        <v>0</v>
      </c>
      <c r="AR131" s="501">
        <f>I131+AG131</f>
        <v>18899</v>
      </c>
      <c r="AS131" s="492">
        <f>J131+V131</f>
        <v>13365</v>
      </c>
      <c r="AT131" s="492">
        <f t="shared" si="138"/>
        <v>0</v>
      </c>
      <c r="AU131" s="492">
        <f t="shared" si="139"/>
        <v>4517</v>
      </c>
      <c r="AV131" s="492">
        <f t="shared" si="139"/>
        <v>267</v>
      </c>
      <c r="AW131" s="492">
        <f>N131+AF131</f>
        <v>750</v>
      </c>
      <c r="AX131" s="493">
        <f>O131+AQ131</f>
        <v>0.05</v>
      </c>
      <c r="AY131" s="493">
        <f t="shared" si="140"/>
        <v>0</v>
      </c>
      <c r="AZ131" s="495">
        <f t="shared" si="140"/>
        <v>0.05</v>
      </c>
    </row>
    <row r="132" spans="1:52" ht="12.95" customHeight="1" x14ac:dyDescent="0.25">
      <c r="A132" s="230">
        <v>25</v>
      </c>
      <c r="B132" s="50">
        <v>5433</v>
      </c>
      <c r="C132" s="50">
        <v>600099253</v>
      </c>
      <c r="D132" s="50">
        <v>70695300</v>
      </c>
      <c r="E132" s="422" t="s">
        <v>532</v>
      </c>
      <c r="F132" s="423"/>
      <c r="G132" s="422"/>
      <c r="H132" s="424"/>
      <c r="I132" s="584">
        <v>4489570</v>
      </c>
      <c r="J132" s="580">
        <v>3259855</v>
      </c>
      <c r="K132" s="580">
        <v>0</v>
      </c>
      <c r="L132" s="580">
        <v>1101830</v>
      </c>
      <c r="M132" s="580">
        <v>65197</v>
      </c>
      <c r="N132" s="580">
        <v>62688</v>
      </c>
      <c r="O132" s="581">
        <v>6.6292999999999997</v>
      </c>
      <c r="P132" s="581">
        <v>4.4089999999999998</v>
      </c>
      <c r="Q132" s="586">
        <v>2.2202999999999999</v>
      </c>
      <c r="R132" s="584">
        <f t="shared" ref="R132:AZ132" si="141">SUM(R127:R131)</f>
        <v>0</v>
      </c>
      <c r="S132" s="580">
        <f t="shared" si="141"/>
        <v>0</v>
      </c>
      <c r="T132" s="580">
        <f t="shared" si="141"/>
        <v>0</v>
      </c>
      <c r="U132" s="580">
        <f t="shared" si="141"/>
        <v>0</v>
      </c>
      <c r="V132" s="580">
        <f t="shared" si="141"/>
        <v>0</v>
      </c>
      <c r="W132" s="580">
        <f t="shared" si="141"/>
        <v>0</v>
      </c>
      <c r="X132" s="580">
        <f t="shared" si="141"/>
        <v>0</v>
      </c>
      <c r="Y132" s="580">
        <f t="shared" si="141"/>
        <v>0</v>
      </c>
      <c r="Z132" s="580">
        <f t="shared" si="141"/>
        <v>0</v>
      </c>
      <c r="AA132" s="580">
        <f t="shared" si="141"/>
        <v>0</v>
      </c>
      <c r="AB132" s="580">
        <f t="shared" si="141"/>
        <v>0</v>
      </c>
      <c r="AC132" s="580">
        <f t="shared" si="141"/>
        <v>0</v>
      </c>
      <c r="AD132" s="580">
        <f t="shared" si="141"/>
        <v>0</v>
      </c>
      <c r="AE132" s="580">
        <f t="shared" si="141"/>
        <v>0</v>
      </c>
      <c r="AF132" s="580">
        <f t="shared" si="141"/>
        <v>0</v>
      </c>
      <c r="AG132" s="580">
        <f t="shared" si="141"/>
        <v>0</v>
      </c>
      <c r="AH132" s="581">
        <f t="shared" si="141"/>
        <v>0</v>
      </c>
      <c r="AI132" s="581">
        <f t="shared" si="141"/>
        <v>0</v>
      </c>
      <c r="AJ132" s="581">
        <f t="shared" si="141"/>
        <v>0</v>
      </c>
      <c r="AK132" s="581">
        <f t="shared" si="141"/>
        <v>0</v>
      </c>
      <c r="AL132" s="581">
        <f t="shared" si="141"/>
        <v>0</v>
      </c>
      <c r="AM132" s="581">
        <f t="shared" si="141"/>
        <v>0</v>
      </c>
      <c r="AN132" s="581">
        <f t="shared" si="141"/>
        <v>0</v>
      </c>
      <c r="AO132" s="581">
        <f t="shared" si="141"/>
        <v>0</v>
      </c>
      <c r="AP132" s="581">
        <f t="shared" si="141"/>
        <v>0</v>
      </c>
      <c r="AQ132" s="312">
        <f t="shared" si="141"/>
        <v>0</v>
      </c>
      <c r="AR132" s="588">
        <f t="shared" si="141"/>
        <v>4489570</v>
      </c>
      <c r="AS132" s="580">
        <f t="shared" si="141"/>
        <v>3259855</v>
      </c>
      <c r="AT132" s="580">
        <f t="shared" si="141"/>
        <v>0</v>
      </c>
      <c r="AU132" s="580">
        <f t="shared" si="141"/>
        <v>1101830</v>
      </c>
      <c r="AV132" s="580">
        <f t="shared" si="141"/>
        <v>65197</v>
      </c>
      <c r="AW132" s="580">
        <f t="shared" si="141"/>
        <v>62688</v>
      </c>
      <c r="AX132" s="581">
        <f t="shared" si="141"/>
        <v>6.6292999999999997</v>
      </c>
      <c r="AY132" s="581">
        <f t="shared" si="141"/>
        <v>4.4089999999999998</v>
      </c>
      <c r="AZ132" s="312">
        <f t="shared" si="141"/>
        <v>2.2202999999999999</v>
      </c>
    </row>
    <row r="133" spans="1:52" ht="12.95" customHeight="1" x14ac:dyDescent="0.25">
      <c r="A133" s="313">
        <v>26</v>
      </c>
      <c r="B133" s="229">
        <v>5486</v>
      </c>
      <c r="C133" s="229">
        <v>600098711</v>
      </c>
      <c r="D133" s="314">
        <v>72744022</v>
      </c>
      <c r="E133" s="411" t="s">
        <v>533</v>
      </c>
      <c r="F133" s="229">
        <v>3111</v>
      </c>
      <c r="G133" s="412" t="s">
        <v>326</v>
      </c>
      <c r="H133" s="318" t="s">
        <v>278</v>
      </c>
      <c r="I133" s="494">
        <v>2090297</v>
      </c>
      <c r="J133" s="489">
        <v>1531294</v>
      </c>
      <c r="K133" s="489">
        <v>0</v>
      </c>
      <c r="L133" s="489">
        <v>517577</v>
      </c>
      <c r="M133" s="489">
        <v>30626</v>
      </c>
      <c r="N133" s="489">
        <v>10800</v>
      </c>
      <c r="O133" s="490">
        <v>3.1251999999999995</v>
      </c>
      <c r="P133" s="491">
        <v>2.2902999999999998</v>
      </c>
      <c r="Q133" s="500">
        <v>0.83489999999999998</v>
      </c>
      <c r="R133" s="502">
        <f t="shared" si="78"/>
        <v>0</v>
      </c>
      <c r="S133" s="492">
        <v>0</v>
      </c>
      <c r="T133" s="492">
        <v>0</v>
      </c>
      <c r="U133" s="492">
        <v>0</v>
      </c>
      <c r="V133" s="492">
        <f t="shared" si="79"/>
        <v>0</v>
      </c>
      <c r="W133" s="492">
        <v>0</v>
      </c>
      <c r="X133" s="492">
        <v>0</v>
      </c>
      <c r="Y133" s="492">
        <v>0</v>
      </c>
      <c r="Z133" s="492">
        <f>SUM(W133:Y133)</f>
        <v>0</v>
      </c>
      <c r="AA133" s="492">
        <f>V133+Z133</f>
        <v>0</v>
      </c>
      <c r="AB133" s="74">
        <f>ROUND((V133+W133+X133)*33.8%,0)</f>
        <v>0</v>
      </c>
      <c r="AC133" s="74">
        <f>ROUND(V133*2%,0)</f>
        <v>0</v>
      </c>
      <c r="AD133" s="492">
        <v>0</v>
      </c>
      <c r="AE133" s="492">
        <v>0</v>
      </c>
      <c r="AF133" s="492">
        <f t="shared" si="80"/>
        <v>0</v>
      </c>
      <c r="AG133" s="492">
        <f t="shared" si="81"/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>AH133+AJ133+AM133</f>
        <v>0</v>
      </c>
      <c r="AP133" s="493">
        <f>AI133+AN133</f>
        <v>0</v>
      </c>
      <c r="AQ133" s="495">
        <f t="shared" si="82"/>
        <v>0</v>
      </c>
      <c r="AR133" s="501">
        <f>I133+AG133</f>
        <v>2090297</v>
      </c>
      <c r="AS133" s="492">
        <f>J133+V133</f>
        <v>1531294</v>
      </c>
      <c r="AT133" s="492">
        <f t="shared" ref="AT133:AT134" si="142">K133+Z133</f>
        <v>0</v>
      </c>
      <c r="AU133" s="492">
        <f>L133+AB133</f>
        <v>517577</v>
      </c>
      <c r="AV133" s="492">
        <f>M133+AC133</f>
        <v>30626</v>
      </c>
      <c r="AW133" s="492">
        <f>N133+AF133</f>
        <v>10800</v>
      </c>
      <c r="AX133" s="493">
        <f>O133+AQ133</f>
        <v>3.1251999999999995</v>
      </c>
      <c r="AY133" s="493">
        <f>P133+AO133</f>
        <v>2.2902999999999998</v>
      </c>
      <c r="AZ133" s="495">
        <f>Q133+AP133</f>
        <v>0.83489999999999998</v>
      </c>
    </row>
    <row r="134" spans="1:52" ht="12.95" customHeight="1" x14ac:dyDescent="0.25">
      <c r="A134" s="313">
        <v>26</v>
      </c>
      <c r="B134" s="229">
        <v>5486</v>
      </c>
      <c r="C134" s="229">
        <v>600098711</v>
      </c>
      <c r="D134" s="314">
        <v>72744022</v>
      </c>
      <c r="E134" s="411" t="s">
        <v>533</v>
      </c>
      <c r="F134" s="229">
        <v>3141</v>
      </c>
      <c r="G134" s="412" t="s">
        <v>316</v>
      </c>
      <c r="H134" s="318" t="s">
        <v>279</v>
      </c>
      <c r="I134" s="494">
        <v>404755</v>
      </c>
      <c r="J134" s="489">
        <v>297027</v>
      </c>
      <c r="K134" s="489">
        <v>0</v>
      </c>
      <c r="L134" s="489">
        <v>100395</v>
      </c>
      <c r="M134" s="489">
        <v>5941</v>
      </c>
      <c r="N134" s="489">
        <v>1392</v>
      </c>
      <c r="O134" s="490">
        <v>0.94</v>
      </c>
      <c r="P134" s="491">
        <v>0</v>
      </c>
      <c r="Q134" s="500">
        <v>0.94</v>
      </c>
      <c r="R134" s="502">
        <f t="shared" si="78"/>
        <v>0</v>
      </c>
      <c r="S134" s="492">
        <v>0</v>
      </c>
      <c r="T134" s="492">
        <v>0</v>
      </c>
      <c r="U134" s="492">
        <v>0</v>
      </c>
      <c r="V134" s="492">
        <f t="shared" si="79"/>
        <v>0</v>
      </c>
      <c r="W134" s="492">
        <v>0</v>
      </c>
      <c r="X134" s="492">
        <v>0</v>
      </c>
      <c r="Y134" s="492">
        <v>0</v>
      </c>
      <c r="Z134" s="492">
        <f>SUM(W134:Y134)</f>
        <v>0</v>
      </c>
      <c r="AA134" s="492">
        <f>V134+Z134</f>
        <v>0</v>
      </c>
      <c r="AB134" s="74">
        <f>ROUND((V134+W134+X134)*33.8%,0)</f>
        <v>0</v>
      </c>
      <c r="AC134" s="74">
        <f>ROUND(V134*2%,0)</f>
        <v>0</v>
      </c>
      <c r="AD134" s="492">
        <v>0</v>
      </c>
      <c r="AE134" s="492">
        <v>0</v>
      </c>
      <c r="AF134" s="492">
        <f t="shared" si="80"/>
        <v>0</v>
      </c>
      <c r="AG134" s="492">
        <f t="shared" si="81"/>
        <v>0</v>
      </c>
      <c r="AH134" s="493">
        <v>0</v>
      </c>
      <c r="AI134" s="493">
        <v>0</v>
      </c>
      <c r="AJ134" s="493">
        <v>0</v>
      </c>
      <c r="AK134" s="493">
        <v>0</v>
      </c>
      <c r="AL134" s="493">
        <v>0</v>
      </c>
      <c r="AM134" s="493">
        <v>0</v>
      </c>
      <c r="AN134" s="493">
        <v>0</v>
      </c>
      <c r="AO134" s="493">
        <f>AH134+AJ134+AM134</f>
        <v>0</v>
      </c>
      <c r="AP134" s="493">
        <f>AI134+AN134</f>
        <v>0</v>
      </c>
      <c r="AQ134" s="495">
        <f t="shared" si="82"/>
        <v>0</v>
      </c>
      <c r="AR134" s="501">
        <f>I134+AG134</f>
        <v>404755</v>
      </c>
      <c r="AS134" s="492">
        <f>J134+V134</f>
        <v>297027</v>
      </c>
      <c r="AT134" s="492">
        <f t="shared" si="142"/>
        <v>0</v>
      </c>
      <c r="AU134" s="492">
        <f>L134+AB134</f>
        <v>100395</v>
      </c>
      <c r="AV134" s="492">
        <f>M134+AC134</f>
        <v>5941</v>
      </c>
      <c r="AW134" s="492">
        <f>N134+AF134</f>
        <v>1392</v>
      </c>
      <c r="AX134" s="493">
        <f>O134+AQ134</f>
        <v>0.94</v>
      </c>
      <c r="AY134" s="493">
        <f>P134+AO134</f>
        <v>0</v>
      </c>
      <c r="AZ134" s="495">
        <f>Q134+AP134</f>
        <v>0.94</v>
      </c>
    </row>
    <row r="135" spans="1:52" ht="12.95" customHeight="1" x14ac:dyDescent="0.25">
      <c r="A135" s="230">
        <v>26</v>
      </c>
      <c r="B135" s="50">
        <v>5486</v>
      </c>
      <c r="C135" s="50">
        <v>600098711</v>
      </c>
      <c r="D135" s="50">
        <v>72744022</v>
      </c>
      <c r="E135" s="413" t="s">
        <v>534</v>
      </c>
      <c r="F135" s="50"/>
      <c r="G135" s="413"/>
      <c r="H135" s="194"/>
      <c r="I135" s="636">
        <v>2495052</v>
      </c>
      <c r="J135" s="633">
        <v>1828321</v>
      </c>
      <c r="K135" s="633">
        <v>0</v>
      </c>
      <c r="L135" s="633">
        <v>617972</v>
      </c>
      <c r="M135" s="633">
        <v>36567</v>
      </c>
      <c r="N135" s="633">
        <v>12192</v>
      </c>
      <c r="O135" s="634">
        <v>4.065199999999999</v>
      </c>
      <c r="P135" s="634">
        <v>2.2902999999999998</v>
      </c>
      <c r="Q135" s="638">
        <v>1.7748999999999999</v>
      </c>
      <c r="R135" s="636">
        <f t="shared" ref="R135:AZ135" si="143">SUM(R133:R134)</f>
        <v>0</v>
      </c>
      <c r="S135" s="633">
        <f t="shared" si="143"/>
        <v>0</v>
      </c>
      <c r="T135" s="633">
        <f t="shared" si="143"/>
        <v>0</v>
      </c>
      <c r="U135" s="633">
        <f t="shared" si="143"/>
        <v>0</v>
      </c>
      <c r="V135" s="633">
        <f t="shared" si="143"/>
        <v>0</v>
      </c>
      <c r="W135" s="633">
        <f t="shared" si="143"/>
        <v>0</v>
      </c>
      <c r="X135" s="633">
        <f t="shared" si="143"/>
        <v>0</v>
      </c>
      <c r="Y135" s="633">
        <f t="shared" si="143"/>
        <v>0</v>
      </c>
      <c r="Z135" s="633">
        <f t="shared" si="143"/>
        <v>0</v>
      </c>
      <c r="AA135" s="633">
        <f t="shared" si="143"/>
        <v>0</v>
      </c>
      <c r="AB135" s="633">
        <f t="shared" si="143"/>
        <v>0</v>
      </c>
      <c r="AC135" s="633">
        <f t="shared" si="143"/>
        <v>0</v>
      </c>
      <c r="AD135" s="633">
        <f t="shared" si="143"/>
        <v>0</v>
      </c>
      <c r="AE135" s="633">
        <f t="shared" si="143"/>
        <v>0</v>
      </c>
      <c r="AF135" s="633">
        <f t="shared" si="143"/>
        <v>0</v>
      </c>
      <c r="AG135" s="633">
        <f t="shared" si="143"/>
        <v>0</v>
      </c>
      <c r="AH135" s="634">
        <f t="shared" si="143"/>
        <v>0</v>
      </c>
      <c r="AI135" s="634">
        <f t="shared" si="143"/>
        <v>0</v>
      </c>
      <c r="AJ135" s="634">
        <f t="shared" si="143"/>
        <v>0</v>
      </c>
      <c r="AK135" s="634">
        <f t="shared" si="143"/>
        <v>0</v>
      </c>
      <c r="AL135" s="634">
        <f t="shared" si="143"/>
        <v>0</v>
      </c>
      <c r="AM135" s="634">
        <f t="shared" si="143"/>
        <v>0</v>
      </c>
      <c r="AN135" s="634">
        <f t="shared" si="143"/>
        <v>0</v>
      </c>
      <c r="AO135" s="634">
        <f t="shared" si="143"/>
        <v>0</v>
      </c>
      <c r="AP135" s="634">
        <f t="shared" si="143"/>
        <v>0</v>
      </c>
      <c r="AQ135" s="418">
        <f t="shared" si="143"/>
        <v>0</v>
      </c>
      <c r="AR135" s="640">
        <f t="shared" si="143"/>
        <v>2495052</v>
      </c>
      <c r="AS135" s="633">
        <f t="shared" si="143"/>
        <v>1828321</v>
      </c>
      <c r="AT135" s="633">
        <f t="shared" si="143"/>
        <v>0</v>
      </c>
      <c r="AU135" s="633">
        <f t="shared" si="143"/>
        <v>617972</v>
      </c>
      <c r="AV135" s="633">
        <f t="shared" si="143"/>
        <v>36567</v>
      </c>
      <c r="AW135" s="633">
        <f t="shared" si="143"/>
        <v>12192</v>
      </c>
      <c r="AX135" s="634">
        <f t="shared" si="143"/>
        <v>4.065199999999999</v>
      </c>
      <c r="AY135" s="634">
        <f t="shared" si="143"/>
        <v>2.2902999999999998</v>
      </c>
      <c r="AZ135" s="418">
        <f t="shared" si="143"/>
        <v>1.7748999999999999</v>
      </c>
    </row>
    <row r="136" spans="1:52" ht="12.95" customHeight="1" x14ac:dyDescent="0.25">
      <c r="A136" s="313">
        <v>27</v>
      </c>
      <c r="B136" s="415">
        <v>2440</v>
      </c>
      <c r="C136" s="415">
        <v>600079392</v>
      </c>
      <c r="D136" s="314">
        <v>70981183</v>
      </c>
      <c r="E136" s="411" t="s">
        <v>535</v>
      </c>
      <c r="F136" s="229">
        <v>3111</v>
      </c>
      <c r="G136" s="412" t="s">
        <v>326</v>
      </c>
      <c r="H136" s="318" t="s">
        <v>278</v>
      </c>
      <c r="I136" s="494">
        <v>2519584</v>
      </c>
      <c r="J136" s="489">
        <v>1844760</v>
      </c>
      <c r="K136" s="489">
        <v>0</v>
      </c>
      <c r="L136" s="489">
        <v>623529</v>
      </c>
      <c r="M136" s="489">
        <v>36895</v>
      </c>
      <c r="N136" s="489">
        <v>14400</v>
      </c>
      <c r="O136" s="490">
        <v>4.3898000000000001</v>
      </c>
      <c r="P136" s="491">
        <v>3</v>
      </c>
      <c r="Q136" s="500">
        <v>1.3897999999999999</v>
      </c>
      <c r="R136" s="502">
        <f t="shared" si="78"/>
        <v>0</v>
      </c>
      <c r="S136" s="492">
        <v>0</v>
      </c>
      <c r="T136" s="492">
        <v>0</v>
      </c>
      <c r="U136" s="492">
        <v>0</v>
      </c>
      <c r="V136" s="492">
        <f t="shared" si="79"/>
        <v>0</v>
      </c>
      <c r="W136" s="492">
        <v>0</v>
      </c>
      <c r="X136" s="492">
        <v>0</v>
      </c>
      <c r="Y136" s="492">
        <v>0</v>
      </c>
      <c r="Z136" s="492">
        <f>SUM(W136:Y136)</f>
        <v>0</v>
      </c>
      <c r="AA136" s="492">
        <f>V136+Z136</f>
        <v>0</v>
      </c>
      <c r="AB136" s="74">
        <f>ROUND((V136+W136+X136)*33.8%,0)</f>
        <v>0</v>
      </c>
      <c r="AC136" s="74">
        <f>ROUND(V136*2%,0)</f>
        <v>0</v>
      </c>
      <c r="AD136" s="492">
        <v>0</v>
      </c>
      <c r="AE136" s="492">
        <v>0</v>
      </c>
      <c r="AF136" s="492">
        <f t="shared" si="80"/>
        <v>0</v>
      </c>
      <c r="AG136" s="492">
        <f t="shared" si="81"/>
        <v>0</v>
      </c>
      <c r="AH136" s="493">
        <v>0</v>
      </c>
      <c r="AI136" s="493">
        <v>0</v>
      </c>
      <c r="AJ136" s="493">
        <v>0</v>
      </c>
      <c r="AK136" s="493">
        <v>0</v>
      </c>
      <c r="AL136" s="493">
        <v>0</v>
      </c>
      <c r="AM136" s="493">
        <v>0</v>
      </c>
      <c r="AN136" s="493">
        <v>0</v>
      </c>
      <c r="AO136" s="493">
        <f>AH136+AJ136+AM136</f>
        <v>0</v>
      </c>
      <c r="AP136" s="493">
        <f>AI136+AN136</f>
        <v>0</v>
      </c>
      <c r="AQ136" s="495">
        <f t="shared" si="82"/>
        <v>0</v>
      </c>
      <c r="AR136" s="501">
        <f>I136+AG136</f>
        <v>2519584</v>
      </c>
      <c r="AS136" s="492">
        <f>J136+V136</f>
        <v>1844760</v>
      </c>
      <c r="AT136" s="492">
        <f t="shared" ref="AT136:AT137" si="144">K136+Z136</f>
        <v>0</v>
      </c>
      <c r="AU136" s="492">
        <f>L136+AB136</f>
        <v>623529</v>
      </c>
      <c r="AV136" s="492">
        <f>M136+AC136</f>
        <v>36895</v>
      </c>
      <c r="AW136" s="492">
        <f>N136+AF136</f>
        <v>14400</v>
      </c>
      <c r="AX136" s="493">
        <f>O136+AQ136</f>
        <v>4.3898000000000001</v>
      </c>
      <c r="AY136" s="493">
        <f>P136+AO136</f>
        <v>3</v>
      </c>
      <c r="AZ136" s="495">
        <f>Q136+AP136</f>
        <v>1.3897999999999999</v>
      </c>
    </row>
    <row r="137" spans="1:52" ht="12.95" customHeight="1" x14ac:dyDescent="0.25">
      <c r="A137" s="313">
        <v>27</v>
      </c>
      <c r="B137" s="229">
        <v>2440</v>
      </c>
      <c r="C137" s="229">
        <v>600079392</v>
      </c>
      <c r="D137" s="314">
        <v>70981183</v>
      </c>
      <c r="E137" s="411" t="s">
        <v>535</v>
      </c>
      <c r="F137" s="229">
        <v>3141</v>
      </c>
      <c r="G137" s="412" t="s">
        <v>316</v>
      </c>
      <c r="H137" s="318" t="s">
        <v>279</v>
      </c>
      <c r="I137" s="494">
        <v>502137</v>
      </c>
      <c r="J137" s="489">
        <v>368395</v>
      </c>
      <c r="K137" s="489">
        <v>0</v>
      </c>
      <c r="L137" s="489">
        <v>124518</v>
      </c>
      <c r="M137" s="489">
        <v>7368</v>
      </c>
      <c r="N137" s="489">
        <v>1856</v>
      </c>
      <c r="O137" s="490">
        <v>1.1599999999999999</v>
      </c>
      <c r="P137" s="491">
        <v>0</v>
      </c>
      <c r="Q137" s="500">
        <v>1.1599999999999999</v>
      </c>
      <c r="R137" s="502">
        <f t="shared" si="78"/>
        <v>0</v>
      </c>
      <c r="S137" s="492">
        <v>0</v>
      </c>
      <c r="T137" s="492">
        <v>0</v>
      </c>
      <c r="U137" s="492">
        <v>0</v>
      </c>
      <c r="V137" s="492">
        <f t="shared" si="79"/>
        <v>0</v>
      </c>
      <c r="W137" s="492">
        <v>0</v>
      </c>
      <c r="X137" s="492">
        <v>0</v>
      </c>
      <c r="Y137" s="492">
        <v>0</v>
      </c>
      <c r="Z137" s="492">
        <f>SUM(W137:Y137)</f>
        <v>0</v>
      </c>
      <c r="AA137" s="492">
        <f>V137+Z137</f>
        <v>0</v>
      </c>
      <c r="AB137" s="74">
        <f>ROUND((V137+W137+X137)*33.8%,0)</f>
        <v>0</v>
      </c>
      <c r="AC137" s="74">
        <f>ROUND(V137*2%,0)</f>
        <v>0</v>
      </c>
      <c r="AD137" s="492">
        <v>0</v>
      </c>
      <c r="AE137" s="492">
        <v>0</v>
      </c>
      <c r="AF137" s="492">
        <f t="shared" si="80"/>
        <v>0</v>
      </c>
      <c r="AG137" s="492">
        <f t="shared" si="81"/>
        <v>0</v>
      </c>
      <c r="AH137" s="493">
        <v>0</v>
      </c>
      <c r="AI137" s="493">
        <v>0</v>
      </c>
      <c r="AJ137" s="493">
        <v>0</v>
      </c>
      <c r="AK137" s="493">
        <v>0</v>
      </c>
      <c r="AL137" s="493">
        <v>0</v>
      </c>
      <c r="AM137" s="493">
        <v>0</v>
      </c>
      <c r="AN137" s="493">
        <v>0</v>
      </c>
      <c r="AO137" s="493">
        <f>AH137+AJ137+AM137</f>
        <v>0</v>
      </c>
      <c r="AP137" s="493">
        <f>AI137+AN137</f>
        <v>0</v>
      </c>
      <c r="AQ137" s="495">
        <f t="shared" si="82"/>
        <v>0</v>
      </c>
      <c r="AR137" s="501">
        <f>I137+AG137</f>
        <v>502137</v>
      </c>
      <c r="AS137" s="492">
        <f>J137+V137</f>
        <v>368395</v>
      </c>
      <c r="AT137" s="492">
        <f t="shared" si="144"/>
        <v>0</v>
      </c>
      <c r="AU137" s="492">
        <f>L137+AB137</f>
        <v>124518</v>
      </c>
      <c r="AV137" s="492">
        <f>M137+AC137</f>
        <v>7368</v>
      </c>
      <c r="AW137" s="492">
        <f>N137+AF137</f>
        <v>1856</v>
      </c>
      <c r="AX137" s="493">
        <f>O137+AQ137</f>
        <v>1.1599999999999999</v>
      </c>
      <c r="AY137" s="493">
        <f>P137+AO137</f>
        <v>0</v>
      </c>
      <c r="AZ137" s="495">
        <f>Q137+AP137</f>
        <v>1.1599999999999999</v>
      </c>
    </row>
    <row r="138" spans="1:52" ht="12.95" customHeight="1" x14ac:dyDescent="0.25">
      <c r="A138" s="230">
        <v>27</v>
      </c>
      <c r="B138" s="50">
        <v>2440</v>
      </c>
      <c r="C138" s="50">
        <v>600079392</v>
      </c>
      <c r="D138" s="50">
        <v>70981183</v>
      </c>
      <c r="E138" s="413" t="s">
        <v>536</v>
      </c>
      <c r="F138" s="50"/>
      <c r="G138" s="413"/>
      <c r="H138" s="194"/>
      <c r="I138" s="636">
        <v>3021721</v>
      </c>
      <c r="J138" s="633">
        <v>2213155</v>
      </c>
      <c r="K138" s="633">
        <v>0</v>
      </c>
      <c r="L138" s="633">
        <v>748047</v>
      </c>
      <c r="M138" s="633">
        <v>44263</v>
      </c>
      <c r="N138" s="633">
        <v>16256</v>
      </c>
      <c r="O138" s="634">
        <v>5.5498000000000003</v>
      </c>
      <c r="P138" s="634">
        <v>3</v>
      </c>
      <c r="Q138" s="638">
        <v>2.5497999999999998</v>
      </c>
      <c r="R138" s="636">
        <f t="shared" ref="R138:AZ138" si="145">SUM(R136:R137)</f>
        <v>0</v>
      </c>
      <c r="S138" s="633">
        <f t="shared" si="145"/>
        <v>0</v>
      </c>
      <c r="T138" s="633">
        <f t="shared" si="145"/>
        <v>0</v>
      </c>
      <c r="U138" s="633">
        <f t="shared" si="145"/>
        <v>0</v>
      </c>
      <c r="V138" s="633">
        <f t="shared" si="145"/>
        <v>0</v>
      </c>
      <c r="W138" s="633">
        <f t="shared" si="145"/>
        <v>0</v>
      </c>
      <c r="X138" s="633">
        <f t="shared" si="145"/>
        <v>0</v>
      </c>
      <c r="Y138" s="633">
        <f t="shared" si="145"/>
        <v>0</v>
      </c>
      <c r="Z138" s="633">
        <f t="shared" si="145"/>
        <v>0</v>
      </c>
      <c r="AA138" s="633">
        <f t="shared" si="145"/>
        <v>0</v>
      </c>
      <c r="AB138" s="633">
        <f t="shared" si="145"/>
        <v>0</v>
      </c>
      <c r="AC138" s="633">
        <f t="shared" si="145"/>
        <v>0</v>
      </c>
      <c r="AD138" s="633">
        <f t="shared" si="145"/>
        <v>0</v>
      </c>
      <c r="AE138" s="633">
        <f t="shared" si="145"/>
        <v>0</v>
      </c>
      <c r="AF138" s="633">
        <f t="shared" si="145"/>
        <v>0</v>
      </c>
      <c r="AG138" s="633">
        <f t="shared" si="145"/>
        <v>0</v>
      </c>
      <c r="AH138" s="634">
        <f t="shared" si="145"/>
        <v>0</v>
      </c>
      <c r="AI138" s="634">
        <f t="shared" si="145"/>
        <v>0</v>
      </c>
      <c r="AJ138" s="634">
        <f t="shared" si="145"/>
        <v>0</v>
      </c>
      <c r="AK138" s="634">
        <f t="shared" si="145"/>
        <v>0</v>
      </c>
      <c r="AL138" s="634">
        <f t="shared" si="145"/>
        <v>0</v>
      </c>
      <c r="AM138" s="634">
        <f t="shared" si="145"/>
        <v>0</v>
      </c>
      <c r="AN138" s="634">
        <f t="shared" si="145"/>
        <v>0</v>
      </c>
      <c r="AO138" s="634">
        <f t="shared" si="145"/>
        <v>0</v>
      </c>
      <c r="AP138" s="634">
        <f t="shared" si="145"/>
        <v>0</v>
      </c>
      <c r="AQ138" s="418">
        <f t="shared" si="145"/>
        <v>0</v>
      </c>
      <c r="AR138" s="640">
        <f t="shared" si="145"/>
        <v>3021721</v>
      </c>
      <c r="AS138" s="633">
        <f t="shared" si="145"/>
        <v>2213155</v>
      </c>
      <c r="AT138" s="633">
        <f t="shared" si="145"/>
        <v>0</v>
      </c>
      <c r="AU138" s="633">
        <f t="shared" si="145"/>
        <v>748047</v>
      </c>
      <c r="AV138" s="633">
        <f t="shared" si="145"/>
        <v>44263</v>
      </c>
      <c r="AW138" s="633">
        <f t="shared" si="145"/>
        <v>16256</v>
      </c>
      <c r="AX138" s="634">
        <f t="shared" si="145"/>
        <v>5.5498000000000003</v>
      </c>
      <c r="AY138" s="634">
        <f t="shared" si="145"/>
        <v>3</v>
      </c>
      <c r="AZ138" s="418">
        <f t="shared" si="145"/>
        <v>2.5497999999999998</v>
      </c>
    </row>
    <row r="139" spans="1:52" ht="12.95" customHeight="1" x14ac:dyDescent="0.25">
      <c r="A139" s="313">
        <v>28</v>
      </c>
      <c r="B139" s="409">
        <v>2303</v>
      </c>
      <c r="C139" s="409">
        <v>600080048</v>
      </c>
      <c r="D139" s="314">
        <v>72743689</v>
      </c>
      <c r="E139" s="410" t="s">
        <v>537</v>
      </c>
      <c r="F139" s="409">
        <v>3111</v>
      </c>
      <c r="G139" s="412" t="s">
        <v>326</v>
      </c>
      <c r="H139" s="318" t="s">
        <v>278</v>
      </c>
      <c r="I139" s="494">
        <v>3039985</v>
      </c>
      <c r="J139" s="489">
        <v>2193299</v>
      </c>
      <c r="K139" s="489">
        <v>32500</v>
      </c>
      <c r="L139" s="489">
        <v>752320</v>
      </c>
      <c r="M139" s="489">
        <v>43866</v>
      </c>
      <c r="N139" s="489">
        <v>18000</v>
      </c>
      <c r="O139" s="490">
        <v>4.8235999999999999</v>
      </c>
      <c r="P139" s="491">
        <v>3.9018000000000002</v>
      </c>
      <c r="Q139" s="500">
        <v>0.92179999999999995</v>
      </c>
      <c r="R139" s="502">
        <f t="shared" si="78"/>
        <v>0</v>
      </c>
      <c r="S139" s="492">
        <v>0</v>
      </c>
      <c r="T139" s="492">
        <v>0</v>
      </c>
      <c r="U139" s="492">
        <v>0</v>
      </c>
      <c r="V139" s="492">
        <f t="shared" si="79"/>
        <v>0</v>
      </c>
      <c r="W139" s="713">
        <v>0</v>
      </c>
      <c r="X139" s="492">
        <v>0</v>
      </c>
      <c r="Y139" s="492">
        <v>0</v>
      </c>
      <c r="Z139" s="492">
        <f t="shared" ref="Z139:Z144" si="146">SUM(W139:Y139)</f>
        <v>0</v>
      </c>
      <c r="AA139" s="492">
        <f t="shared" ref="AA139:AA144" si="147">V139+Z139</f>
        <v>0</v>
      </c>
      <c r="AB139" s="74">
        <f t="shared" ref="AB139:AB144" si="148">ROUND((V139+W139+X139)*33.8%,0)</f>
        <v>0</v>
      </c>
      <c r="AC139" s="74">
        <f t="shared" ref="AC139:AC144" si="149">ROUND(V139*2%,0)</f>
        <v>0</v>
      </c>
      <c r="AD139" s="492">
        <v>0</v>
      </c>
      <c r="AE139" s="492">
        <v>0</v>
      </c>
      <c r="AF139" s="492">
        <f t="shared" si="80"/>
        <v>0</v>
      </c>
      <c r="AG139" s="492">
        <f t="shared" si="81"/>
        <v>0</v>
      </c>
      <c r="AH139" s="493">
        <v>0</v>
      </c>
      <c r="AI139" s="493">
        <v>0</v>
      </c>
      <c r="AJ139" s="493">
        <v>0</v>
      </c>
      <c r="AK139" s="493">
        <v>0</v>
      </c>
      <c r="AL139" s="493">
        <v>0</v>
      </c>
      <c r="AM139" s="493">
        <v>0</v>
      </c>
      <c r="AN139" s="493">
        <v>0</v>
      </c>
      <c r="AO139" s="493">
        <f t="shared" ref="AO139:AO144" si="150">AH139+AJ139+AM139</f>
        <v>0</v>
      </c>
      <c r="AP139" s="493">
        <f t="shared" ref="AP139:AP144" si="151">AI139+AN139</f>
        <v>0</v>
      </c>
      <c r="AQ139" s="495">
        <f t="shared" si="82"/>
        <v>0</v>
      </c>
      <c r="AR139" s="501">
        <f t="shared" ref="AR139:AR144" si="152">I139+AG139</f>
        <v>3039985</v>
      </c>
      <c r="AS139" s="492">
        <f t="shared" ref="AS139:AS144" si="153">J139+V139</f>
        <v>2193299</v>
      </c>
      <c r="AT139" s="492">
        <f t="shared" ref="AT139:AT144" si="154">K139+Z139</f>
        <v>32500</v>
      </c>
      <c r="AU139" s="492">
        <f t="shared" ref="AU139:AV144" si="155">L139+AB139</f>
        <v>752320</v>
      </c>
      <c r="AV139" s="492">
        <f t="shared" si="155"/>
        <v>43866</v>
      </c>
      <c r="AW139" s="492">
        <f t="shared" ref="AW139:AW144" si="156">N139+AF139</f>
        <v>18000</v>
      </c>
      <c r="AX139" s="493">
        <f t="shared" ref="AX139:AX144" si="157">O139+AQ139</f>
        <v>4.8235999999999999</v>
      </c>
      <c r="AY139" s="493">
        <f t="shared" ref="AY139:AZ144" si="158">P139+AO139</f>
        <v>3.9018000000000002</v>
      </c>
      <c r="AZ139" s="495">
        <f t="shared" si="158"/>
        <v>0.92179999999999995</v>
      </c>
    </row>
    <row r="140" spans="1:52" ht="12.95" customHeight="1" x14ac:dyDescent="0.25">
      <c r="A140" s="313">
        <v>28</v>
      </c>
      <c r="B140" s="415">
        <v>2303</v>
      </c>
      <c r="C140" s="415">
        <v>600080048</v>
      </c>
      <c r="D140" s="314">
        <v>72743689</v>
      </c>
      <c r="E140" s="228" t="s">
        <v>537</v>
      </c>
      <c r="F140" s="415">
        <v>3117</v>
      </c>
      <c r="G140" s="411" t="s">
        <v>330</v>
      </c>
      <c r="H140" s="318" t="s">
        <v>278</v>
      </c>
      <c r="I140" s="494">
        <v>4025696</v>
      </c>
      <c r="J140" s="489">
        <v>2907766</v>
      </c>
      <c r="K140" s="489">
        <v>0</v>
      </c>
      <c r="L140" s="489">
        <v>982825</v>
      </c>
      <c r="M140" s="489">
        <v>58155</v>
      </c>
      <c r="N140" s="489">
        <v>76950</v>
      </c>
      <c r="O140" s="490">
        <v>5.9578999999999995</v>
      </c>
      <c r="P140" s="491">
        <v>3.7273999999999998</v>
      </c>
      <c r="Q140" s="500">
        <v>2.2304999999999997</v>
      </c>
      <c r="R140" s="502">
        <f t="shared" si="78"/>
        <v>0</v>
      </c>
      <c r="S140" s="492">
        <v>0</v>
      </c>
      <c r="T140" s="492">
        <v>0</v>
      </c>
      <c r="U140" s="492">
        <v>0</v>
      </c>
      <c r="V140" s="492">
        <f t="shared" si="79"/>
        <v>0</v>
      </c>
      <c r="W140" s="713">
        <v>0</v>
      </c>
      <c r="X140" s="492">
        <v>0</v>
      </c>
      <c r="Y140" s="492">
        <v>0</v>
      </c>
      <c r="Z140" s="492">
        <f t="shared" si="146"/>
        <v>0</v>
      </c>
      <c r="AA140" s="492">
        <f t="shared" si="147"/>
        <v>0</v>
      </c>
      <c r="AB140" s="74">
        <f t="shared" si="148"/>
        <v>0</v>
      </c>
      <c r="AC140" s="74">
        <f t="shared" si="149"/>
        <v>0</v>
      </c>
      <c r="AD140" s="492">
        <v>0</v>
      </c>
      <c r="AE140" s="492">
        <v>0</v>
      </c>
      <c r="AF140" s="492">
        <f t="shared" si="80"/>
        <v>0</v>
      </c>
      <c r="AG140" s="492">
        <f t="shared" si="81"/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150"/>
        <v>0</v>
      </c>
      <c r="AP140" s="493">
        <f t="shared" si="151"/>
        <v>0</v>
      </c>
      <c r="AQ140" s="495">
        <f t="shared" si="82"/>
        <v>0</v>
      </c>
      <c r="AR140" s="501">
        <f t="shared" si="152"/>
        <v>4025696</v>
      </c>
      <c r="AS140" s="492">
        <f t="shared" si="153"/>
        <v>2907766</v>
      </c>
      <c r="AT140" s="492">
        <f t="shared" si="154"/>
        <v>0</v>
      </c>
      <c r="AU140" s="492">
        <f t="shared" si="155"/>
        <v>982825</v>
      </c>
      <c r="AV140" s="492">
        <f t="shared" si="155"/>
        <v>58155</v>
      </c>
      <c r="AW140" s="492">
        <f t="shared" si="156"/>
        <v>76950</v>
      </c>
      <c r="AX140" s="493">
        <f t="shared" si="157"/>
        <v>5.9578999999999995</v>
      </c>
      <c r="AY140" s="493">
        <f t="shared" si="158"/>
        <v>3.7273999999999998</v>
      </c>
      <c r="AZ140" s="495">
        <f t="shared" si="158"/>
        <v>2.2304999999999997</v>
      </c>
    </row>
    <row r="141" spans="1:52" ht="12.95" customHeight="1" x14ac:dyDescent="0.25">
      <c r="A141" s="313">
        <v>28</v>
      </c>
      <c r="B141" s="229">
        <v>2303</v>
      </c>
      <c r="C141" s="229">
        <v>600080048</v>
      </c>
      <c r="D141" s="314">
        <v>72743689</v>
      </c>
      <c r="E141" s="410" t="s">
        <v>537</v>
      </c>
      <c r="F141" s="415">
        <v>3117</v>
      </c>
      <c r="G141" s="356" t="s">
        <v>313</v>
      </c>
      <c r="H141" s="318" t="s">
        <v>279</v>
      </c>
      <c r="I141" s="494">
        <v>31419</v>
      </c>
      <c r="J141" s="489">
        <v>23136</v>
      </c>
      <c r="K141" s="489">
        <v>0</v>
      </c>
      <c r="L141" s="489">
        <v>7820</v>
      </c>
      <c r="M141" s="489">
        <v>463</v>
      </c>
      <c r="N141" s="489">
        <v>0</v>
      </c>
      <c r="O141" s="490">
        <v>0.05</v>
      </c>
      <c r="P141" s="491">
        <v>0.05</v>
      </c>
      <c r="Q141" s="500">
        <v>0</v>
      </c>
      <c r="R141" s="502">
        <f t="shared" si="78"/>
        <v>0</v>
      </c>
      <c r="S141" s="492">
        <v>0</v>
      </c>
      <c r="T141" s="492">
        <v>0</v>
      </c>
      <c r="U141" s="492">
        <v>0</v>
      </c>
      <c r="V141" s="492">
        <f t="shared" si="79"/>
        <v>0</v>
      </c>
      <c r="W141" s="713">
        <v>0</v>
      </c>
      <c r="X141" s="492">
        <v>0</v>
      </c>
      <c r="Y141" s="492">
        <v>0</v>
      </c>
      <c r="Z141" s="492">
        <f t="shared" si="146"/>
        <v>0</v>
      </c>
      <c r="AA141" s="492">
        <f t="shared" si="147"/>
        <v>0</v>
      </c>
      <c r="AB141" s="74">
        <f t="shared" si="148"/>
        <v>0</v>
      </c>
      <c r="AC141" s="74">
        <f t="shared" si="149"/>
        <v>0</v>
      </c>
      <c r="AD141" s="492">
        <v>0</v>
      </c>
      <c r="AE141" s="492">
        <v>0</v>
      </c>
      <c r="AF141" s="492">
        <f t="shared" si="80"/>
        <v>0</v>
      </c>
      <c r="AG141" s="492">
        <f t="shared" si="81"/>
        <v>0</v>
      </c>
      <c r="AH141" s="493">
        <v>0</v>
      </c>
      <c r="AI141" s="493">
        <v>0</v>
      </c>
      <c r="AJ141" s="493">
        <v>0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si="150"/>
        <v>0</v>
      </c>
      <c r="AP141" s="493">
        <f t="shared" si="151"/>
        <v>0</v>
      </c>
      <c r="AQ141" s="495">
        <f t="shared" si="82"/>
        <v>0</v>
      </c>
      <c r="AR141" s="501">
        <f t="shared" si="152"/>
        <v>31419</v>
      </c>
      <c r="AS141" s="492">
        <f t="shared" si="153"/>
        <v>23136</v>
      </c>
      <c r="AT141" s="492">
        <f t="shared" si="154"/>
        <v>0</v>
      </c>
      <c r="AU141" s="492">
        <f t="shared" si="155"/>
        <v>7820</v>
      </c>
      <c r="AV141" s="492">
        <f t="shared" si="155"/>
        <v>463</v>
      </c>
      <c r="AW141" s="492">
        <f t="shared" si="156"/>
        <v>0</v>
      </c>
      <c r="AX141" s="493">
        <f t="shared" si="157"/>
        <v>0.05</v>
      </c>
      <c r="AY141" s="493">
        <f t="shared" si="158"/>
        <v>0.05</v>
      </c>
      <c r="AZ141" s="495">
        <f t="shared" si="158"/>
        <v>0</v>
      </c>
    </row>
    <row r="142" spans="1:52" ht="12.95" customHeight="1" x14ac:dyDescent="0.25">
      <c r="A142" s="313">
        <v>28</v>
      </c>
      <c r="B142" s="229">
        <v>2303</v>
      </c>
      <c r="C142" s="229">
        <v>600080048</v>
      </c>
      <c r="D142" s="314">
        <v>72743689</v>
      </c>
      <c r="E142" s="411" t="s">
        <v>537</v>
      </c>
      <c r="F142" s="229">
        <v>3141</v>
      </c>
      <c r="G142" s="412" t="s">
        <v>316</v>
      </c>
      <c r="H142" s="318" t="s">
        <v>279</v>
      </c>
      <c r="I142" s="494">
        <v>1076025</v>
      </c>
      <c r="J142" s="489">
        <v>743900</v>
      </c>
      <c r="K142" s="489">
        <v>45500</v>
      </c>
      <c r="L142" s="489">
        <v>266817</v>
      </c>
      <c r="M142" s="489">
        <v>14878</v>
      </c>
      <c r="N142" s="489">
        <v>4930</v>
      </c>
      <c r="O142" s="490">
        <v>2.35</v>
      </c>
      <c r="P142" s="491">
        <v>0</v>
      </c>
      <c r="Q142" s="500">
        <v>2.35</v>
      </c>
      <c r="R142" s="502">
        <f t="shared" ref="R142:R197" si="159">W142*-1</f>
        <v>0</v>
      </c>
      <c r="S142" s="492">
        <v>0</v>
      </c>
      <c r="T142" s="492">
        <v>0</v>
      </c>
      <c r="U142" s="492">
        <v>0</v>
      </c>
      <c r="V142" s="492">
        <f t="shared" ref="V142:V197" si="160">SUM(R142:U142)</f>
        <v>0</v>
      </c>
      <c r="W142" s="713">
        <v>0</v>
      </c>
      <c r="X142" s="492">
        <v>0</v>
      </c>
      <c r="Y142" s="492">
        <v>0</v>
      </c>
      <c r="Z142" s="492">
        <f t="shared" si="146"/>
        <v>0</v>
      </c>
      <c r="AA142" s="492">
        <f t="shared" si="147"/>
        <v>0</v>
      </c>
      <c r="AB142" s="74">
        <f t="shared" si="148"/>
        <v>0</v>
      </c>
      <c r="AC142" s="74">
        <f t="shared" si="149"/>
        <v>0</v>
      </c>
      <c r="AD142" s="492">
        <v>0</v>
      </c>
      <c r="AE142" s="492">
        <v>0</v>
      </c>
      <c r="AF142" s="492">
        <f t="shared" ref="AF142:AF197" si="161">SUM(AD142:AE142)</f>
        <v>0</v>
      </c>
      <c r="AG142" s="492">
        <f t="shared" ref="AG142:AG197" si="162">AA142+AB142+AC142+AF142</f>
        <v>0</v>
      </c>
      <c r="AH142" s="493">
        <v>0</v>
      </c>
      <c r="AI142" s="493">
        <v>0</v>
      </c>
      <c r="AJ142" s="493">
        <v>0</v>
      </c>
      <c r="AK142" s="493">
        <v>0</v>
      </c>
      <c r="AL142" s="493">
        <v>0</v>
      </c>
      <c r="AM142" s="493">
        <v>0</v>
      </c>
      <c r="AN142" s="493">
        <v>0</v>
      </c>
      <c r="AO142" s="493">
        <f t="shared" si="150"/>
        <v>0</v>
      </c>
      <c r="AP142" s="493">
        <f t="shared" si="151"/>
        <v>0</v>
      </c>
      <c r="AQ142" s="495">
        <f t="shared" ref="AQ142:AQ197" si="163">SUM(AO142:AP142)</f>
        <v>0</v>
      </c>
      <c r="AR142" s="501">
        <f t="shared" si="152"/>
        <v>1076025</v>
      </c>
      <c r="AS142" s="492">
        <f t="shared" si="153"/>
        <v>743900</v>
      </c>
      <c r="AT142" s="492">
        <f t="shared" si="154"/>
        <v>45500</v>
      </c>
      <c r="AU142" s="492">
        <f t="shared" si="155"/>
        <v>266817</v>
      </c>
      <c r="AV142" s="492">
        <f t="shared" si="155"/>
        <v>14878</v>
      </c>
      <c r="AW142" s="492">
        <f t="shared" si="156"/>
        <v>4930</v>
      </c>
      <c r="AX142" s="493">
        <f t="shared" si="157"/>
        <v>2.35</v>
      </c>
      <c r="AY142" s="493">
        <f t="shared" si="158"/>
        <v>0</v>
      </c>
      <c r="AZ142" s="495">
        <f t="shared" si="158"/>
        <v>2.35</v>
      </c>
    </row>
    <row r="143" spans="1:52" ht="12.95" customHeight="1" x14ac:dyDescent="0.25">
      <c r="A143" s="313">
        <v>28</v>
      </c>
      <c r="B143" s="229">
        <v>2303</v>
      </c>
      <c r="C143" s="229">
        <v>600080048</v>
      </c>
      <c r="D143" s="314">
        <v>72743689</v>
      </c>
      <c r="E143" s="410" t="s">
        <v>537</v>
      </c>
      <c r="F143" s="421">
        <v>3143</v>
      </c>
      <c r="G143" s="356" t="s">
        <v>629</v>
      </c>
      <c r="H143" s="318" t="s">
        <v>278</v>
      </c>
      <c r="I143" s="494">
        <v>604150</v>
      </c>
      <c r="J143" s="489">
        <v>444882</v>
      </c>
      <c r="K143" s="489">
        <v>0</v>
      </c>
      <c r="L143" s="489">
        <v>150370</v>
      </c>
      <c r="M143" s="489">
        <v>8898</v>
      </c>
      <c r="N143" s="489">
        <v>0</v>
      </c>
      <c r="O143" s="490">
        <v>0.86</v>
      </c>
      <c r="P143" s="491">
        <v>0.86</v>
      </c>
      <c r="Q143" s="500">
        <v>0</v>
      </c>
      <c r="R143" s="502">
        <f t="shared" si="159"/>
        <v>0</v>
      </c>
      <c r="S143" s="492">
        <v>0</v>
      </c>
      <c r="T143" s="492">
        <v>0</v>
      </c>
      <c r="U143" s="492">
        <v>0</v>
      </c>
      <c r="V143" s="492">
        <f t="shared" si="160"/>
        <v>0</v>
      </c>
      <c r="W143" s="713">
        <v>0</v>
      </c>
      <c r="X143" s="492">
        <v>0</v>
      </c>
      <c r="Y143" s="492">
        <v>0</v>
      </c>
      <c r="Z143" s="492">
        <f t="shared" si="146"/>
        <v>0</v>
      </c>
      <c r="AA143" s="492">
        <f t="shared" si="147"/>
        <v>0</v>
      </c>
      <c r="AB143" s="74">
        <f t="shared" si="148"/>
        <v>0</v>
      </c>
      <c r="AC143" s="74">
        <f t="shared" si="149"/>
        <v>0</v>
      </c>
      <c r="AD143" s="492">
        <v>0</v>
      </c>
      <c r="AE143" s="492">
        <v>0</v>
      </c>
      <c r="AF143" s="492">
        <f t="shared" si="161"/>
        <v>0</v>
      </c>
      <c r="AG143" s="492">
        <f t="shared" si="162"/>
        <v>0</v>
      </c>
      <c r="AH143" s="493">
        <v>0</v>
      </c>
      <c r="AI143" s="493">
        <v>0</v>
      </c>
      <c r="AJ143" s="493">
        <v>0</v>
      </c>
      <c r="AK143" s="493">
        <v>0</v>
      </c>
      <c r="AL143" s="493">
        <v>0</v>
      </c>
      <c r="AM143" s="493">
        <v>0</v>
      </c>
      <c r="AN143" s="493">
        <v>0</v>
      </c>
      <c r="AO143" s="493">
        <f t="shared" si="150"/>
        <v>0</v>
      </c>
      <c r="AP143" s="493">
        <f t="shared" si="151"/>
        <v>0</v>
      </c>
      <c r="AQ143" s="495">
        <f t="shared" si="163"/>
        <v>0</v>
      </c>
      <c r="AR143" s="501">
        <f t="shared" si="152"/>
        <v>604150</v>
      </c>
      <c r="AS143" s="492">
        <f t="shared" si="153"/>
        <v>444882</v>
      </c>
      <c r="AT143" s="492">
        <f t="shared" si="154"/>
        <v>0</v>
      </c>
      <c r="AU143" s="492">
        <f t="shared" si="155"/>
        <v>150370</v>
      </c>
      <c r="AV143" s="492">
        <f t="shared" si="155"/>
        <v>8898</v>
      </c>
      <c r="AW143" s="492">
        <f t="shared" si="156"/>
        <v>0</v>
      </c>
      <c r="AX143" s="493">
        <f t="shared" si="157"/>
        <v>0.86</v>
      </c>
      <c r="AY143" s="493">
        <f t="shared" si="158"/>
        <v>0.86</v>
      </c>
      <c r="AZ143" s="495">
        <f t="shared" si="158"/>
        <v>0</v>
      </c>
    </row>
    <row r="144" spans="1:52" ht="12.95" customHeight="1" x14ac:dyDescent="0.25">
      <c r="A144" s="313">
        <v>28</v>
      </c>
      <c r="B144" s="229">
        <v>2303</v>
      </c>
      <c r="C144" s="229">
        <v>600080048</v>
      </c>
      <c r="D144" s="314">
        <v>72743689</v>
      </c>
      <c r="E144" s="410" t="s">
        <v>537</v>
      </c>
      <c r="F144" s="421">
        <v>3143</v>
      </c>
      <c r="G144" s="356" t="s">
        <v>630</v>
      </c>
      <c r="H144" s="318" t="s">
        <v>279</v>
      </c>
      <c r="I144" s="494">
        <v>18899</v>
      </c>
      <c r="J144" s="489">
        <v>13365</v>
      </c>
      <c r="K144" s="489">
        <v>0</v>
      </c>
      <c r="L144" s="489">
        <v>4517</v>
      </c>
      <c r="M144" s="489">
        <v>267</v>
      </c>
      <c r="N144" s="489">
        <v>750</v>
      </c>
      <c r="O144" s="490">
        <v>0.05</v>
      </c>
      <c r="P144" s="491">
        <v>0</v>
      </c>
      <c r="Q144" s="500">
        <v>0.05</v>
      </c>
      <c r="R144" s="502">
        <f t="shared" si="159"/>
        <v>0</v>
      </c>
      <c r="S144" s="492">
        <v>0</v>
      </c>
      <c r="T144" s="492">
        <v>0</v>
      </c>
      <c r="U144" s="492">
        <v>0</v>
      </c>
      <c r="V144" s="492">
        <f t="shared" si="160"/>
        <v>0</v>
      </c>
      <c r="W144" s="713">
        <v>0</v>
      </c>
      <c r="X144" s="492">
        <v>0</v>
      </c>
      <c r="Y144" s="492">
        <v>0</v>
      </c>
      <c r="Z144" s="492">
        <f t="shared" si="146"/>
        <v>0</v>
      </c>
      <c r="AA144" s="492">
        <f t="shared" si="147"/>
        <v>0</v>
      </c>
      <c r="AB144" s="74">
        <f t="shared" si="148"/>
        <v>0</v>
      </c>
      <c r="AC144" s="74">
        <f t="shared" si="149"/>
        <v>0</v>
      </c>
      <c r="AD144" s="492">
        <v>0</v>
      </c>
      <c r="AE144" s="492">
        <v>0</v>
      </c>
      <c r="AF144" s="492">
        <f t="shared" si="161"/>
        <v>0</v>
      </c>
      <c r="AG144" s="492">
        <f t="shared" si="162"/>
        <v>0</v>
      </c>
      <c r="AH144" s="493">
        <v>0</v>
      </c>
      <c r="AI144" s="493">
        <v>0</v>
      </c>
      <c r="AJ144" s="493">
        <v>0</v>
      </c>
      <c r="AK144" s="493">
        <v>0</v>
      </c>
      <c r="AL144" s="493">
        <v>0</v>
      </c>
      <c r="AM144" s="493">
        <v>0</v>
      </c>
      <c r="AN144" s="493">
        <v>0</v>
      </c>
      <c r="AO144" s="493">
        <f t="shared" si="150"/>
        <v>0</v>
      </c>
      <c r="AP144" s="493">
        <f t="shared" si="151"/>
        <v>0</v>
      </c>
      <c r="AQ144" s="495">
        <f t="shared" si="163"/>
        <v>0</v>
      </c>
      <c r="AR144" s="501">
        <f t="shared" si="152"/>
        <v>18899</v>
      </c>
      <c r="AS144" s="492">
        <f t="shared" si="153"/>
        <v>13365</v>
      </c>
      <c r="AT144" s="492">
        <f t="shared" si="154"/>
        <v>0</v>
      </c>
      <c r="AU144" s="492">
        <f t="shared" si="155"/>
        <v>4517</v>
      </c>
      <c r="AV144" s="492">
        <f t="shared" si="155"/>
        <v>267</v>
      </c>
      <c r="AW144" s="492">
        <f t="shared" si="156"/>
        <v>750</v>
      </c>
      <c r="AX144" s="493">
        <f t="shared" si="157"/>
        <v>0.05</v>
      </c>
      <c r="AY144" s="493">
        <f t="shared" si="158"/>
        <v>0</v>
      </c>
      <c r="AZ144" s="495">
        <f t="shared" si="158"/>
        <v>0.05</v>
      </c>
    </row>
    <row r="145" spans="1:52" ht="12.95" customHeight="1" x14ac:dyDescent="0.25">
      <c r="A145" s="230">
        <v>28</v>
      </c>
      <c r="B145" s="50">
        <v>2303</v>
      </c>
      <c r="C145" s="50">
        <v>600080048</v>
      </c>
      <c r="D145" s="50">
        <v>72743689</v>
      </c>
      <c r="E145" s="422" t="s">
        <v>538</v>
      </c>
      <c r="F145" s="423"/>
      <c r="G145" s="422"/>
      <c r="H145" s="424"/>
      <c r="I145" s="636">
        <v>8796174</v>
      </c>
      <c r="J145" s="633">
        <v>6326348</v>
      </c>
      <c r="K145" s="633">
        <v>78000</v>
      </c>
      <c r="L145" s="633">
        <v>2164669</v>
      </c>
      <c r="M145" s="633">
        <v>126527</v>
      </c>
      <c r="N145" s="633">
        <v>100630</v>
      </c>
      <c r="O145" s="634">
        <v>14.0915</v>
      </c>
      <c r="P145" s="634">
        <v>8.5391999999999992</v>
      </c>
      <c r="Q145" s="638">
        <v>5.5522999999999998</v>
      </c>
      <c r="R145" s="636">
        <f t="shared" ref="R145:AZ145" si="164">SUM(R139:R144)</f>
        <v>0</v>
      </c>
      <c r="S145" s="633">
        <f t="shared" si="164"/>
        <v>0</v>
      </c>
      <c r="T145" s="633">
        <f t="shared" si="164"/>
        <v>0</v>
      </c>
      <c r="U145" s="633">
        <f t="shared" si="164"/>
        <v>0</v>
      </c>
      <c r="V145" s="633">
        <f t="shared" si="164"/>
        <v>0</v>
      </c>
      <c r="W145" s="633">
        <f t="shared" si="164"/>
        <v>0</v>
      </c>
      <c r="X145" s="633">
        <f t="shared" si="164"/>
        <v>0</v>
      </c>
      <c r="Y145" s="633">
        <f t="shared" si="164"/>
        <v>0</v>
      </c>
      <c r="Z145" s="633">
        <f t="shared" si="164"/>
        <v>0</v>
      </c>
      <c r="AA145" s="633">
        <f t="shared" si="164"/>
        <v>0</v>
      </c>
      <c r="AB145" s="633">
        <f t="shared" si="164"/>
        <v>0</v>
      </c>
      <c r="AC145" s="633">
        <f t="shared" si="164"/>
        <v>0</v>
      </c>
      <c r="AD145" s="633">
        <f t="shared" si="164"/>
        <v>0</v>
      </c>
      <c r="AE145" s="633">
        <f t="shared" si="164"/>
        <v>0</v>
      </c>
      <c r="AF145" s="633">
        <f t="shared" si="164"/>
        <v>0</v>
      </c>
      <c r="AG145" s="633">
        <f t="shared" si="164"/>
        <v>0</v>
      </c>
      <c r="AH145" s="634">
        <f t="shared" si="164"/>
        <v>0</v>
      </c>
      <c r="AI145" s="634">
        <f t="shared" si="164"/>
        <v>0</v>
      </c>
      <c r="AJ145" s="634">
        <f t="shared" si="164"/>
        <v>0</v>
      </c>
      <c r="AK145" s="634">
        <f t="shared" si="164"/>
        <v>0</v>
      </c>
      <c r="AL145" s="634">
        <f t="shared" si="164"/>
        <v>0</v>
      </c>
      <c r="AM145" s="634">
        <f t="shared" si="164"/>
        <v>0</v>
      </c>
      <c r="AN145" s="634">
        <f t="shared" si="164"/>
        <v>0</v>
      </c>
      <c r="AO145" s="634">
        <f t="shared" si="164"/>
        <v>0</v>
      </c>
      <c r="AP145" s="634">
        <f t="shared" si="164"/>
        <v>0</v>
      </c>
      <c r="AQ145" s="418">
        <f t="shared" si="164"/>
        <v>0</v>
      </c>
      <c r="AR145" s="640">
        <f t="shared" si="164"/>
        <v>8796174</v>
      </c>
      <c r="AS145" s="633">
        <f t="shared" si="164"/>
        <v>6326348</v>
      </c>
      <c r="AT145" s="633">
        <f t="shared" si="164"/>
        <v>78000</v>
      </c>
      <c r="AU145" s="633">
        <f t="shared" si="164"/>
        <v>2164669</v>
      </c>
      <c r="AV145" s="633">
        <f t="shared" si="164"/>
        <v>126527</v>
      </c>
      <c r="AW145" s="633">
        <f t="shared" si="164"/>
        <v>100630</v>
      </c>
      <c r="AX145" s="634">
        <f t="shared" si="164"/>
        <v>14.0915</v>
      </c>
      <c r="AY145" s="634">
        <f t="shared" si="164"/>
        <v>8.5391999999999992</v>
      </c>
      <c r="AZ145" s="418">
        <f t="shared" si="164"/>
        <v>5.5522999999999998</v>
      </c>
    </row>
    <row r="146" spans="1:52" ht="12.95" customHeight="1" x14ac:dyDescent="0.25">
      <c r="A146" s="313">
        <v>29</v>
      </c>
      <c r="B146" s="229">
        <v>5437</v>
      </c>
      <c r="C146" s="229">
        <v>600098931</v>
      </c>
      <c r="D146" s="314">
        <v>72742135</v>
      </c>
      <c r="E146" s="411" t="s">
        <v>539</v>
      </c>
      <c r="F146" s="229">
        <v>3111</v>
      </c>
      <c r="G146" s="412" t="s">
        <v>326</v>
      </c>
      <c r="H146" s="318" t="s">
        <v>278</v>
      </c>
      <c r="I146" s="494">
        <v>4985398</v>
      </c>
      <c r="J146" s="489">
        <v>3651250</v>
      </c>
      <c r="K146" s="489">
        <v>0</v>
      </c>
      <c r="L146" s="489">
        <v>1234123</v>
      </c>
      <c r="M146" s="489">
        <v>73025</v>
      </c>
      <c r="N146" s="489">
        <v>27000</v>
      </c>
      <c r="O146" s="490">
        <v>8.2241999999999997</v>
      </c>
      <c r="P146" s="491">
        <v>6.24</v>
      </c>
      <c r="Q146" s="500">
        <v>1.9842</v>
      </c>
      <c r="R146" s="502">
        <f t="shared" si="159"/>
        <v>0</v>
      </c>
      <c r="S146" s="492">
        <v>0</v>
      </c>
      <c r="T146" s="492">
        <v>0</v>
      </c>
      <c r="U146" s="492">
        <v>0</v>
      </c>
      <c r="V146" s="492">
        <f t="shared" si="160"/>
        <v>0</v>
      </c>
      <c r="W146" s="492">
        <v>0</v>
      </c>
      <c r="X146" s="492">
        <v>0</v>
      </c>
      <c r="Y146" s="492">
        <v>0</v>
      </c>
      <c r="Z146" s="492">
        <f>SUM(W146:Y146)</f>
        <v>0</v>
      </c>
      <c r="AA146" s="492">
        <f>V146+Z146</f>
        <v>0</v>
      </c>
      <c r="AB146" s="74">
        <f>ROUND((V146+W146+X146)*33.8%,0)</f>
        <v>0</v>
      </c>
      <c r="AC146" s="74">
        <f>ROUND(V146*2%,0)</f>
        <v>0</v>
      </c>
      <c r="AD146" s="492">
        <v>0</v>
      </c>
      <c r="AE146" s="492">
        <v>0</v>
      </c>
      <c r="AF146" s="492">
        <f t="shared" si="161"/>
        <v>0</v>
      </c>
      <c r="AG146" s="492">
        <f t="shared" si="162"/>
        <v>0</v>
      </c>
      <c r="AH146" s="493">
        <v>0</v>
      </c>
      <c r="AI146" s="493">
        <v>0</v>
      </c>
      <c r="AJ146" s="493">
        <v>0</v>
      </c>
      <c r="AK146" s="493">
        <v>0</v>
      </c>
      <c r="AL146" s="493">
        <v>0</v>
      </c>
      <c r="AM146" s="493">
        <v>0</v>
      </c>
      <c r="AN146" s="493">
        <v>0</v>
      </c>
      <c r="AO146" s="493">
        <f>AH146+AJ146+AM146</f>
        <v>0</v>
      </c>
      <c r="AP146" s="493">
        <f>AI146+AN146</f>
        <v>0</v>
      </c>
      <c r="AQ146" s="495">
        <f t="shared" si="163"/>
        <v>0</v>
      </c>
      <c r="AR146" s="501">
        <f>I146+AG146</f>
        <v>4985398</v>
      </c>
      <c r="AS146" s="492">
        <f>J146+V146</f>
        <v>3651250</v>
      </c>
      <c r="AT146" s="492">
        <f t="shared" ref="AT146:AT147" si="165">K146+Z146</f>
        <v>0</v>
      </c>
      <c r="AU146" s="492">
        <f>L146+AB146</f>
        <v>1234123</v>
      </c>
      <c r="AV146" s="492">
        <f>M146+AC146</f>
        <v>73025</v>
      </c>
      <c r="AW146" s="492">
        <f>N146+AF146</f>
        <v>27000</v>
      </c>
      <c r="AX146" s="493">
        <f>O146+AQ146</f>
        <v>8.2241999999999997</v>
      </c>
      <c r="AY146" s="493">
        <f>P146+AO146</f>
        <v>6.24</v>
      </c>
      <c r="AZ146" s="495">
        <f>Q146+AP146</f>
        <v>1.9842</v>
      </c>
    </row>
    <row r="147" spans="1:52" ht="12.95" customHeight="1" x14ac:dyDescent="0.25">
      <c r="A147" s="313">
        <v>29</v>
      </c>
      <c r="B147" s="229">
        <v>5437</v>
      </c>
      <c r="C147" s="229">
        <v>600098931</v>
      </c>
      <c r="D147" s="314">
        <v>72742135</v>
      </c>
      <c r="E147" s="411" t="s">
        <v>539</v>
      </c>
      <c r="F147" s="229">
        <v>3141</v>
      </c>
      <c r="G147" s="412" t="s">
        <v>316</v>
      </c>
      <c r="H147" s="318" t="s">
        <v>279</v>
      </c>
      <c r="I147" s="494">
        <v>1319719</v>
      </c>
      <c r="J147" s="489">
        <v>967027</v>
      </c>
      <c r="K147" s="489">
        <v>0</v>
      </c>
      <c r="L147" s="489">
        <v>326855</v>
      </c>
      <c r="M147" s="489">
        <v>19341</v>
      </c>
      <c r="N147" s="489">
        <v>6496</v>
      </c>
      <c r="O147" s="490">
        <v>3.05</v>
      </c>
      <c r="P147" s="491">
        <v>0</v>
      </c>
      <c r="Q147" s="500">
        <v>3.05</v>
      </c>
      <c r="R147" s="502">
        <f t="shared" si="159"/>
        <v>0</v>
      </c>
      <c r="S147" s="492">
        <v>0</v>
      </c>
      <c r="T147" s="492">
        <v>0</v>
      </c>
      <c r="U147" s="492">
        <v>0</v>
      </c>
      <c r="V147" s="492">
        <f t="shared" si="160"/>
        <v>0</v>
      </c>
      <c r="W147" s="492">
        <v>0</v>
      </c>
      <c r="X147" s="492">
        <v>0</v>
      </c>
      <c r="Y147" s="492">
        <v>0</v>
      </c>
      <c r="Z147" s="492">
        <f>SUM(W147:Y147)</f>
        <v>0</v>
      </c>
      <c r="AA147" s="492">
        <f>V147+Z147</f>
        <v>0</v>
      </c>
      <c r="AB147" s="74">
        <f>ROUND((V147+W147+X147)*33.8%,0)</f>
        <v>0</v>
      </c>
      <c r="AC147" s="74">
        <f>ROUND(V147*2%,0)</f>
        <v>0</v>
      </c>
      <c r="AD147" s="492">
        <v>0</v>
      </c>
      <c r="AE147" s="492">
        <v>0</v>
      </c>
      <c r="AF147" s="492">
        <f t="shared" si="161"/>
        <v>0</v>
      </c>
      <c r="AG147" s="492">
        <f t="shared" si="162"/>
        <v>0</v>
      </c>
      <c r="AH147" s="493">
        <v>0</v>
      </c>
      <c r="AI147" s="493">
        <v>0</v>
      </c>
      <c r="AJ147" s="493">
        <v>0</v>
      </c>
      <c r="AK147" s="493">
        <v>0</v>
      </c>
      <c r="AL147" s="493">
        <v>0</v>
      </c>
      <c r="AM147" s="493">
        <v>0</v>
      </c>
      <c r="AN147" s="493">
        <v>0</v>
      </c>
      <c r="AO147" s="493">
        <f>AH147+AJ147+AM147</f>
        <v>0</v>
      </c>
      <c r="AP147" s="493">
        <f>AI147+AN147</f>
        <v>0</v>
      </c>
      <c r="AQ147" s="495">
        <f t="shared" si="163"/>
        <v>0</v>
      </c>
      <c r="AR147" s="501">
        <f>I147+AG147</f>
        <v>1319719</v>
      </c>
      <c r="AS147" s="492">
        <f>J147+V147</f>
        <v>967027</v>
      </c>
      <c r="AT147" s="492">
        <f t="shared" si="165"/>
        <v>0</v>
      </c>
      <c r="AU147" s="492">
        <f>L147+AB147</f>
        <v>326855</v>
      </c>
      <c r="AV147" s="492">
        <f>M147+AC147</f>
        <v>19341</v>
      </c>
      <c r="AW147" s="492">
        <f>N147+AF147</f>
        <v>6496</v>
      </c>
      <c r="AX147" s="493">
        <f>O147+AQ147</f>
        <v>3.05</v>
      </c>
      <c r="AY147" s="493">
        <f>P147+AO147</f>
        <v>0</v>
      </c>
      <c r="AZ147" s="495">
        <f>Q147+AP147</f>
        <v>3.05</v>
      </c>
    </row>
    <row r="148" spans="1:52" ht="12.95" customHeight="1" x14ac:dyDescent="0.25">
      <c r="A148" s="230">
        <v>29</v>
      </c>
      <c r="B148" s="50">
        <v>5437</v>
      </c>
      <c r="C148" s="50">
        <v>600098931</v>
      </c>
      <c r="D148" s="50">
        <v>72742135</v>
      </c>
      <c r="E148" s="413" t="s">
        <v>540</v>
      </c>
      <c r="F148" s="50"/>
      <c r="G148" s="413"/>
      <c r="H148" s="194"/>
      <c r="I148" s="636">
        <v>6305117</v>
      </c>
      <c r="J148" s="633">
        <v>4618277</v>
      </c>
      <c r="K148" s="633">
        <v>0</v>
      </c>
      <c r="L148" s="633">
        <v>1560978</v>
      </c>
      <c r="M148" s="633">
        <v>92366</v>
      </c>
      <c r="N148" s="633">
        <v>33496</v>
      </c>
      <c r="O148" s="634">
        <v>11.2742</v>
      </c>
      <c r="P148" s="634">
        <v>6.24</v>
      </c>
      <c r="Q148" s="638">
        <v>5.0342000000000002</v>
      </c>
      <c r="R148" s="636">
        <f t="shared" ref="R148:AZ148" si="166">SUM(R146:R147)</f>
        <v>0</v>
      </c>
      <c r="S148" s="633">
        <f t="shared" si="166"/>
        <v>0</v>
      </c>
      <c r="T148" s="633">
        <f t="shared" si="166"/>
        <v>0</v>
      </c>
      <c r="U148" s="633">
        <f t="shared" si="166"/>
        <v>0</v>
      </c>
      <c r="V148" s="633">
        <f t="shared" si="166"/>
        <v>0</v>
      </c>
      <c r="W148" s="633">
        <f t="shared" si="166"/>
        <v>0</v>
      </c>
      <c r="X148" s="633">
        <f t="shared" si="166"/>
        <v>0</v>
      </c>
      <c r="Y148" s="633">
        <f t="shared" si="166"/>
        <v>0</v>
      </c>
      <c r="Z148" s="633">
        <f t="shared" si="166"/>
        <v>0</v>
      </c>
      <c r="AA148" s="633">
        <f t="shared" si="166"/>
        <v>0</v>
      </c>
      <c r="AB148" s="633">
        <f t="shared" si="166"/>
        <v>0</v>
      </c>
      <c r="AC148" s="633">
        <f t="shared" si="166"/>
        <v>0</v>
      </c>
      <c r="AD148" s="633">
        <f t="shared" si="166"/>
        <v>0</v>
      </c>
      <c r="AE148" s="633">
        <f t="shared" si="166"/>
        <v>0</v>
      </c>
      <c r="AF148" s="633">
        <f t="shared" si="166"/>
        <v>0</v>
      </c>
      <c r="AG148" s="633">
        <f t="shared" si="166"/>
        <v>0</v>
      </c>
      <c r="AH148" s="634">
        <f t="shared" si="166"/>
        <v>0</v>
      </c>
      <c r="AI148" s="634">
        <f t="shared" si="166"/>
        <v>0</v>
      </c>
      <c r="AJ148" s="634">
        <f t="shared" si="166"/>
        <v>0</v>
      </c>
      <c r="AK148" s="634">
        <f t="shared" si="166"/>
        <v>0</v>
      </c>
      <c r="AL148" s="634">
        <f t="shared" si="166"/>
        <v>0</v>
      </c>
      <c r="AM148" s="634">
        <f t="shared" si="166"/>
        <v>0</v>
      </c>
      <c r="AN148" s="634">
        <f t="shared" si="166"/>
        <v>0</v>
      </c>
      <c r="AO148" s="634">
        <f t="shared" si="166"/>
        <v>0</v>
      </c>
      <c r="AP148" s="634">
        <f t="shared" si="166"/>
        <v>0</v>
      </c>
      <c r="AQ148" s="418">
        <f t="shared" si="166"/>
        <v>0</v>
      </c>
      <c r="AR148" s="640">
        <f t="shared" si="166"/>
        <v>6305117</v>
      </c>
      <c r="AS148" s="633">
        <f t="shared" si="166"/>
        <v>4618277</v>
      </c>
      <c r="AT148" s="633">
        <f t="shared" si="166"/>
        <v>0</v>
      </c>
      <c r="AU148" s="633">
        <f t="shared" si="166"/>
        <v>1560978</v>
      </c>
      <c r="AV148" s="633">
        <f t="shared" si="166"/>
        <v>92366</v>
      </c>
      <c r="AW148" s="633">
        <f t="shared" si="166"/>
        <v>33496</v>
      </c>
      <c r="AX148" s="634">
        <f t="shared" si="166"/>
        <v>11.2742</v>
      </c>
      <c r="AY148" s="634">
        <f t="shared" si="166"/>
        <v>6.24</v>
      </c>
      <c r="AZ148" s="418">
        <f t="shared" si="166"/>
        <v>5.0342000000000002</v>
      </c>
    </row>
    <row r="149" spans="1:52" ht="12.95" customHeight="1" x14ac:dyDescent="0.25">
      <c r="A149" s="313">
        <v>30</v>
      </c>
      <c r="B149" s="415">
        <v>5438</v>
      </c>
      <c r="C149" s="415">
        <v>600099032</v>
      </c>
      <c r="D149" s="314">
        <v>72742054</v>
      </c>
      <c r="E149" s="228" t="s">
        <v>541</v>
      </c>
      <c r="F149" s="229">
        <v>3117</v>
      </c>
      <c r="G149" s="411" t="s">
        <v>330</v>
      </c>
      <c r="H149" s="318" t="s">
        <v>278</v>
      </c>
      <c r="I149" s="494">
        <v>4167178</v>
      </c>
      <c r="J149" s="489">
        <v>3000617</v>
      </c>
      <c r="K149" s="489">
        <v>0</v>
      </c>
      <c r="L149" s="489">
        <v>1014208</v>
      </c>
      <c r="M149" s="489">
        <v>60013</v>
      </c>
      <c r="N149" s="489">
        <v>92340</v>
      </c>
      <c r="O149" s="490">
        <v>5.4561000000000002</v>
      </c>
      <c r="P149" s="491">
        <v>3.7608000000000001</v>
      </c>
      <c r="Q149" s="500">
        <v>1.6953</v>
      </c>
      <c r="R149" s="502">
        <f t="shared" si="159"/>
        <v>0</v>
      </c>
      <c r="S149" s="492">
        <v>0</v>
      </c>
      <c r="T149" s="492">
        <v>0</v>
      </c>
      <c r="U149" s="492">
        <v>0</v>
      </c>
      <c r="V149" s="492">
        <f t="shared" si="160"/>
        <v>0</v>
      </c>
      <c r="W149" s="492">
        <v>0</v>
      </c>
      <c r="X149" s="492">
        <v>0</v>
      </c>
      <c r="Y149" s="492">
        <v>0</v>
      </c>
      <c r="Z149" s="492">
        <f>SUM(W149:Y149)</f>
        <v>0</v>
      </c>
      <c r="AA149" s="492">
        <f>V149+Z149</f>
        <v>0</v>
      </c>
      <c r="AB149" s="74">
        <f>ROUND((V149+W149+X149)*33.8%,0)</f>
        <v>0</v>
      </c>
      <c r="AC149" s="74">
        <f>ROUND(V149*2%,0)</f>
        <v>0</v>
      </c>
      <c r="AD149" s="492">
        <v>0</v>
      </c>
      <c r="AE149" s="492">
        <v>0</v>
      </c>
      <c r="AF149" s="492">
        <f t="shared" si="161"/>
        <v>0</v>
      </c>
      <c r="AG149" s="492">
        <f t="shared" si="162"/>
        <v>0</v>
      </c>
      <c r="AH149" s="493">
        <v>0</v>
      </c>
      <c r="AI149" s="493">
        <v>0</v>
      </c>
      <c r="AJ149" s="493">
        <v>0</v>
      </c>
      <c r="AK149" s="493">
        <v>0</v>
      </c>
      <c r="AL149" s="493">
        <v>0</v>
      </c>
      <c r="AM149" s="493">
        <v>0</v>
      </c>
      <c r="AN149" s="493">
        <v>0</v>
      </c>
      <c r="AO149" s="493">
        <f>AH149+AJ149+AM149</f>
        <v>0</v>
      </c>
      <c r="AP149" s="493">
        <f>AI149+AN149</f>
        <v>0</v>
      </c>
      <c r="AQ149" s="495">
        <f t="shared" si="163"/>
        <v>0</v>
      </c>
      <c r="AR149" s="501">
        <f>I149+AG149</f>
        <v>4167178</v>
      </c>
      <c r="AS149" s="492">
        <f>J149+V149</f>
        <v>3000617</v>
      </c>
      <c r="AT149" s="492">
        <f t="shared" ref="AT149:AT152" si="167">K149+Z149</f>
        <v>0</v>
      </c>
      <c r="AU149" s="492">
        <f t="shared" ref="AU149:AV152" si="168">L149+AB149</f>
        <v>1014208</v>
      </c>
      <c r="AV149" s="492">
        <f t="shared" si="168"/>
        <v>60013</v>
      </c>
      <c r="AW149" s="492">
        <f>N149+AF149</f>
        <v>92340</v>
      </c>
      <c r="AX149" s="493">
        <f>O149+AQ149</f>
        <v>5.4561000000000002</v>
      </c>
      <c r="AY149" s="493">
        <f t="shared" ref="AY149:AZ152" si="169">P149+AO149</f>
        <v>3.7608000000000001</v>
      </c>
      <c r="AZ149" s="495">
        <f t="shared" si="169"/>
        <v>1.6953</v>
      </c>
    </row>
    <row r="150" spans="1:52" ht="12.95" customHeight="1" x14ac:dyDescent="0.25">
      <c r="A150" s="313">
        <v>30</v>
      </c>
      <c r="B150" s="229">
        <v>5438</v>
      </c>
      <c r="C150" s="229">
        <v>600099032</v>
      </c>
      <c r="D150" s="314">
        <v>72742054</v>
      </c>
      <c r="E150" s="410" t="s">
        <v>541</v>
      </c>
      <c r="F150" s="229">
        <v>3117</v>
      </c>
      <c r="G150" s="356" t="s">
        <v>313</v>
      </c>
      <c r="H150" s="318" t="s">
        <v>279</v>
      </c>
      <c r="I150" s="494">
        <v>0</v>
      </c>
      <c r="J150" s="489">
        <v>0</v>
      </c>
      <c r="K150" s="489">
        <v>0</v>
      </c>
      <c r="L150" s="489">
        <v>0</v>
      </c>
      <c r="M150" s="489">
        <v>0</v>
      </c>
      <c r="N150" s="489">
        <v>0</v>
      </c>
      <c r="O150" s="490">
        <v>0</v>
      </c>
      <c r="P150" s="491">
        <v>0</v>
      </c>
      <c r="Q150" s="500">
        <v>0</v>
      </c>
      <c r="R150" s="502">
        <f t="shared" si="159"/>
        <v>0</v>
      </c>
      <c r="S150" s="492">
        <v>0</v>
      </c>
      <c r="T150" s="492">
        <v>0</v>
      </c>
      <c r="U150" s="492">
        <v>0</v>
      </c>
      <c r="V150" s="492">
        <f t="shared" si="160"/>
        <v>0</v>
      </c>
      <c r="W150" s="492">
        <v>0</v>
      </c>
      <c r="X150" s="492">
        <v>0</v>
      </c>
      <c r="Y150" s="492">
        <v>0</v>
      </c>
      <c r="Z150" s="492">
        <f>SUM(W150:Y150)</f>
        <v>0</v>
      </c>
      <c r="AA150" s="492">
        <f>V150+Z150</f>
        <v>0</v>
      </c>
      <c r="AB150" s="74">
        <f>ROUND((V150+W150+X150)*33.8%,0)</f>
        <v>0</v>
      </c>
      <c r="AC150" s="74">
        <f>ROUND(V150*2%,0)</f>
        <v>0</v>
      </c>
      <c r="AD150" s="492">
        <v>0</v>
      </c>
      <c r="AE150" s="492">
        <v>0</v>
      </c>
      <c r="AF150" s="492">
        <f t="shared" si="161"/>
        <v>0</v>
      </c>
      <c r="AG150" s="492">
        <f t="shared" si="162"/>
        <v>0</v>
      </c>
      <c r="AH150" s="493">
        <v>0</v>
      </c>
      <c r="AI150" s="493">
        <v>0</v>
      </c>
      <c r="AJ150" s="493">
        <v>0</v>
      </c>
      <c r="AK150" s="493">
        <v>0</v>
      </c>
      <c r="AL150" s="493">
        <v>0</v>
      </c>
      <c r="AM150" s="493">
        <v>0</v>
      </c>
      <c r="AN150" s="493">
        <v>0</v>
      </c>
      <c r="AO150" s="493">
        <f>AH150+AJ150+AM150</f>
        <v>0</v>
      </c>
      <c r="AP150" s="493">
        <f>AI150+AN150</f>
        <v>0</v>
      </c>
      <c r="AQ150" s="495">
        <f t="shared" si="163"/>
        <v>0</v>
      </c>
      <c r="AR150" s="501">
        <f>I150+AG150</f>
        <v>0</v>
      </c>
      <c r="AS150" s="492">
        <f>J150+V150</f>
        <v>0</v>
      </c>
      <c r="AT150" s="492">
        <f t="shared" si="167"/>
        <v>0</v>
      </c>
      <c r="AU150" s="492">
        <f t="shared" si="168"/>
        <v>0</v>
      </c>
      <c r="AV150" s="492">
        <f t="shared" si="168"/>
        <v>0</v>
      </c>
      <c r="AW150" s="492">
        <f>N150+AF150</f>
        <v>0</v>
      </c>
      <c r="AX150" s="493">
        <f>O150+AQ150</f>
        <v>0</v>
      </c>
      <c r="AY150" s="493">
        <f t="shared" si="169"/>
        <v>0</v>
      </c>
      <c r="AZ150" s="495">
        <f t="shared" si="169"/>
        <v>0</v>
      </c>
    </row>
    <row r="151" spans="1:52" ht="12.95" customHeight="1" x14ac:dyDescent="0.25">
      <c r="A151" s="313">
        <v>30</v>
      </c>
      <c r="B151" s="229">
        <v>5438</v>
      </c>
      <c r="C151" s="229">
        <v>600099032</v>
      </c>
      <c r="D151" s="314">
        <v>72742054</v>
      </c>
      <c r="E151" s="410" t="s">
        <v>541</v>
      </c>
      <c r="F151" s="421">
        <v>3143</v>
      </c>
      <c r="G151" s="356" t="s">
        <v>629</v>
      </c>
      <c r="H151" s="318" t="s">
        <v>278</v>
      </c>
      <c r="I151" s="494">
        <v>735038</v>
      </c>
      <c r="J151" s="489">
        <v>541265</v>
      </c>
      <c r="K151" s="489">
        <v>0</v>
      </c>
      <c r="L151" s="489">
        <v>182948</v>
      </c>
      <c r="M151" s="489">
        <v>10825</v>
      </c>
      <c r="N151" s="489">
        <v>0</v>
      </c>
      <c r="O151" s="490">
        <v>1.1072</v>
      </c>
      <c r="P151" s="491">
        <v>1.1072</v>
      </c>
      <c r="Q151" s="500">
        <v>0</v>
      </c>
      <c r="R151" s="502">
        <f t="shared" si="159"/>
        <v>0</v>
      </c>
      <c r="S151" s="492">
        <v>0</v>
      </c>
      <c r="T151" s="492">
        <v>0</v>
      </c>
      <c r="U151" s="492">
        <v>0</v>
      </c>
      <c r="V151" s="492">
        <f t="shared" si="160"/>
        <v>0</v>
      </c>
      <c r="W151" s="492">
        <v>0</v>
      </c>
      <c r="X151" s="492">
        <v>0</v>
      </c>
      <c r="Y151" s="492">
        <v>0</v>
      </c>
      <c r="Z151" s="492">
        <f>SUM(W151:Y151)</f>
        <v>0</v>
      </c>
      <c r="AA151" s="492">
        <f>V151+Z151</f>
        <v>0</v>
      </c>
      <c r="AB151" s="74">
        <f>ROUND((V151+W151+X151)*33.8%,0)</f>
        <v>0</v>
      </c>
      <c r="AC151" s="74">
        <f>ROUND(V151*2%,0)</f>
        <v>0</v>
      </c>
      <c r="AD151" s="492">
        <v>0</v>
      </c>
      <c r="AE151" s="492">
        <v>0</v>
      </c>
      <c r="AF151" s="492">
        <f t="shared" si="161"/>
        <v>0</v>
      </c>
      <c r="AG151" s="492">
        <f t="shared" si="162"/>
        <v>0</v>
      </c>
      <c r="AH151" s="493">
        <v>0</v>
      </c>
      <c r="AI151" s="493">
        <v>0</v>
      </c>
      <c r="AJ151" s="493">
        <v>0</v>
      </c>
      <c r="AK151" s="493">
        <v>0</v>
      </c>
      <c r="AL151" s="493">
        <v>0</v>
      </c>
      <c r="AM151" s="493">
        <v>0</v>
      </c>
      <c r="AN151" s="493">
        <v>0</v>
      </c>
      <c r="AO151" s="493">
        <f>AH151+AJ151+AM151</f>
        <v>0</v>
      </c>
      <c r="AP151" s="493">
        <f>AI151+AN151</f>
        <v>0</v>
      </c>
      <c r="AQ151" s="495">
        <f t="shared" si="163"/>
        <v>0</v>
      </c>
      <c r="AR151" s="501">
        <f>I151+AG151</f>
        <v>735038</v>
      </c>
      <c r="AS151" s="492">
        <f>J151+V151</f>
        <v>541265</v>
      </c>
      <c r="AT151" s="492">
        <f t="shared" si="167"/>
        <v>0</v>
      </c>
      <c r="AU151" s="492">
        <f t="shared" si="168"/>
        <v>182948</v>
      </c>
      <c r="AV151" s="492">
        <f t="shared" si="168"/>
        <v>10825</v>
      </c>
      <c r="AW151" s="492">
        <f>N151+AF151</f>
        <v>0</v>
      </c>
      <c r="AX151" s="493">
        <f>O151+AQ151</f>
        <v>1.1072</v>
      </c>
      <c r="AY151" s="493">
        <f t="shared" si="169"/>
        <v>1.1072</v>
      </c>
      <c r="AZ151" s="495">
        <f t="shared" si="169"/>
        <v>0</v>
      </c>
    </row>
    <row r="152" spans="1:52" ht="12.95" customHeight="1" x14ac:dyDescent="0.25">
      <c r="A152" s="313">
        <v>30</v>
      </c>
      <c r="B152" s="229">
        <v>5438</v>
      </c>
      <c r="C152" s="229">
        <v>600099032</v>
      </c>
      <c r="D152" s="314">
        <v>72742054</v>
      </c>
      <c r="E152" s="410" t="s">
        <v>541</v>
      </c>
      <c r="F152" s="421">
        <v>3143</v>
      </c>
      <c r="G152" s="356" t="s">
        <v>630</v>
      </c>
      <c r="H152" s="318" t="s">
        <v>279</v>
      </c>
      <c r="I152" s="494">
        <v>21168</v>
      </c>
      <c r="J152" s="489">
        <v>14969</v>
      </c>
      <c r="K152" s="489">
        <v>0</v>
      </c>
      <c r="L152" s="489">
        <v>5060</v>
      </c>
      <c r="M152" s="489">
        <v>299</v>
      </c>
      <c r="N152" s="489">
        <v>840</v>
      </c>
      <c r="O152" s="490">
        <v>0.06</v>
      </c>
      <c r="P152" s="491">
        <v>0</v>
      </c>
      <c r="Q152" s="500">
        <v>0.06</v>
      </c>
      <c r="R152" s="502">
        <f t="shared" si="159"/>
        <v>0</v>
      </c>
      <c r="S152" s="492">
        <v>0</v>
      </c>
      <c r="T152" s="492">
        <v>0</v>
      </c>
      <c r="U152" s="492">
        <v>0</v>
      </c>
      <c r="V152" s="492">
        <f t="shared" si="160"/>
        <v>0</v>
      </c>
      <c r="W152" s="492">
        <v>0</v>
      </c>
      <c r="X152" s="492">
        <v>0</v>
      </c>
      <c r="Y152" s="492">
        <v>0</v>
      </c>
      <c r="Z152" s="492">
        <f>SUM(W152:Y152)</f>
        <v>0</v>
      </c>
      <c r="AA152" s="492">
        <f>V152+Z152</f>
        <v>0</v>
      </c>
      <c r="AB152" s="74">
        <f>ROUND((V152+W152+X152)*33.8%,0)</f>
        <v>0</v>
      </c>
      <c r="AC152" s="74">
        <f>ROUND(V152*2%,0)</f>
        <v>0</v>
      </c>
      <c r="AD152" s="492">
        <v>0</v>
      </c>
      <c r="AE152" s="492">
        <v>0</v>
      </c>
      <c r="AF152" s="492">
        <f t="shared" si="161"/>
        <v>0</v>
      </c>
      <c r="AG152" s="492">
        <f t="shared" si="162"/>
        <v>0</v>
      </c>
      <c r="AH152" s="493">
        <v>0</v>
      </c>
      <c r="AI152" s="493">
        <v>0</v>
      </c>
      <c r="AJ152" s="493">
        <v>0</v>
      </c>
      <c r="AK152" s="493">
        <v>0</v>
      </c>
      <c r="AL152" s="493">
        <v>0</v>
      </c>
      <c r="AM152" s="493">
        <v>0</v>
      </c>
      <c r="AN152" s="493">
        <v>0</v>
      </c>
      <c r="AO152" s="493">
        <f>AH152+AJ152+AM152</f>
        <v>0</v>
      </c>
      <c r="AP152" s="493">
        <f>AI152+AN152</f>
        <v>0</v>
      </c>
      <c r="AQ152" s="495">
        <f t="shared" si="163"/>
        <v>0</v>
      </c>
      <c r="AR152" s="501">
        <f>I152+AG152</f>
        <v>21168</v>
      </c>
      <c r="AS152" s="492">
        <f>J152+V152</f>
        <v>14969</v>
      </c>
      <c r="AT152" s="492">
        <f t="shared" si="167"/>
        <v>0</v>
      </c>
      <c r="AU152" s="492">
        <f t="shared" si="168"/>
        <v>5060</v>
      </c>
      <c r="AV152" s="492">
        <f t="shared" si="168"/>
        <v>299</v>
      </c>
      <c r="AW152" s="492">
        <f>N152+AF152</f>
        <v>840</v>
      </c>
      <c r="AX152" s="493">
        <f>O152+AQ152</f>
        <v>0.06</v>
      </c>
      <c r="AY152" s="493">
        <f t="shared" si="169"/>
        <v>0</v>
      </c>
      <c r="AZ152" s="495">
        <f t="shared" si="169"/>
        <v>0.06</v>
      </c>
    </row>
    <row r="153" spans="1:52" ht="12.95" customHeight="1" x14ac:dyDescent="0.25">
      <c r="A153" s="230">
        <v>30</v>
      </c>
      <c r="B153" s="50">
        <v>5438</v>
      </c>
      <c r="C153" s="50">
        <v>600099032</v>
      </c>
      <c r="D153" s="50">
        <v>72742054</v>
      </c>
      <c r="E153" s="422" t="s">
        <v>542</v>
      </c>
      <c r="F153" s="423"/>
      <c r="G153" s="422"/>
      <c r="H153" s="424"/>
      <c r="I153" s="636">
        <v>4923384</v>
      </c>
      <c r="J153" s="633">
        <v>3556851</v>
      </c>
      <c r="K153" s="633">
        <v>0</v>
      </c>
      <c r="L153" s="633">
        <v>1202216</v>
      </c>
      <c r="M153" s="633">
        <v>71137</v>
      </c>
      <c r="N153" s="633">
        <v>93180</v>
      </c>
      <c r="O153" s="634">
        <v>6.6232999999999995</v>
      </c>
      <c r="P153" s="634">
        <v>4.8680000000000003</v>
      </c>
      <c r="Q153" s="638">
        <v>1.7553000000000001</v>
      </c>
      <c r="R153" s="636">
        <f t="shared" ref="R153:AZ153" si="170">SUM(R149:R152)</f>
        <v>0</v>
      </c>
      <c r="S153" s="633">
        <f t="shared" si="170"/>
        <v>0</v>
      </c>
      <c r="T153" s="633">
        <f t="shared" si="170"/>
        <v>0</v>
      </c>
      <c r="U153" s="633">
        <f t="shared" si="170"/>
        <v>0</v>
      </c>
      <c r="V153" s="633">
        <f t="shared" si="170"/>
        <v>0</v>
      </c>
      <c r="W153" s="633">
        <f t="shared" si="170"/>
        <v>0</v>
      </c>
      <c r="X153" s="633">
        <f t="shared" si="170"/>
        <v>0</v>
      </c>
      <c r="Y153" s="633">
        <f t="shared" si="170"/>
        <v>0</v>
      </c>
      <c r="Z153" s="633">
        <f t="shared" si="170"/>
        <v>0</v>
      </c>
      <c r="AA153" s="633">
        <f t="shared" si="170"/>
        <v>0</v>
      </c>
      <c r="AB153" s="633">
        <f t="shared" si="170"/>
        <v>0</v>
      </c>
      <c r="AC153" s="633">
        <f t="shared" si="170"/>
        <v>0</v>
      </c>
      <c r="AD153" s="633">
        <f t="shared" si="170"/>
        <v>0</v>
      </c>
      <c r="AE153" s="633">
        <f t="shared" si="170"/>
        <v>0</v>
      </c>
      <c r="AF153" s="633">
        <f t="shared" si="170"/>
        <v>0</v>
      </c>
      <c r="AG153" s="633">
        <f t="shared" si="170"/>
        <v>0</v>
      </c>
      <c r="AH153" s="634">
        <f t="shared" si="170"/>
        <v>0</v>
      </c>
      <c r="AI153" s="634">
        <f t="shared" si="170"/>
        <v>0</v>
      </c>
      <c r="AJ153" s="634">
        <f t="shared" si="170"/>
        <v>0</v>
      </c>
      <c r="AK153" s="634">
        <f t="shared" si="170"/>
        <v>0</v>
      </c>
      <c r="AL153" s="634">
        <f t="shared" si="170"/>
        <v>0</v>
      </c>
      <c r="AM153" s="634">
        <f t="shared" si="170"/>
        <v>0</v>
      </c>
      <c r="AN153" s="634">
        <f t="shared" si="170"/>
        <v>0</v>
      </c>
      <c r="AO153" s="634">
        <f t="shared" si="170"/>
        <v>0</v>
      </c>
      <c r="AP153" s="634">
        <f t="shared" si="170"/>
        <v>0</v>
      </c>
      <c r="AQ153" s="418">
        <f t="shared" si="170"/>
        <v>0</v>
      </c>
      <c r="AR153" s="640">
        <f t="shared" si="170"/>
        <v>4923384</v>
      </c>
      <c r="AS153" s="633">
        <f t="shared" si="170"/>
        <v>3556851</v>
      </c>
      <c r="AT153" s="633">
        <f t="shared" si="170"/>
        <v>0</v>
      </c>
      <c r="AU153" s="633">
        <f t="shared" si="170"/>
        <v>1202216</v>
      </c>
      <c r="AV153" s="633">
        <f t="shared" si="170"/>
        <v>71137</v>
      </c>
      <c r="AW153" s="633">
        <f t="shared" si="170"/>
        <v>93180</v>
      </c>
      <c r="AX153" s="634">
        <f t="shared" si="170"/>
        <v>6.6232999999999995</v>
      </c>
      <c r="AY153" s="634">
        <f t="shared" si="170"/>
        <v>4.8680000000000003</v>
      </c>
      <c r="AZ153" s="418">
        <f t="shared" si="170"/>
        <v>1.7553000000000001</v>
      </c>
    </row>
    <row r="154" spans="1:52" ht="12.95" customHeight="1" x14ac:dyDescent="0.25">
      <c r="A154" s="313">
        <v>31</v>
      </c>
      <c r="B154" s="229">
        <v>2441</v>
      </c>
      <c r="C154" s="229">
        <v>600079406</v>
      </c>
      <c r="D154" s="314">
        <v>70695920</v>
      </c>
      <c r="E154" s="411" t="s">
        <v>543</v>
      </c>
      <c r="F154" s="229">
        <v>3111</v>
      </c>
      <c r="G154" s="412" t="s">
        <v>326</v>
      </c>
      <c r="H154" s="318" t="s">
        <v>278</v>
      </c>
      <c r="I154" s="494">
        <v>3499788</v>
      </c>
      <c r="J154" s="489">
        <v>2562252</v>
      </c>
      <c r="K154" s="489">
        <v>0</v>
      </c>
      <c r="L154" s="489">
        <v>866041</v>
      </c>
      <c r="M154" s="489">
        <v>51245</v>
      </c>
      <c r="N154" s="489">
        <v>20250</v>
      </c>
      <c r="O154" s="490">
        <v>5.4897999999999998</v>
      </c>
      <c r="P154" s="491">
        <v>4</v>
      </c>
      <c r="Q154" s="500">
        <v>1.4898</v>
      </c>
      <c r="R154" s="502">
        <f t="shared" si="159"/>
        <v>0</v>
      </c>
      <c r="S154" s="492">
        <v>0</v>
      </c>
      <c r="T154" s="492">
        <v>0</v>
      </c>
      <c r="U154" s="492">
        <v>0</v>
      </c>
      <c r="V154" s="492">
        <f t="shared" si="160"/>
        <v>0</v>
      </c>
      <c r="W154" s="492">
        <v>0</v>
      </c>
      <c r="X154" s="492">
        <v>0</v>
      </c>
      <c r="Y154" s="492">
        <v>0</v>
      </c>
      <c r="Z154" s="492">
        <f>SUM(W154:Y154)</f>
        <v>0</v>
      </c>
      <c r="AA154" s="492">
        <f>V154+Z154</f>
        <v>0</v>
      </c>
      <c r="AB154" s="74">
        <f>ROUND((V154+W154+X154)*33.8%,0)</f>
        <v>0</v>
      </c>
      <c r="AC154" s="74">
        <f>ROUND(V154*2%,0)</f>
        <v>0</v>
      </c>
      <c r="AD154" s="492">
        <v>0</v>
      </c>
      <c r="AE154" s="492">
        <v>0</v>
      </c>
      <c r="AF154" s="492">
        <f t="shared" si="161"/>
        <v>0</v>
      </c>
      <c r="AG154" s="492">
        <f t="shared" si="162"/>
        <v>0</v>
      </c>
      <c r="AH154" s="493">
        <v>0</v>
      </c>
      <c r="AI154" s="493">
        <v>0</v>
      </c>
      <c r="AJ154" s="493">
        <v>0</v>
      </c>
      <c r="AK154" s="493">
        <v>0</v>
      </c>
      <c r="AL154" s="493">
        <v>0</v>
      </c>
      <c r="AM154" s="493">
        <v>0</v>
      </c>
      <c r="AN154" s="493">
        <v>0</v>
      </c>
      <c r="AO154" s="493">
        <f>AH154+AJ154+AM154</f>
        <v>0</v>
      </c>
      <c r="AP154" s="493">
        <f>AI154+AN154</f>
        <v>0</v>
      </c>
      <c r="AQ154" s="495">
        <f t="shared" si="163"/>
        <v>0</v>
      </c>
      <c r="AR154" s="501">
        <f>I154+AG154</f>
        <v>3499788</v>
      </c>
      <c r="AS154" s="492">
        <f>J154+V154</f>
        <v>2562252</v>
      </c>
      <c r="AT154" s="492">
        <f t="shared" ref="AT154:AT155" si="171">K154+Z154</f>
        <v>0</v>
      </c>
      <c r="AU154" s="492">
        <f>L154+AB154</f>
        <v>866041</v>
      </c>
      <c r="AV154" s="492">
        <f>M154+AC154</f>
        <v>51245</v>
      </c>
      <c r="AW154" s="492">
        <f>N154+AF154</f>
        <v>20250</v>
      </c>
      <c r="AX154" s="493">
        <f>O154+AQ154</f>
        <v>5.4897999999999998</v>
      </c>
      <c r="AY154" s="493">
        <f>P154+AO154</f>
        <v>4</v>
      </c>
      <c r="AZ154" s="495">
        <f>Q154+AP154</f>
        <v>1.4898</v>
      </c>
    </row>
    <row r="155" spans="1:52" ht="12.95" customHeight="1" x14ac:dyDescent="0.25">
      <c r="A155" s="313">
        <v>31</v>
      </c>
      <c r="B155" s="415">
        <v>2441</v>
      </c>
      <c r="C155" s="415">
        <v>600079406</v>
      </c>
      <c r="D155" s="314">
        <v>70695920</v>
      </c>
      <c r="E155" s="228" t="s">
        <v>543</v>
      </c>
      <c r="F155" s="229">
        <v>3141</v>
      </c>
      <c r="G155" s="412" t="s">
        <v>316</v>
      </c>
      <c r="H155" s="318" t="s">
        <v>279</v>
      </c>
      <c r="I155" s="494">
        <v>639668</v>
      </c>
      <c r="J155" s="489">
        <v>469115</v>
      </c>
      <c r="K155" s="489">
        <v>0</v>
      </c>
      <c r="L155" s="489">
        <v>158561</v>
      </c>
      <c r="M155" s="489">
        <v>9382</v>
      </c>
      <c r="N155" s="489">
        <v>2610</v>
      </c>
      <c r="O155" s="490">
        <v>1.48</v>
      </c>
      <c r="P155" s="491">
        <v>0</v>
      </c>
      <c r="Q155" s="500">
        <v>1.48</v>
      </c>
      <c r="R155" s="502">
        <f t="shared" si="159"/>
        <v>0</v>
      </c>
      <c r="S155" s="492">
        <v>0</v>
      </c>
      <c r="T155" s="492">
        <v>0</v>
      </c>
      <c r="U155" s="492">
        <v>0</v>
      </c>
      <c r="V155" s="492">
        <f t="shared" si="160"/>
        <v>0</v>
      </c>
      <c r="W155" s="492">
        <v>0</v>
      </c>
      <c r="X155" s="492">
        <v>0</v>
      </c>
      <c r="Y155" s="492">
        <v>0</v>
      </c>
      <c r="Z155" s="492">
        <f>SUM(W155:Y155)</f>
        <v>0</v>
      </c>
      <c r="AA155" s="492">
        <f>V155+Z155</f>
        <v>0</v>
      </c>
      <c r="AB155" s="74">
        <f>ROUND((V155+W155+X155)*33.8%,0)</f>
        <v>0</v>
      </c>
      <c r="AC155" s="74">
        <f>ROUND(V155*2%,0)</f>
        <v>0</v>
      </c>
      <c r="AD155" s="492">
        <v>0</v>
      </c>
      <c r="AE155" s="492">
        <v>0</v>
      </c>
      <c r="AF155" s="492">
        <f t="shared" si="161"/>
        <v>0</v>
      </c>
      <c r="AG155" s="492">
        <f t="shared" si="162"/>
        <v>0</v>
      </c>
      <c r="AH155" s="493">
        <v>0</v>
      </c>
      <c r="AI155" s="493">
        <v>0</v>
      </c>
      <c r="AJ155" s="493">
        <v>0</v>
      </c>
      <c r="AK155" s="493">
        <v>0</v>
      </c>
      <c r="AL155" s="493">
        <v>0</v>
      </c>
      <c r="AM155" s="493">
        <v>0</v>
      </c>
      <c r="AN155" s="493">
        <v>0</v>
      </c>
      <c r="AO155" s="493">
        <f>AH155+AJ155+AM155</f>
        <v>0</v>
      </c>
      <c r="AP155" s="493">
        <f>AI155+AN155</f>
        <v>0</v>
      </c>
      <c r="AQ155" s="495">
        <f t="shared" si="163"/>
        <v>0</v>
      </c>
      <c r="AR155" s="501">
        <f>I155+AG155</f>
        <v>639668</v>
      </c>
      <c r="AS155" s="492">
        <f>J155+V155</f>
        <v>469115</v>
      </c>
      <c r="AT155" s="492">
        <f t="shared" si="171"/>
        <v>0</v>
      </c>
      <c r="AU155" s="492">
        <f>L155+AB155</f>
        <v>158561</v>
      </c>
      <c r="AV155" s="492">
        <f>M155+AC155</f>
        <v>9382</v>
      </c>
      <c r="AW155" s="492">
        <f>N155+AF155</f>
        <v>2610</v>
      </c>
      <c r="AX155" s="493">
        <f>O155+AQ155</f>
        <v>1.48</v>
      </c>
      <c r="AY155" s="493">
        <f>P155+AO155</f>
        <v>0</v>
      </c>
      <c r="AZ155" s="495">
        <f>Q155+AP155</f>
        <v>1.48</v>
      </c>
    </row>
    <row r="156" spans="1:52" ht="12.95" customHeight="1" x14ac:dyDescent="0.25">
      <c r="A156" s="230">
        <v>31</v>
      </c>
      <c r="B156" s="51">
        <v>2441</v>
      </c>
      <c r="C156" s="51">
        <v>600079406</v>
      </c>
      <c r="D156" s="51">
        <v>70695920</v>
      </c>
      <c r="E156" s="413" t="s">
        <v>544</v>
      </c>
      <c r="F156" s="53"/>
      <c r="G156" s="426"/>
      <c r="H156" s="197"/>
      <c r="I156" s="636">
        <v>4139456</v>
      </c>
      <c r="J156" s="633">
        <v>3031367</v>
      </c>
      <c r="K156" s="633">
        <v>0</v>
      </c>
      <c r="L156" s="633">
        <v>1024602</v>
      </c>
      <c r="M156" s="633">
        <v>60627</v>
      </c>
      <c r="N156" s="633">
        <v>22860</v>
      </c>
      <c r="O156" s="634">
        <v>6.9697999999999993</v>
      </c>
      <c r="P156" s="634">
        <v>4</v>
      </c>
      <c r="Q156" s="638">
        <v>2.9698000000000002</v>
      </c>
      <c r="R156" s="636">
        <f t="shared" ref="R156:AZ156" si="172">SUM(R154:R155)</f>
        <v>0</v>
      </c>
      <c r="S156" s="633">
        <f t="shared" si="172"/>
        <v>0</v>
      </c>
      <c r="T156" s="633">
        <f t="shared" si="172"/>
        <v>0</v>
      </c>
      <c r="U156" s="633">
        <f t="shared" si="172"/>
        <v>0</v>
      </c>
      <c r="V156" s="633">
        <f t="shared" si="172"/>
        <v>0</v>
      </c>
      <c r="W156" s="633">
        <f t="shared" si="172"/>
        <v>0</v>
      </c>
      <c r="X156" s="633">
        <f t="shared" si="172"/>
        <v>0</v>
      </c>
      <c r="Y156" s="633">
        <f t="shared" si="172"/>
        <v>0</v>
      </c>
      <c r="Z156" s="633">
        <f t="shared" si="172"/>
        <v>0</v>
      </c>
      <c r="AA156" s="633">
        <f t="shared" si="172"/>
        <v>0</v>
      </c>
      <c r="AB156" s="633">
        <f t="shared" si="172"/>
        <v>0</v>
      </c>
      <c r="AC156" s="633">
        <f t="shared" si="172"/>
        <v>0</v>
      </c>
      <c r="AD156" s="633">
        <f t="shared" si="172"/>
        <v>0</v>
      </c>
      <c r="AE156" s="633">
        <f t="shared" si="172"/>
        <v>0</v>
      </c>
      <c r="AF156" s="633">
        <f t="shared" si="172"/>
        <v>0</v>
      </c>
      <c r="AG156" s="633">
        <f t="shared" si="172"/>
        <v>0</v>
      </c>
      <c r="AH156" s="634">
        <f t="shared" si="172"/>
        <v>0</v>
      </c>
      <c r="AI156" s="634">
        <f t="shared" si="172"/>
        <v>0</v>
      </c>
      <c r="AJ156" s="634">
        <f t="shared" si="172"/>
        <v>0</v>
      </c>
      <c r="AK156" s="634">
        <f t="shared" si="172"/>
        <v>0</v>
      </c>
      <c r="AL156" s="634">
        <f t="shared" si="172"/>
        <v>0</v>
      </c>
      <c r="AM156" s="634">
        <f t="shared" si="172"/>
        <v>0</v>
      </c>
      <c r="AN156" s="634">
        <f t="shared" si="172"/>
        <v>0</v>
      </c>
      <c r="AO156" s="634">
        <f t="shared" si="172"/>
        <v>0</v>
      </c>
      <c r="AP156" s="634">
        <f t="shared" si="172"/>
        <v>0</v>
      </c>
      <c r="AQ156" s="418">
        <f t="shared" si="172"/>
        <v>0</v>
      </c>
      <c r="AR156" s="640">
        <f t="shared" si="172"/>
        <v>4139456</v>
      </c>
      <c r="AS156" s="633">
        <f t="shared" si="172"/>
        <v>3031367</v>
      </c>
      <c r="AT156" s="633">
        <f t="shared" si="172"/>
        <v>0</v>
      </c>
      <c r="AU156" s="633">
        <f t="shared" si="172"/>
        <v>1024602</v>
      </c>
      <c r="AV156" s="633">
        <f t="shared" si="172"/>
        <v>60627</v>
      </c>
      <c r="AW156" s="633">
        <f t="shared" si="172"/>
        <v>22860</v>
      </c>
      <c r="AX156" s="634">
        <f t="shared" si="172"/>
        <v>6.9697999999999993</v>
      </c>
      <c r="AY156" s="634">
        <f t="shared" si="172"/>
        <v>4</v>
      </c>
      <c r="AZ156" s="418">
        <f t="shared" si="172"/>
        <v>2.9698000000000002</v>
      </c>
    </row>
    <row r="157" spans="1:52" ht="12.95" customHeight="1" x14ac:dyDescent="0.25">
      <c r="A157" s="313">
        <v>32</v>
      </c>
      <c r="B157" s="229">
        <v>2496</v>
      </c>
      <c r="C157" s="229">
        <v>600080251</v>
      </c>
      <c r="D157" s="314">
        <v>70695938</v>
      </c>
      <c r="E157" s="411" t="s">
        <v>545</v>
      </c>
      <c r="F157" s="229">
        <v>3117</v>
      </c>
      <c r="G157" s="411" t="s">
        <v>330</v>
      </c>
      <c r="H157" s="318" t="s">
        <v>278</v>
      </c>
      <c r="I157" s="494">
        <v>5647389</v>
      </c>
      <c r="J157" s="489">
        <v>4073557</v>
      </c>
      <c r="K157" s="489">
        <v>3250</v>
      </c>
      <c r="L157" s="489">
        <v>1377961</v>
      </c>
      <c r="M157" s="489">
        <v>81471</v>
      </c>
      <c r="N157" s="489">
        <v>111150</v>
      </c>
      <c r="O157" s="490">
        <v>7.93</v>
      </c>
      <c r="P157" s="491">
        <v>5.91</v>
      </c>
      <c r="Q157" s="500">
        <v>2.02</v>
      </c>
      <c r="R157" s="502">
        <f t="shared" si="159"/>
        <v>0</v>
      </c>
      <c r="S157" s="492">
        <v>0</v>
      </c>
      <c r="T157" s="492">
        <v>0</v>
      </c>
      <c r="U157" s="492">
        <v>0</v>
      </c>
      <c r="V157" s="492">
        <f t="shared" si="160"/>
        <v>0</v>
      </c>
      <c r="W157" s="713">
        <v>0</v>
      </c>
      <c r="X157" s="492">
        <v>0</v>
      </c>
      <c r="Y157" s="492">
        <v>0</v>
      </c>
      <c r="Z157" s="492">
        <f>SUM(W157:Y157)</f>
        <v>0</v>
      </c>
      <c r="AA157" s="492">
        <f>V157+Z157</f>
        <v>0</v>
      </c>
      <c r="AB157" s="74">
        <f>ROUND((V157+W157+X157)*33.8%,0)</f>
        <v>0</v>
      </c>
      <c r="AC157" s="74">
        <f>ROUND(V157*2%,0)</f>
        <v>0</v>
      </c>
      <c r="AD157" s="492">
        <v>0</v>
      </c>
      <c r="AE157" s="492">
        <v>0</v>
      </c>
      <c r="AF157" s="492">
        <f t="shared" si="161"/>
        <v>0</v>
      </c>
      <c r="AG157" s="492">
        <f t="shared" si="162"/>
        <v>0</v>
      </c>
      <c r="AH157" s="493">
        <v>0</v>
      </c>
      <c r="AI157" s="493">
        <v>0</v>
      </c>
      <c r="AJ157" s="493">
        <v>0</v>
      </c>
      <c r="AK157" s="493">
        <v>0</v>
      </c>
      <c r="AL157" s="493">
        <v>0</v>
      </c>
      <c r="AM157" s="493">
        <v>0</v>
      </c>
      <c r="AN157" s="493">
        <v>0</v>
      </c>
      <c r="AO157" s="493">
        <f>AH157+AJ157+AM157</f>
        <v>0</v>
      </c>
      <c r="AP157" s="493">
        <f>AI157+AN157</f>
        <v>0</v>
      </c>
      <c r="AQ157" s="495">
        <f t="shared" si="163"/>
        <v>0</v>
      </c>
      <c r="AR157" s="501">
        <f>I157+AG157</f>
        <v>5647389</v>
      </c>
      <c r="AS157" s="492">
        <f>J157+V157</f>
        <v>4073557</v>
      </c>
      <c r="AT157" s="492">
        <f t="shared" ref="AT157:AT161" si="173">K157+Z157</f>
        <v>3250</v>
      </c>
      <c r="AU157" s="492">
        <f t="shared" ref="AU157:AV161" si="174">L157+AB157</f>
        <v>1377961</v>
      </c>
      <c r="AV157" s="492">
        <f t="shared" si="174"/>
        <v>81471</v>
      </c>
      <c r="AW157" s="492">
        <f>N157+AF157</f>
        <v>111150</v>
      </c>
      <c r="AX157" s="493">
        <f>O157+AQ157</f>
        <v>7.93</v>
      </c>
      <c r="AY157" s="493">
        <f t="shared" ref="AY157:AZ161" si="175">P157+AO157</f>
        <v>5.91</v>
      </c>
      <c r="AZ157" s="495">
        <f t="shared" si="175"/>
        <v>2.02</v>
      </c>
    </row>
    <row r="158" spans="1:52" ht="12.95" customHeight="1" x14ac:dyDescent="0.25">
      <c r="A158" s="313">
        <v>32</v>
      </c>
      <c r="B158" s="229">
        <v>2496</v>
      </c>
      <c r="C158" s="229">
        <v>600080251</v>
      </c>
      <c r="D158" s="314">
        <v>70695938</v>
      </c>
      <c r="E158" s="411" t="s">
        <v>545</v>
      </c>
      <c r="F158" s="229">
        <v>3117</v>
      </c>
      <c r="G158" s="356" t="s">
        <v>313</v>
      </c>
      <c r="H158" s="318" t="s">
        <v>279</v>
      </c>
      <c r="I158" s="494">
        <v>243090</v>
      </c>
      <c r="J158" s="489">
        <v>179006</v>
      </c>
      <c r="K158" s="489">
        <v>0</v>
      </c>
      <c r="L158" s="489">
        <v>60504</v>
      </c>
      <c r="M158" s="489">
        <v>3580</v>
      </c>
      <c r="N158" s="489">
        <v>0</v>
      </c>
      <c r="O158" s="490">
        <v>0.51</v>
      </c>
      <c r="P158" s="491">
        <v>0.51</v>
      </c>
      <c r="Q158" s="500">
        <v>0</v>
      </c>
      <c r="R158" s="502">
        <f t="shared" si="159"/>
        <v>0</v>
      </c>
      <c r="S158" s="492">
        <v>0</v>
      </c>
      <c r="T158" s="492">
        <v>0</v>
      </c>
      <c r="U158" s="492">
        <v>0</v>
      </c>
      <c r="V158" s="492">
        <f t="shared" si="160"/>
        <v>0</v>
      </c>
      <c r="W158" s="713">
        <v>0</v>
      </c>
      <c r="X158" s="492">
        <v>0</v>
      </c>
      <c r="Y158" s="492">
        <v>0</v>
      </c>
      <c r="Z158" s="492">
        <f>SUM(W158:Y158)</f>
        <v>0</v>
      </c>
      <c r="AA158" s="492">
        <f>V158+Z158</f>
        <v>0</v>
      </c>
      <c r="AB158" s="74">
        <f>ROUND((V158+W158+X158)*33.8%,0)</f>
        <v>0</v>
      </c>
      <c r="AC158" s="74">
        <f>ROUND(V158*2%,0)</f>
        <v>0</v>
      </c>
      <c r="AD158" s="492">
        <v>0</v>
      </c>
      <c r="AE158" s="492">
        <v>0</v>
      </c>
      <c r="AF158" s="492">
        <f t="shared" si="161"/>
        <v>0</v>
      </c>
      <c r="AG158" s="492">
        <f t="shared" si="162"/>
        <v>0</v>
      </c>
      <c r="AH158" s="493">
        <v>0</v>
      </c>
      <c r="AI158" s="493">
        <v>0</v>
      </c>
      <c r="AJ158" s="493">
        <v>0</v>
      </c>
      <c r="AK158" s="493">
        <v>0</v>
      </c>
      <c r="AL158" s="493">
        <v>0</v>
      </c>
      <c r="AM158" s="493">
        <v>0</v>
      </c>
      <c r="AN158" s="493">
        <v>0</v>
      </c>
      <c r="AO158" s="493">
        <f>AH158+AJ158+AM158</f>
        <v>0</v>
      </c>
      <c r="AP158" s="493">
        <f>AI158+AN158</f>
        <v>0</v>
      </c>
      <c r="AQ158" s="495">
        <f t="shared" si="163"/>
        <v>0</v>
      </c>
      <c r="AR158" s="501">
        <f>I158+AG158</f>
        <v>243090</v>
      </c>
      <c r="AS158" s="492">
        <f>J158+V158</f>
        <v>179006</v>
      </c>
      <c r="AT158" s="492">
        <f t="shared" si="173"/>
        <v>0</v>
      </c>
      <c r="AU158" s="492">
        <f t="shared" si="174"/>
        <v>60504</v>
      </c>
      <c r="AV158" s="492">
        <f t="shared" si="174"/>
        <v>3580</v>
      </c>
      <c r="AW158" s="492">
        <f>N158+AF158</f>
        <v>0</v>
      </c>
      <c r="AX158" s="493">
        <f>O158+AQ158</f>
        <v>0.51</v>
      </c>
      <c r="AY158" s="493">
        <f t="shared" si="175"/>
        <v>0.51</v>
      </c>
      <c r="AZ158" s="495">
        <f t="shared" si="175"/>
        <v>0</v>
      </c>
    </row>
    <row r="159" spans="1:52" ht="12.95" customHeight="1" x14ac:dyDescent="0.25">
      <c r="A159" s="313">
        <v>32</v>
      </c>
      <c r="B159" s="415">
        <v>2496</v>
      </c>
      <c r="C159" s="415">
        <v>600080251</v>
      </c>
      <c r="D159" s="314">
        <v>70695938</v>
      </c>
      <c r="E159" s="228" t="s">
        <v>545</v>
      </c>
      <c r="F159" s="229">
        <v>3141</v>
      </c>
      <c r="G159" s="412" t="s">
        <v>316</v>
      </c>
      <c r="H159" s="318" t="s">
        <v>279</v>
      </c>
      <c r="I159" s="494">
        <v>630750</v>
      </c>
      <c r="J159" s="489">
        <v>461736</v>
      </c>
      <c r="K159" s="489">
        <v>0</v>
      </c>
      <c r="L159" s="489">
        <v>156067</v>
      </c>
      <c r="M159" s="489">
        <v>9235</v>
      </c>
      <c r="N159" s="489">
        <v>3712</v>
      </c>
      <c r="O159" s="490">
        <v>1.45</v>
      </c>
      <c r="P159" s="491">
        <v>0</v>
      </c>
      <c r="Q159" s="500">
        <v>1.45</v>
      </c>
      <c r="R159" s="502">
        <f t="shared" si="159"/>
        <v>0</v>
      </c>
      <c r="S159" s="492">
        <v>0</v>
      </c>
      <c r="T159" s="492">
        <v>0</v>
      </c>
      <c r="U159" s="492">
        <v>0</v>
      </c>
      <c r="V159" s="492">
        <f t="shared" si="160"/>
        <v>0</v>
      </c>
      <c r="W159" s="713">
        <v>0</v>
      </c>
      <c r="X159" s="492">
        <v>0</v>
      </c>
      <c r="Y159" s="492">
        <v>0</v>
      </c>
      <c r="Z159" s="492">
        <f>SUM(W159:Y159)</f>
        <v>0</v>
      </c>
      <c r="AA159" s="492">
        <f>V159+Z159</f>
        <v>0</v>
      </c>
      <c r="AB159" s="74">
        <f>ROUND((V159+W159+X159)*33.8%,0)</f>
        <v>0</v>
      </c>
      <c r="AC159" s="74">
        <f>ROUND(V159*2%,0)</f>
        <v>0</v>
      </c>
      <c r="AD159" s="492">
        <v>0</v>
      </c>
      <c r="AE159" s="492">
        <v>0</v>
      </c>
      <c r="AF159" s="492">
        <f t="shared" si="161"/>
        <v>0</v>
      </c>
      <c r="AG159" s="492">
        <f t="shared" si="162"/>
        <v>0</v>
      </c>
      <c r="AH159" s="493">
        <v>0</v>
      </c>
      <c r="AI159" s="493">
        <v>0</v>
      </c>
      <c r="AJ159" s="493">
        <v>0</v>
      </c>
      <c r="AK159" s="493">
        <v>0</v>
      </c>
      <c r="AL159" s="493">
        <v>0</v>
      </c>
      <c r="AM159" s="493">
        <v>0</v>
      </c>
      <c r="AN159" s="493">
        <v>0</v>
      </c>
      <c r="AO159" s="493">
        <f>AH159+AJ159+AM159</f>
        <v>0</v>
      </c>
      <c r="AP159" s="493">
        <f>AI159+AN159</f>
        <v>0</v>
      </c>
      <c r="AQ159" s="495">
        <f t="shared" si="163"/>
        <v>0</v>
      </c>
      <c r="AR159" s="501">
        <f>I159+AG159</f>
        <v>630750</v>
      </c>
      <c r="AS159" s="492">
        <f>J159+V159</f>
        <v>461736</v>
      </c>
      <c r="AT159" s="492">
        <f t="shared" si="173"/>
        <v>0</v>
      </c>
      <c r="AU159" s="492">
        <f t="shared" si="174"/>
        <v>156067</v>
      </c>
      <c r="AV159" s="492">
        <f t="shared" si="174"/>
        <v>9235</v>
      </c>
      <c r="AW159" s="492">
        <f>N159+AF159</f>
        <v>3712</v>
      </c>
      <c r="AX159" s="493">
        <f>O159+AQ159</f>
        <v>1.45</v>
      </c>
      <c r="AY159" s="493">
        <f t="shared" si="175"/>
        <v>0</v>
      </c>
      <c r="AZ159" s="495">
        <f t="shared" si="175"/>
        <v>1.45</v>
      </c>
    </row>
    <row r="160" spans="1:52" ht="12.95" customHeight="1" x14ac:dyDescent="0.25">
      <c r="A160" s="313">
        <v>32</v>
      </c>
      <c r="B160" s="229">
        <v>2496</v>
      </c>
      <c r="C160" s="229">
        <v>600080251</v>
      </c>
      <c r="D160" s="314">
        <v>70695938</v>
      </c>
      <c r="E160" s="411" t="s">
        <v>545</v>
      </c>
      <c r="F160" s="229">
        <v>3143</v>
      </c>
      <c r="G160" s="356" t="s">
        <v>629</v>
      </c>
      <c r="H160" s="318" t="s">
        <v>278</v>
      </c>
      <c r="I160" s="494">
        <v>1077718</v>
      </c>
      <c r="J160" s="489">
        <v>793607</v>
      </c>
      <c r="K160" s="489">
        <v>0</v>
      </c>
      <c r="L160" s="489">
        <v>268239</v>
      </c>
      <c r="M160" s="489">
        <v>15872</v>
      </c>
      <c r="N160" s="489">
        <v>0</v>
      </c>
      <c r="O160" s="490">
        <v>1.6</v>
      </c>
      <c r="P160" s="491">
        <v>1.6</v>
      </c>
      <c r="Q160" s="500">
        <v>0</v>
      </c>
      <c r="R160" s="502">
        <f t="shared" si="159"/>
        <v>0</v>
      </c>
      <c r="S160" s="492">
        <v>0</v>
      </c>
      <c r="T160" s="492">
        <v>0</v>
      </c>
      <c r="U160" s="492">
        <v>0</v>
      </c>
      <c r="V160" s="492">
        <f t="shared" si="160"/>
        <v>0</v>
      </c>
      <c r="W160" s="713">
        <v>0</v>
      </c>
      <c r="X160" s="492">
        <v>0</v>
      </c>
      <c r="Y160" s="492">
        <v>0</v>
      </c>
      <c r="Z160" s="492">
        <f>SUM(W160:Y160)</f>
        <v>0</v>
      </c>
      <c r="AA160" s="492">
        <f>V160+Z160</f>
        <v>0</v>
      </c>
      <c r="AB160" s="74">
        <f>ROUND((V160+W160+X160)*33.8%,0)</f>
        <v>0</v>
      </c>
      <c r="AC160" s="74">
        <f>ROUND(V160*2%,0)</f>
        <v>0</v>
      </c>
      <c r="AD160" s="492">
        <v>0</v>
      </c>
      <c r="AE160" s="492">
        <v>0</v>
      </c>
      <c r="AF160" s="492">
        <f t="shared" si="161"/>
        <v>0</v>
      </c>
      <c r="AG160" s="492">
        <f t="shared" si="162"/>
        <v>0</v>
      </c>
      <c r="AH160" s="493">
        <v>0</v>
      </c>
      <c r="AI160" s="493">
        <v>0</v>
      </c>
      <c r="AJ160" s="493">
        <v>0</v>
      </c>
      <c r="AK160" s="493">
        <v>0</v>
      </c>
      <c r="AL160" s="493">
        <v>0</v>
      </c>
      <c r="AM160" s="493">
        <v>0</v>
      </c>
      <c r="AN160" s="493">
        <v>0</v>
      </c>
      <c r="AO160" s="493">
        <f>AH160+AJ160+AM160</f>
        <v>0</v>
      </c>
      <c r="AP160" s="493">
        <f>AI160+AN160</f>
        <v>0</v>
      </c>
      <c r="AQ160" s="495">
        <f t="shared" si="163"/>
        <v>0</v>
      </c>
      <c r="AR160" s="501">
        <f>I160+AG160</f>
        <v>1077718</v>
      </c>
      <c r="AS160" s="492">
        <f>J160+V160</f>
        <v>793607</v>
      </c>
      <c r="AT160" s="492">
        <f t="shared" si="173"/>
        <v>0</v>
      </c>
      <c r="AU160" s="492">
        <f t="shared" si="174"/>
        <v>268239</v>
      </c>
      <c r="AV160" s="492">
        <f t="shared" si="174"/>
        <v>15872</v>
      </c>
      <c r="AW160" s="492">
        <f>N160+AF160</f>
        <v>0</v>
      </c>
      <c r="AX160" s="493">
        <f>O160+AQ160</f>
        <v>1.6</v>
      </c>
      <c r="AY160" s="493">
        <f t="shared" si="175"/>
        <v>1.6</v>
      </c>
      <c r="AZ160" s="495">
        <f t="shared" si="175"/>
        <v>0</v>
      </c>
    </row>
    <row r="161" spans="1:52" ht="12.95" customHeight="1" x14ac:dyDescent="0.25">
      <c r="A161" s="313">
        <v>32</v>
      </c>
      <c r="B161" s="229">
        <v>2496</v>
      </c>
      <c r="C161" s="229">
        <v>600080251</v>
      </c>
      <c r="D161" s="314">
        <v>70695938</v>
      </c>
      <c r="E161" s="411" t="s">
        <v>545</v>
      </c>
      <c r="F161" s="229">
        <v>3143</v>
      </c>
      <c r="G161" s="356" t="s">
        <v>630</v>
      </c>
      <c r="H161" s="318" t="s">
        <v>279</v>
      </c>
      <c r="I161" s="494">
        <v>37800</v>
      </c>
      <c r="J161" s="489">
        <v>26730</v>
      </c>
      <c r="K161" s="489">
        <v>0</v>
      </c>
      <c r="L161" s="489">
        <v>9035</v>
      </c>
      <c r="M161" s="489">
        <v>535</v>
      </c>
      <c r="N161" s="489">
        <v>1500</v>
      </c>
      <c r="O161" s="490">
        <v>0.1</v>
      </c>
      <c r="P161" s="491">
        <v>0</v>
      </c>
      <c r="Q161" s="500">
        <v>0.1</v>
      </c>
      <c r="R161" s="502">
        <f t="shared" si="159"/>
        <v>0</v>
      </c>
      <c r="S161" s="492">
        <v>0</v>
      </c>
      <c r="T161" s="492">
        <v>0</v>
      </c>
      <c r="U161" s="492">
        <v>0</v>
      </c>
      <c r="V161" s="492">
        <f t="shared" si="160"/>
        <v>0</v>
      </c>
      <c r="W161" s="713">
        <v>0</v>
      </c>
      <c r="X161" s="492">
        <v>0</v>
      </c>
      <c r="Y161" s="492">
        <v>0</v>
      </c>
      <c r="Z161" s="492">
        <f>SUM(W161:Y161)</f>
        <v>0</v>
      </c>
      <c r="AA161" s="492">
        <f>V161+Z161</f>
        <v>0</v>
      </c>
      <c r="AB161" s="74">
        <f>ROUND((V161+W161+X161)*33.8%,0)</f>
        <v>0</v>
      </c>
      <c r="AC161" s="74">
        <f>ROUND(V161*2%,0)</f>
        <v>0</v>
      </c>
      <c r="AD161" s="492">
        <v>0</v>
      </c>
      <c r="AE161" s="492">
        <v>0</v>
      </c>
      <c r="AF161" s="492">
        <f t="shared" si="161"/>
        <v>0</v>
      </c>
      <c r="AG161" s="492">
        <f t="shared" si="162"/>
        <v>0</v>
      </c>
      <c r="AH161" s="493">
        <v>0</v>
      </c>
      <c r="AI161" s="493">
        <v>0</v>
      </c>
      <c r="AJ161" s="493">
        <v>0</v>
      </c>
      <c r="AK161" s="493">
        <v>0</v>
      </c>
      <c r="AL161" s="493">
        <v>0</v>
      </c>
      <c r="AM161" s="493">
        <v>0</v>
      </c>
      <c r="AN161" s="493">
        <v>0</v>
      </c>
      <c r="AO161" s="493">
        <f>AH161+AJ161+AM161</f>
        <v>0</v>
      </c>
      <c r="AP161" s="493">
        <f>AI161+AN161</f>
        <v>0</v>
      </c>
      <c r="AQ161" s="495">
        <f t="shared" si="163"/>
        <v>0</v>
      </c>
      <c r="AR161" s="501">
        <f>I161+AG161</f>
        <v>37800</v>
      </c>
      <c r="AS161" s="492">
        <f>J161+V161</f>
        <v>26730</v>
      </c>
      <c r="AT161" s="492">
        <f t="shared" si="173"/>
        <v>0</v>
      </c>
      <c r="AU161" s="492">
        <f t="shared" si="174"/>
        <v>9035</v>
      </c>
      <c r="AV161" s="492">
        <f t="shared" si="174"/>
        <v>535</v>
      </c>
      <c r="AW161" s="492">
        <f>N161+AF161</f>
        <v>1500</v>
      </c>
      <c r="AX161" s="493">
        <f>O161+AQ161</f>
        <v>0.1</v>
      </c>
      <c r="AY161" s="493">
        <f t="shared" si="175"/>
        <v>0</v>
      </c>
      <c r="AZ161" s="495">
        <f t="shared" si="175"/>
        <v>0.1</v>
      </c>
    </row>
    <row r="162" spans="1:52" ht="12.95" customHeight="1" x14ac:dyDescent="0.25">
      <c r="A162" s="230">
        <v>32</v>
      </c>
      <c r="B162" s="50">
        <v>2496</v>
      </c>
      <c r="C162" s="50">
        <v>600080251</v>
      </c>
      <c r="D162" s="50">
        <v>70695938</v>
      </c>
      <c r="E162" s="413" t="s">
        <v>546</v>
      </c>
      <c r="F162" s="50"/>
      <c r="G162" s="413"/>
      <c r="H162" s="194"/>
      <c r="I162" s="636">
        <v>7636747</v>
      </c>
      <c r="J162" s="633">
        <v>5534636</v>
      </c>
      <c r="K162" s="633">
        <v>3250</v>
      </c>
      <c r="L162" s="633">
        <v>1871806</v>
      </c>
      <c r="M162" s="633">
        <v>110693</v>
      </c>
      <c r="N162" s="633">
        <v>116362</v>
      </c>
      <c r="O162" s="634">
        <v>11.589999999999998</v>
      </c>
      <c r="P162" s="634">
        <v>8.02</v>
      </c>
      <c r="Q162" s="638">
        <v>3.57</v>
      </c>
      <c r="R162" s="636">
        <f t="shared" ref="R162:AZ162" si="176">SUM(R157:R161)</f>
        <v>0</v>
      </c>
      <c r="S162" s="633">
        <f t="shared" si="176"/>
        <v>0</v>
      </c>
      <c r="T162" s="633">
        <f t="shared" si="176"/>
        <v>0</v>
      </c>
      <c r="U162" s="633">
        <f t="shared" si="176"/>
        <v>0</v>
      </c>
      <c r="V162" s="633">
        <f t="shared" si="176"/>
        <v>0</v>
      </c>
      <c r="W162" s="633">
        <f t="shared" si="176"/>
        <v>0</v>
      </c>
      <c r="X162" s="633">
        <f t="shared" si="176"/>
        <v>0</v>
      </c>
      <c r="Y162" s="633">
        <f t="shared" si="176"/>
        <v>0</v>
      </c>
      <c r="Z162" s="633">
        <f t="shared" si="176"/>
        <v>0</v>
      </c>
      <c r="AA162" s="633">
        <f t="shared" si="176"/>
        <v>0</v>
      </c>
      <c r="AB162" s="633">
        <f t="shared" si="176"/>
        <v>0</v>
      </c>
      <c r="AC162" s="633">
        <f t="shared" si="176"/>
        <v>0</v>
      </c>
      <c r="AD162" s="633">
        <f t="shared" si="176"/>
        <v>0</v>
      </c>
      <c r="AE162" s="633">
        <f t="shared" si="176"/>
        <v>0</v>
      </c>
      <c r="AF162" s="633">
        <f t="shared" si="176"/>
        <v>0</v>
      </c>
      <c r="AG162" s="633">
        <f t="shared" si="176"/>
        <v>0</v>
      </c>
      <c r="AH162" s="634">
        <f t="shared" si="176"/>
        <v>0</v>
      </c>
      <c r="AI162" s="634">
        <f t="shared" si="176"/>
        <v>0</v>
      </c>
      <c r="AJ162" s="634">
        <f t="shared" si="176"/>
        <v>0</v>
      </c>
      <c r="AK162" s="634">
        <f t="shared" si="176"/>
        <v>0</v>
      </c>
      <c r="AL162" s="634">
        <f t="shared" si="176"/>
        <v>0</v>
      </c>
      <c r="AM162" s="634">
        <f t="shared" si="176"/>
        <v>0</v>
      </c>
      <c r="AN162" s="634">
        <f t="shared" si="176"/>
        <v>0</v>
      </c>
      <c r="AO162" s="634">
        <f t="shared" si="176"/>
        <v>0</v>
      </c>
      <c r="AP162" s="634">
        <f t="shared" si="176"/>
        <v>0</v>
      </c>
      <c r="AQ162" s="418">
        <f t="shared" si="176"/>
        <v>0</v>
      </c>
      <c r="AR162" s="640">
        <f t="shared" si="176"/>
        <v>7636747</v>
      </c>
      <c r="AS162" s="633">
        <f t="shared" si="176"/>
        <v>5534636</v>
      </c>
      <c r="AT162" s="633">
        <f t="shared" si="176"/>
        <v>3250</v>
      </c>
      <c r="AU162" s="633">
        <f t="shared" si="176"/>
        <v>1871806</v>
      </c>
      <c r="AV162" s="633">
        <f t="shared" si="176"/>
        <v>110693</v>
      </c>
      <c r="AW162" s="633">
        <f t="shared" si="176"/>
        <v>116362</v>
      </c>
      <c r="AX162" s="634">
        <f t="shared" si="176"/>
        <v>11.589999999999998</v>
      </c>
      <c r="AY162" s="634">
        <f t="shared" si="176"/>
        <v>8.02</v>
      </c>
      <c r="AZ162" s="418">
        <f t="shared" si="176"/>
        <v>3.57</v>
      </c>
    </row>
    <row r="163" spans="1:52" ht="12.95" customHeight="1" x14ac:dyDescent="0.25">
      <c r="A163" s="313">
        <v>33</v>
      </c>
      <c r="B163" s="229">
        <v>5440</v>
      </c>
      <c r="C163" s="229">
        <v>600098559</v>
      </c>
      <c r="D163" s="314">
        <v>70998108</v>
      </c>
      <c r="E163" s="411" t="s">
        <v>547</v>
      </c>
      <c r="F163" s="229">
        <v>3111</v>
      </c>
      <c r="G163" s="412" t="s">
        <v>326</v>
      </c>
      <c r="H163" s="318" t="s">
        <v>278</v>
      </c>
      <c r="I163" s="494">
        <v>3439025</v>
      </c>
      <c r="J163" s="489">
        <v>2508828</v>
      </c>
      <c r="K163" s="489">
        <v>7800</v>
      </c>
      <c r="L163" s="489">
        <v>850620</v>
      </c>
      <c r="M163" s="489">
        <v>50177</v>
      </c>
      <c r="N163" s="489">
        <v>21600</v>
      </c>
      <c r="O163" s="490">
        <v>5.4597999999999995</v>
      </c>
      <c r="P163" s="491">
        <v>4</v>
      </c>
      <c r="Q163" s="500">
        <v>1.4598</v>
      </c>
      <c r="R163" s="502">
        <f t="shared" si="159"/>
        <v>0</v>
      </c>
      <c r="S163" s="492">
        <v>0</v>
      </c>
      <c r="T163" s="492">
        <v>0</v>
      </c>
      <c r="U163" s="492">
        <v>0</v>
      </c>
      <c r="V163" s="492">
        <f t="shared" si="160"/>
        <v>0</v>
      </c>
      <c r="W163" s="713">
        <v>0</v>
      </c>
      <c r="X163" s="492">
        <v>0</v>
      </c>
      <c r="Y163" s="492">
        <v>0</v>
      </c>
      <c r="Z163" s="492">
        <f>SUM(W163:Y163)</f>
        <v>0</v>
      </c>
      <c r="AA163" s="492">
        <f>V163+Z163</f>
        <v>0</v>
      </c>
      <c r="AB163" s="74">
        <f>ROUND((V163+W163+X163)*33.8%,0)</f>
        <v>0</v>
      </c>
      <c r="AC163" s="74">
        <f>ROUND(V163*2%,0)</f>
        <v>0</v>
      </c>
      <c r="AD163" s="492">
        <v>0</v>
      </c>
      <c r="AE163" s="492">
        <v>0</v>
      </c>
      <c r="AF163" s="492">
        <f t="shared" si="161"/>
        <v>0</v>
      </c>
      <c r="AG163" s="492">
        <f t="shared" si="162"/>
        <v>0</v>
      </c>
      <c r="AH163" s="493">
        <v>0</v>
      </c>
      <c r="AI163" s="493">
        <v>0</v>
      </c>
      <c r="AJ163" s="493">
        <v>0</v>
      </c>
      <c r="AK163" s="493">
        <v>0</v>
      </c>
      <c r="AL163" s="493">
        <v>0</v>
      </c>
      <c r="AM163" s="493">
        <v>0</v>
      </c>
      <c r="AN163" s="493">
        <v>0</v>
      </c>
      <c r="AO163" s="493">
        <f>AH163+AJ163+AM163</f>
        <v>0</v>
      </c>
      <c r="AP163" s="493">
        <f>AI163+AN163</f>
        <v>0</v>
      </c>
      <c r="AQ163" s="495">
        <f t="shared" si="163"/>
        <v>0</v>
      </c>
      <c r="AR163" s="501">
        <f>I163+AG163</f>
        <v>3439025</v>
      </c>
      <c r="AS163" s="492">
        <f>J163+V163</f>
        <v>2508828</v>
      </c>
      <c r="AT163" s="492">
        <f t="shared" ref="AT163:AT165" si="177">K163+Z163</f>
        <v>7800</v>
      </c>
      <c r="AU163" s="492">
        <f t="shared" ref="AU163:AV165" si="178">L163+AB163</f>
        <v>850620</v>
      </c>
      <c r="AV163" s="492">
        <f t="shared" si="178"/>
        <v>50177</v>
      </c>
      <c r="AW163" s="492">
        <f>N163+AF163</f>
        <v>21600</v>
      </c>
      <c r="AX163" s="493">
        <f>O163+AQ163</f>
        <v>5.4597999999999995</v>
      </c>
      <c r="AY163" s="493">
        <f t="shared" ref="AY163:AZ165" si="179">P163+AO163</f>
        <v>4</v>
      </c>
      <c r="AZ163" s="495">
        <f t="shared" si="179"/>
        <v>1.4598</v>
      </c>
    </row>
    <row r="164" spans="1:52" ht="12.95" customHeight="1" x14ac:dyDescent="0.25">
      <c r="A164" s="313">
        <v>33</v>
      </c>
      <c r="B164" s="229">
        <v>5440</v>
      </c>
      <c r="C164" s="229">
        <v>600098559</v>
      </c>
      <c r="D164" s="314">
        <v>70998108</v>
      </c>
      <c r="E164" s="411" t="s">
        <v>547</v>
      </c>
      <c r="F164" s="229">
        <v>3111</v>
      </c>
      <c r="G164" s="412" t="s">
        <v>313</v>
      </c>
      <c r="H164" s="318" t="s">
        <v>279</v>
      </c>
      <c r="I164" s="494">
        <v>470470</v>
      </c>
      <c r="J164" s="489">
        <v>346443</v>
      </c>
      <c r="K164" s="489">
        <v>0</v>
      </c>
      <c r="L164" s="489">
        <v>117098</v>
      </c>
      <c r="M164" s="489">
        <v>6929</v>
      </c>
      <c r="N164" s="489">
        <v>0</v>
      </c>
      <c r="O164" s="490">
        <v>1</v>
      </c>
      <c r="P164" s="491">
        <v>1</v>
      </c>
      <c r="Q164" s="500">
        <v>0</v>
      </c>
      <c r="R164" s="502">
        <f t="shared" si="159"/>
        <v>0</v>
      </c>
      <c r="S164" s="492">
        <v>0</v>
      </c>
      <c r="T164" s="492">
        <v>0</v>
      </c>
      <c r="U164" s="492">
        <v>0</v>
      </c>
      <c r="V164" s="492">
        <f t="shared" si="160"/>
        <v>0</v>
      </c>
      <c r="W164" s="713">
        <v>0</v>
      </c>
      <c r="X164" s="492">
        <v>0</v>
      </c>
      <c r="Y164" s="492">
        <v>0</v>
      </c>
      <c r="Z164" s="492">
        <f>SUM(W164:Y164)</f>
        <v>0</v>
      </c>
      <c r="AA164" s="492">
        <f>V164+Z164</f>
        <v>0</v>
      </c>
      <c r="AB164" s="74">
        <f>ROUND((V164+W164+X164)*33.8%,0)</f>
        <v>0</v>
      </c>
      <c r="AC164" s="74">
        <f>ROUND(V164*2%,0)</f>
        <v>0</v>
      </c>
      <c r="AD164" s="492">
        <v>0</v>
      </c>
      <c r="AE164" s="492">
        <v>0</v>
      </c>
      <c r="AF164" s="492">
        <f t="shared" si="161"/>
        <v>0</v>
      </c>
      <c r="AG164" s="492">
        <f t="shared" si="162"/>
        <v>0</v>
      </c>
      <c r="AH164" s="493">
        <v>0</v>
      </c>
      <c r="AI164" s="493">
        <v>0</v>
      </c>
      <c r="AJ164" s="493">
        <v>0</v>
      </c>
      <c r="AK164" s="493">
        <v>0</v>
      </c>
      <c r="AL164" s="493">
        <v>0</v>
      </c>
      <c r="AM164" s="493">
        <v>0</v>
      </c>
      <c r="AN164" s="493">
        <v>0</v>
      </c>
      <c r="AO164" s="493">
        <f>AH164+AJ164+AM164</f>
        <v>0</v>
      </c>
      <c r="AP164" s="493">
        <f>AI164+AN164</f>
        <v>0</v>
      </c>
      <c r="AQ164" s="495">
        <f t="shared" si="163"/>
        <v>0</v>
      </c>
      <c r="AR164" s="501">
        <f>I164+AG164</f>
        <v>470470</v>
      </c>
      <c r="AS164" s="492">
        <f>J164+V164</f>
        <v>346443</v>
      </c>
      <c r="AT164" s="492">
        <f t="shared" si="177"/>
        <v>0</v>
      </c>
      <c r="AU164" s="492">
        <f t="shared" si="178"/>
        <v>117098</v>
      </c>
      <c r="AV164" s="492">
        <f t="shared" si="178"/>
        <v>6929</v>
      </c>
      <c r="AW164" s="492">
        <f>N164+AF164</f>
        <v>0</v>
      </c>
      <c r="AX164" s="493">
        <f>O164+AQ164</f>
        <v>1</v>
      </c>
      <c r="AY164" s="493">
        <f t="shared" si="179"/>
        <v>1</v>
      </c>
      <c r="AZ164" s="495">
        <f t="shared" si="179"/>
        <v>0</v>
      </c>
    </row>
    <row r="165" spans="1:52" ht="12.95" customHeight="1" x14ac:dyDescent="0.25">
      <c r="A165" s="313">
        <v>33</v>
      </c>
      <c r="B165" s="415">
        <v>5440</v>
      </c>
      <c r="C165" s="415">
        <v>600098559</v>
      </c>
      <c r="D165" s="314">
        <v>70998108</v>
      </c>
      <c r="E165" s="411" t="s">
        <v>547</v>
      </c>
      <c r="F165" s="229">
        <v>3141</v>
      </c>
      <c r="G165" s="412" t="s">
        <v>316</v>
      </c>
      <c r="H165" s="318" t="s">
        <v>279</v>
      </c>
      <c r="I165" s="494">
        <v>268213</v>
      </c>
      <c r="J165" s="489">
        <v>196163</v>
      </c>
      <c r="K165" s="489">
        <v>0</v>
      </c>
      <c r="L165" s="489">
        <v>66303</v>
      </c>
      <c r="M165" s="489">
        <v>3923</v>
      </c>
      <c r="N165" s="489">
        <v>1824</v>
      </c>
      <c r="O165" s="490">
        <v>0.62</v>
      </c>
      <c r="P165" s="491">
        <v>0</v>
      </c>
      <c r="Q165" s="500">
        <v>0.62</v>
      </c>
      <c r="R165" s="502">
        <f t="shared" si="159"/>
        <v>0</v>
      </c>
      <c r="S165" s="492">
        <v>0</v>
      </c>
      <c r="T165" s="492">
        <v>0</v>
      </c>
      <c r="U165" s="492">
        <v>0</v>
      </c>
      <c r="V165" s="492">
        <f t="shared" si="160"/>
        <v>0</v>
      </c>
      <c r="W165" s="713">
        <v>0</v>
      </c>
      <c r="X165" s="492">
        <v>0</v>
      </c>
      <c r="Y165" s="492">
        <v>0</v>
      </c>
      <c r="Z165" s="492">
        <f>SUM(W165:Y165)</f>
        <v>0</v>
      </c>
      <c r="AA165" s="492">
        <f>V165+Z165</f>
        <v>0</v>
      </c>
      <c r="AB165" s="74">
        <f>ROUND((V165+W165+X165)*33.8%,0)</f>
        <v>0</v>
      </c>
      <c r="AC165" s="74">
        <f>ROUND(V165*2%,0)</f>
        <v>0</v>
      </c>
      <c r="AD165" s="492">
        <v>0</v>
      </c>
      <c r="AE165" s="492">
        <v>0</v>
      </c>
      <c r="AF165" s="492">
        <f t="shared" si="161"/>
        <v>0</v>
      </c>
      <c r="AG165" s="492">
        <f t="shared" si="162"/>
        <v>0</v>
      </c>
      <c r="AH165" s="493">
        <v>0</v>
      </c>
      <c r="AI165" s="493">
        <v>0</v>
      </c>
      <c r="AJ165" s="493">
        <v>0</v>
      </c>
      <c r="AK165" s="493">
        <v>0</v>
      </c>
      <c r="AL165" s="493">
        <v>0</v>
      </c>
      <c r="AM165" s="493">
        <v>0</v>
      </c>
      <c r="AN165" s="493">
        <v>0</v>
      </c>
      <c r="AO165" s="493">
        <f>AH165+AJ165+AM165</f>
        <v>0</v>
      </c>
      <c r="AP165" s="493">
        <f>AI165+AN165</f>
        <v>0</v>
      </c>
      <c r="AQ165" s="495">
        <f t="shared" si="163"/>
        <v>0</v>
      </c>
      <c r="AR165" s="501">
        <f>I165+AG165</f>
        <v>268213</v>
      </c>
      <c r="AS165" s="492">
        <f>J165+V165</f>
        <v>196163</v>
      </c>
      <c r="AT165" s="492">
        <f t="shared" si="177"/>
        <v>0</v>
      </c>
      <c r="AU165" s="492">
        <f t="shared" si="178"/>
        <v>66303</v>
      </c>
      <c r="AV165" s="492">
        <f t="shared" si="178"/>
        <v>3923</v>
      </c>
      <c r="AW165" s="492">
        <f>N165+AF165</f>
        <v>1824</v>
      </c>
      <c r="AX165" s="493">
        <f>O165+AQ165</f>
        <v>0.62</v>
      </c>
      <c r="AY165" s="493">
        <f t="shared" si="179"/>
        <v>0</v>
      </c>
      <c r="AZ165" s="495">
        <f t="shared" si="179"/>
        <v>0.62</v>
      </c>
    </row>
    <row r="166" spans="1:52" ht="12.95" customHeight="1" x14ac:dyDescent="0.25">
      <c r="A166" s="230">
        <v>33</v>
      </c>
      <c r="B166" s="51">
        <v>5440</v>
      </c>
      <c r="C166" s="51">
        <v>600098559</v>
      </c>
      <c r="D166" s="51">
        <v>70998108</v>
      </c>
      <c r="E166" s="413" t="s">
        <v>548</v>
      </c>
      <c r="F166" s="50"/>
      <c r="G166" s="413"/>
      <c r="H166" s="194"/>
      <c r="I166" s="635">
        <v>4177708</v>
      </c>
      <c r="J166" s="631">
        <v>3051434</v>
      </c>
      <c r="K166" s="631">
        <v>7800</v>
      </c>
      <c r="L166" s="631">
        <v>1034021</v>
      </c>
      <c r="M166" s="631">
        <v>61029</v>
      </c>
      <c r="N166" s="631">
        <v>23424</v>
      </c>
      <c r="O166" s="632">
        <v>7.0797999999999996</v>
      </c>
      <c r="P166" s="632">
        <v>5</v>
      </c>
      <c r="Q166" s="637">
        <v>2.0798000000000001</v>
      </c>
      <c r="R166" s="635">
        <f t="shared" ref="R166:AZ166" si="180">SUM(R163:R165)</f>
        <v>0</v>
      </c>
      <c r="S166" s="631">
        <f t="shared" si="180"/>
        <v>0</v>
      </c>
      <c r="T166" s="631">
        <f t="shared" si="180"/>
        <v>0</v>
      </c>
      <c r="U166" s="631">
        <f t="shared" si="180"/>
        <v>0</v>
      </c>
      <c r="V166" s="631">
        <f t="shared" si="180"/>
        <v>0</v>
      </c>
      <c r="W166" s="631">
        <f t="shared" si="180"/>
        <v>0</v>
      </c>
      <c r="X166" s="631">
        <f t="shared" si="180"/>
        <v>0</v>
      </c>
      <c r="Y166" s="631">
        <f t="shared" si="180"/>
        <v>0</v>
      </c>
      <c r="Z166" s="631">
        <f t="shared" si="180"/>
        <v>0</v>
      </c>
      <c r="AA166" s="631">
        <f t="shared" si="180"/>
        <v>0</v>
      </c>
      <c r="AB166" s="631">
        <f t="shared" si="180"/>
        <v>0</v>
      </c>
      <c r="AC166" s="631">
        <f t="shared" si="180"/>
        <v>0</v>
      </c>
      <c r="AD166" s="631">
        <f t="shared" si="180"/>
        <v>0</v>
      </c>
      <c r="AE166" s="631">
        <f t="shared" si="180"/>
        <v>0</v>
      </c>
      <c r="AF166" s="631">
        <f t="shared" si="180"/>
        <v>0</v>
      </c>
      <c r="AG166" s="631">
        <f t="shared" si="180"/>
        <v>0</v>
      </c>
      <c r="AH166" s="632">
        <f t="shared" si="180"/>
        <v>0</v>
      </c>
      <c r="AI166" s="632">
        <f t="shared" si="180"/>
        <v>0</v>
      </c>
      <c r="AJ166" s="632">
        <f t="shared" si="180"/>
        <v>0</v>
      </c>
      <c r="AK166" s="632">
        <f t="shared" si="180"/>
        <v>0</v>
      </c>
      <c r="AL166" s="632">
        <f t="shared" si="180"/>
        <v>0</v>
      </c>
      <c r="AM166" s="632">
        <f t="shared" si="180"/>
        <v>0</v>
      </c>
      <c r="AN166" s="632">
        <f t="shared" si="180"/>
        <v>0</v>
      </c>
      <c r="AO166" s="632">
        <f t="shared" si="180"/>
        <v>0</v>
      </c>
      <c r="AP166" s="632">
        <f t="shared" si="180"/>
        <v>0</v>
      </c>
      <c r="AQ166" s="414">
        <f t="shared" si="180"/>
        <v>0</v>
      </c>
      <c r="AR166" s="639">
        <f t="shared" si="180"/>
        <v>4177708</v>
      </c>
      <c r="AS166" s="631">
        <f t="shared" si="180"/>
        <v>3051434</v>
      </c>
      <c r="AT166" s="631">
        <f t="shared" si="180"/>
        <v>7800</v>
      </c>
      <c r="AU166" s="631">
        <f t="shared" si="180"/>
        <v>1034021</v>
      </c>
      <c r="AV166" s="631">
        <f t="shared" si="180"/>
        <v>61029</v>
      </c>
      <c r="AW166" s="631">
        <f t="shared" si="180"/>
        <v>23424</v>
      </c>
      <c r="AX166" s="632">
        <f t="shared" si="180"/>
        <v>7.0797999999999996</v>
      </c>
      <c r="AY166" s="632">
        <f t="shared" si="180"/>
        <v>5</v>
      </c>
      <c r="AZ166" s="414">
        <f t="shared" si="180"/>
        <v>2.0798000000000001</v>
      </c>
    </row>
    <row r="167" spans="1:52" ht="12.95" customHeight="1" x14ac:dyDescent="0.25">
      <c r="A167" s="313">
        <v>34</v>
      </c>
      <c r="B167" s="229">
        <v>5441</v>
      </c>
      <c r="C167" s="229">
        <v>600099270</v>
      </c>
      <c r="D167" s="314">
        <v>856118</v>
      </c>
      <c r="E167" s="411" t="s">
        <v>549</v>
      </c>
      <c r="F167" s="229">
        <v>3113</v>
      </c>
      <c r="G167" s="411" t="s">
        <v>330</v>
      </c>
      <c r="H167" s="318" t="s">
        <v>278</v>
      </c>
      <c r="I167" s="494">
        <v>14481465</v>
      </c>
      <c r="J167" s="489">
        <v>10303110</v>
      </c>
      <c r="K167" s="489">
        <v>140540</v>
      </c>
      <c r="L167" s="489">
        <v>3529954</v>
      </c>
      <c r="M167" s="489">
        <v>206061</v>
      </c>
      <c r="N167" s="489">
        <v>301800</v>
      </c>
      <c r="O167" s="490">
        <v>18.506999999999998</v>
      </c>
      <c r="P167" s="491">
        <v>13.5525</v>
      </c>
      <c r="Q167" s="500">
        <v>4.9544999999999995</v>
      </c>
      <c r="R167" s="502">
        <f t="shared" si="159"/>
        <v>0</v>
      </c>
      <c r="S167" s="492">
        <v>0</v>
      </c>
      <c r="T167" s="492">
        <v>0</v>
      </c>
      <c r="U167" s="492">
        <v>0</v>
      </c>
      <c r="V167" s="492">
        <f t="shared" si="160"/>
        <v>0</v>
      </c>
      <c r="W167" s="713">
        <v>0</v>
      </c>
      <c r="X167" s="492">
        <v>0</v>
      </c>
      <c r="Y167" s="492">
        <v>0</v>
      </c>
      <c r="Z167" s="492">
        <f>SUM(W167:Y167)</f>
        <v>0</v>
      </c>
      <c r="AA167" s="492">
        <f>V167+Z167</f>
        <v>0</v>
      </c>
      <c r="AB167" s="74">
        <f>ROUND((V167+W167+X167)*33.8%,0)</f>
        <v>0</v>
      </c>
      <c r="AC167" s="74">
        <f>ROUND(V167*2%,0)</f>
        <v>0</v>
      </c>
      <c r="AD167" s="492">
        <v>0</v>
      </c>
      <c r="AE167" s="492">
        <v>0</v>
      </c>
      <c r="AF167" s="492">
        <f t="shared" si="161"/>
        <v>0</v>
      </c>
      <c r="AG167" s="492">
        <f t="shared" si="162"/>
        <v>0</v>
      </c>
      <c r="AH167" s="493">
        <v>0</v>
      </c>
      <c r="AI167" s="493">
        <v>0</v>
      </c>
      <c r="AJ167" s="493">
        <v>0</v>
      </c>
      <c r="AK167" s="493">
        <v>0</v>
      </c>
      <c r="AL167" s="493">
        <v>0</v>
      </c>
      <c r="AM167" s="493">
        <v>0</v>
      </c>
      <c r="AN167" s="493">
        <v>0</v>
      </c>
      <c r="AO167" s="493">
        <f>AH167+AJ167+AM167</f>
        <v>0</v>
      </c>
      <c r="AP167" s="493">
        <f>AI167+AN167</f>
        <v>0</v>
      </c>
      <c r="AQ167" s="495">
        <f t="shared" si="163"/>
        <v>0</v>
      </c>
      <c r="AR167" s="501">
        <f>I167+AG167</f>
        <v>14481465</v>
      </c>
      <c r="AS167" s="492">
        <f>J167+V167</f>
        <v>10303110</v>
      </c>
      <c r="AT167" s="492">
        <f t="shared" ref="AT167:AT171" si="181">K167+Z167</f>
        <v>140540</v>
      </c>
      <c r="AU167" s="492">
        <f t="shared" ref="AU167:AV171" si="182">L167+AB167</f>
        <v>3529954</v>
      </c>
      <c r="AV167" s="492">
        <f t="shared" si="182"/>
        <v>206061</v>
      </c>
      <c r="AW167" s="492">
        <f>N167+AF167</f>
        <v>301800</v>
      </c>
      <c r="AX167" s="493">
        <f>O167+AQ167</f>
        <v>18.506999999999998</v>
      </c>
      <c r="AY167" s="493">
        <f t="shared" ref="AY167:AZ171" si="183">P167+AO167</f>
        <v>13.5525</v>
      </c>
      <c r="AZ167" s="495">
        <f t="shared" si="183"/>
        <v>4.9544999999999995</v>
      </c>
    </row>
    <row r="168" spans="1:52" ht="12.95" customHeight="1" x14ac:dyDescent="0.25">
      <c r="A168" s="313">
        <v>34</v>
      </c>
      <c r="B168" s="229">
        <v>5441</v>
      </c>
      <c r="C168" s="229">
        <v>600099270</v>
      </c>
      <c r="D168" s="314">
        <v>856118</v>
      </c>
      <c r="E168" s="411" t="s">
        <v>549</v>
      </c>
      <c r="F168" s="229">
        <v>3113</v>
      </c>
      <c r="G168" s="356" t="s">
        <v>313</v>
      </c>
      <c r="H168" s="318" t="s">
        <v>279</v>
      </c>
      <c r="I168" s="494">
        <v>819286</v>
      </c>
      <c r="J168" s="489">
        <v>602788</v>
      </c>
      <c r="K168" s="489">
        <v>0</v>
      </c>
      <c r="L168" s="489">
        <v>203742</v>
      </c>
      <c r="M168" s="489">
        <v>12056</v>
      </c>
      <c r="N168" s="489">
        <v>700</v>
      </c>
      <c r="O168" s="490">
        <v>1.59</v>
      </c>
      <c r="P168" s="491">
        <v>1.59</v>
      </c>
      <c r="Q168" s="500">
        <v>0</v>
      </c>
      <c r="R168" s="502">
        <f t="shared" si="159"/>
        <v>0</v>
      </c>
      <c r="S168" s="492">
        <v>0</v>
      </c>
      <c r="T168" s="492">
        <v>0</v>
      </c>
      <c r="U168" s="492">
        <v>0</v>
      </c>
      <c r="V168" s="492">
        <f t="shared" si="160"/>
        <v>0</v>
      </c>
      <c r="W168" s="713">
        <v>0</v>
      </c>
      <c r="X168" s="492">
        <v>0</v>
      </c>
      <c r="Y168" s="492">
        <v>0</v>
      </c>
      <c r="Z168" s="492">
        <f>SUM(W168:Y168)</f>
        <v>0</v>
      </c>
      <c r="AA168" s="492">
        <f>V168+Z168</f>
        <v>0</v>
      </c>
      <c r="AB168" s="74">
        <f>ROUND((V168+W168+X168)*33.8%,0)</f>
        <v>0</v>
      </c>
      <c r="AC168" s="74">
        <f>ROUND(V168*2%,0)</f>
        <v>0</v>
      </c>
      <c r="AD168" s="492">
        <v>0</v>
      </c>
      <c r="AE168" s="492">
        <v>0</v>
      </c>
      <c r="AF168" s="492">
        <f t="shared" si="161"/>
        <v>0</v>
      </c>
      <c r="AG168" s="492">
        <f t="shared" si="162"/>
        <v>0</v>
      </c>
      <c r="AH168" s="493">
        <v>0</v>
      </c>
      <c r="AI168" s="493">
        <v>0</v>
      </c>
      <c r="AJ168" s="493">
        <v>0</v>
      </c>
      <c r="AK168" s="493">
        <v>0</v>
      </c>
      <c r="AL168" s="493">
        <v>0</v>
      </c>
      <c r="AM168" s="493">
        <v>0</v>
      </c>
      <c r="AN168" s="493">
        <v>0</v>
      </c>
      <c r="AO168" s="493">
        <f>AH168+AJ168+AM168</f>
        <v>0</v>
      </c>
      <c r="AP168" s="493">
        <f>AI168+AN168</f>
        <v>0</v>
      </c>
      <c r="AQ168" s="495">
        <f t="shared" si="163"/>
        <v>0</v>
      </c>
      <c r="AR168" s="501">
        <f>I168+AG168</f>
        <v>819286</v>
      </c>
      <c r="AS168" s="492">
        <f>J168+V168</f>
        <v>602788</v>
      </c>
      <c r="AT168" s="492">
        <f t="shared" si="181"/>
        <v>0</v>
      </c>
      <c r="AU168" s="492">
        <f t="shared" si="182"/>
        <v>203742</v>
      </c>
      <c r="AV168" s="492">
        <f t="shared" si="182"/>
        <v>12056</v>
      </c>
      <c r="AW168" s="492">
        <f>N168+AF168</f>
        <v>700</v>
      </c>
      <c r="AX168" s="493">
        <f>O168+AQ168</f>
        <v>1.59</v>
      </c>
      <c r="AY168" s="493">
        <f t="shared" si="183"/>
        <v>1.59</v>
      </c>
      <c r="AZ168" s="495">
        <f t="shared" si="183"/>
        <v>0</v>
      </c>
    </row>
    <row r="169" spans="1:52" ht="12.95" customHeight="1" x14ac:dyDescent="0.25">
      <c r="A169" s="313">
        <v>34</v>
      </c>
      <c r="B169" s="415">
        <v>5441</v>
      </c>
      <c r="C169" s="415">
        <v>600099270</v>
      </c>
      <c r="D169" s="314">
        <v>856118</v>
      </c>
      <c r="E169" s="228" t="s">
        <v>549</v>
      </c>
      <c r="F169" s="229">
        <v>3141</v>
      </c>
      <c r="G169" s="412" t="s">
        <v>316</v>
      </c>
      <c r="H169" s="318" t="s">
        <v>279</v>
      </c>
      <c r="I169" s="494">
        <v>1903725</v>
      </c>
      <c r="J169" s="489">
        <v>1369004</v>
      </c>
      <c r="K169" s="489">
        <v>23400</v>
      </c>
      <c r="L169" s="489">
        <v>470633</v>
      </c>
      <c r="M169" s="489">
        <v>27380</v>
      </c>
      <c r="N169" s="489">
        <v>13308</v>
      </c>
      <c r="O169" s="490">
        <v>4.3899999999999997</v>
      </c>
      <c r="P169" s="491">
        <v>0</v>
      </c>
      <c r="Q169" s="500">
        <v>4.3899999999999997</v>
      </c>
      <c r="R169" s="502">
        <f t="shared" si="159"/>
        <v>0</v>
      </c>
      <c r="S169" s="492">
        <v>0</v>
      </c>
      <c r="T169" s="492">
        <v>0</v>
      </c>
      <c r="U169" s="492">
        <v>0</v>
      </c>
      <c r="V169" s="492">
        <f t="shared" si="160"/>
        <v>0</v>
      </c>
      <c r="W169" s="713">
        <v>0</v>
      </c>
      <c r="X169" s="492">
        <v>0</v>
      </c>
      <c r="Y169" s="492">
        <v>0</v>
      </c>
      <c r="Z169" s="492">
        <f>SUM(W169:Y169)</f>
        <v>0</v>
      </c>
      <c r="AA169" s="492">
        <f>V169+Z169</f>
        <v>0</v>
      </c>
      <c r="AB169" s="74">
        <f>ROUND((V169+W169+X169)*33.8%,0)</f>
        <v>0</v>
      </c>
      <c r="AC169" s="74">
        <f>ROUND(V169*2%,0)</f>
        <v>0</v>
      </c>
      <c r="AD169" s="492">
        <v>0</v>
      </c>
      <c r="AE169" s="492">
        <v>0</v>
      </c>
      <c r="AF169" s="492">
        <f t="shared" si="161"/>
        <v>0</v>
      </c>
      <c r="AG169" s="492">
        <f t="shared" si="162"/>
        <v>0</v>
      </c>
      <c r="AH169" s="493">
        <v>0</v>
      </c>
      <c r="AI169" s="493">
        <v>0</v>
      </c>
      <c r="AJ169" s="493">
        <v>0</v>
      </c>
      <c r="AK169" s="493">
        <v>0</v>
      </c>
      <c r="AL169" s="493">
        <v>0</v>
      </c>
      <c r="AM169" s="493">
        <v>0</v>
      </c>
      <c r="AN169" s="493">
        <v>0</v>
      </c>
      <c r="AO169" s="493">
        <f>AH169+AJ169+AM169</f>
        <v>0</v>
      </c>
      <c r="AP169" s="493">
        <f>AI169+AN169</f>
        <v>0</v>
      </c>
      <c r="AQ169" s="495">
        <f t="shared" si="163"/>
        <v>0</v>
      </c>
      <c r="AR169" s="501">
        <f>I169+AG169</f>
        <v>1903725</v>
      </c>
      <c r="AS169" s="492">
        <f>J169+V169</f>
        <v>1369004</v>
      </c>
      <c r="AT169" s="492">
        <f t="shared" si="181"/>
        <v>23400</v>
      </c>
      <c r="AU169" s="492">
        <f t="shared" si="182"/>
        <v>470633</v>
      </c>
      <c r="AV169" s="492">
        <f t="shared" si="182"/>
        <v>27380</v>
      </c>
      <c r="AW169" s="492">
        <f>N169+AF169</f>
        <v>13308</v>
      </c>
      <c r="AX169" s="493">
        <f>O169+AQ169</f>
        <v>4.3899999999999997</v>
      </c>
      <c r="AY169" s="493">
        <f t="shared" si="183"/>
        <v>0</v>
      </c>
      <c r="AZ169" s="495">
        <f t="shared" si="183"/>
        <v>4.3899999999999997</v>
      </c>
    </row>
    <row r="170" spans="1:52" ht="12.95" customHeight="1" x14ac:dyDescent="0.25">
      <c r="A170" s="313">
        <v>34</v>
      </c>
      <c r="B170" s="229">
        <v>5441</v>
      </c>
      <c r="C170" s="229">
        <v>600099270</v>
      </c>
      <c r="D170" s="314">
        <v>856118</v>
      </c>
      <c r="E170" s="411" t="s">
        <v>549</v>
      </c>
      <c r="F170" s="229">
        <v>3143</v>
      </c>
      <c r="G170" s="356" t="s">
        <v>629</v>
      </c>
      <c r="H170" s="318" t="s">
        <v>278</v>
      </c>
      <c r="I170" s="494">
        <v>1097501</v>
      </c>
      <c r="J170" s="489">
        <v>804716</v>
      </c>
      <c r="K170" s="489">
        <v>3510</v>
      </c>
      <c r="L170" s="489">
        <v>273180</v>
      </c>
      <c r="M170" s="489">
        <v>16095</v>
      </c>
      <c r="N170" s="489">
        <v>0</v>
      </c>
      <c r="O170" s="490">
        <v>1.6</v>
      </c>
      <c r="P170" s="491">
        <v>1.6</v>
      </c>
      <c r="Q170" s="500">
        <v>0</v>
      </c>
      <c r="R170" s="502">
        <f t="shared" si="159"/>
        <v>0</v>
      </c>
      <c r="S170" s="492">
        <v>0</v>
      </c>
      <c r="T170" s="492">
        <v>0</v>
      </c>
      <c r="U170" s="492">
        <v>0</v>
      </c>
      <c r="V170" s="492">
        <f t="shared" si="160"/>
        <v>0</v>
      </c>
      <c r="W170" s="713">
        <v>0</v>
      </c>
      <c r="X170" s="492">
        <v>0</v>
      </c>
      <c r="Y170" s="492">
        <v>0</v>
      </c>
      <c r="Z170" s="492">
        <f>SUM(W170:Y170)</f>
        <v>0</v>
      </c>
      <c r="AA170" s="492">
        <f>V170+Z170</f>
        <v>0</v>
      </c>
      <c r="AB170" s="74">
        <f>ROUND((V170+W170+X170)*33.8%,0)</f>
        <v>0</v>
      </c>
      <c r="AC170" s="74">
        <f>ROUND(V170*2%,0)</f>
        <v>0</v>
      </c>
      <c r="AD170" s="492">
        <v>0</v>
      </c>
      <c r="AE170" s="492">
        <v>0</v>
      </c>
      <c r="AF170" s="492">
        <f t="shared" si="161"/>
        <v>0</v>
      </c>
      <c r="AG170" s="492">
        <f t="shared" si="162"/>
        <v>0</v>
      </c>
      <c r="AH170" s="493">
        <v>0</v>
      </c>
      <c r="AI170" s="493">
        <v>0</v>
      </c>
      <c r="AJ170" s="493">
        <v>0</v>
      </c>
      <c r="AK170" s="493">
        <v>0</v>
      </c>
      <c r="AL170" s="493">
        <v>0</v>
      </c>
      <c r="AM170" s="493">
        <v>0</v>
      </c>
      <c r="AN170" s="493">
        <v>0</v>
      </c>
      <c r="AO170" s="493">
        <f>AH170+AJ170+AM170</f>
        <v>0</v>
      </c>
      <c r="AP170" s="493">
        <f>AI170+AN170</f>
        <v>0</v>
      </c>
      <c r="AQ170" s="495">
        <f t="shared" si="163"/>
        <v>0</v>
      </c>
      <c r="AR170" s="501">
        <f>I170+AG170</f>
        <v>1097501</v>
      </c>
      <c r="AS170" s="492">
        <f>J170+V170</f>
        <v>804716</v>
      </c>
      <c r="AT170" s="492">
        <f t="shared" si="181"/>
        <v>3510</v>
      </c>
      <c r="AU170" s="492">
        <f t="shared" si="182"/>
        <v>273180</v>
      </c>
      <c r="AV170" s="492">
        <f t="shared" si="182"/>
        <v>16095</v>
      </c>
      <c r="AW170" s="492">
        <f>N170+AF170</f>
        <v>0</v>
      </c>
      <c r="AX170" s="493">
        <f>O170+AQ170</f>
        <v>1.6</v>
      </c>
      <c r="AY170" s="493">
        <f t="shared" si="183"/>
        <v>1.6</v>
      </c>
      <c r="AZ170" s="495">
        <f t="shared" si="183"/>
        <v>0</v>
      </c>
    </row>
    <row r="171" spans="1:52" ht="12.95" customHeight="1" x14ac:dyDescent="0.25">
      <c r="A171" s="313">
        <v>34</v>
      </c>
      <c r="B171" s="229">
        <v>5441</v>
      </c>
      <c r="C171" s="229">
        <v>600099270</v>
      </c>
      <c r="D171" s="314">
        <v>856118</v>
      </c>
      <c r="E171" s="411" t="s">
        <v>549</v>
      </c>
      <c r="F171" s="229">
        <v>3143</v>
      </c>
      <c r="G171" s="356" t="s">
        <v>630</v>
      </c>
      <c r="H171" s="318" t="s">
        <v>279</v>
      </c>
      <c r="I171" s="494">
        <v>37800</v>
      </c>
      <c r="J171" s="489">
        <v>26730</v>
      </c>
      <c r="K171" s="489">
        <v>0</v>
      </c>
      <c r="L171" s="489">
        <v>9035</v>
      </c>
      <c r="M171" s="489">
        <v>535</v>
      </c>
      <c r="N171" s="489">
        <v>1500</v>
      </c>
      <c r="O171" s="490">
        <v>0.1</v>
      </c>
      <c r="P171" s="491">
        <v>0</v>
      </c>
      <c r="Q171" s="500">
        <v>0.1</v>
      </c>
      <c r="R171" s="502">
        <f t="shared" si="159"/>
        <v>0</v>
      </c>
      <c r="S171" s="492">
        <v>0</v>
      </c>
      <c r="T171" s="492">
        <v>0</v>
      </c>
      <c r="U171" s="492">
        <v>0</v>
      </c>
      <c r="V171" s="492">
        <f t="shared" si="160"/>
        <v>0</v>
      </c>
      <c r="W171" s="713">
        <v>0</v>
      </c>
      <c r="X171" s="492">
        <v>0</v>
      </c>
      <c r="Y171" s="492">
        <v>0</v>
      </c>
      <c r="Z171" s="492">
        <f>SUM(W171:Y171)</f>
        <v>0</v>
      </c>
      <c r="AA171" s="492">
        <f>V171+Z171</f>
        <v>0</v>
      </c>
      <c r="AB171" s="74">
        <f>ROUND((V171+W171+X171)*33.8%,0)</f>
        <v>0</v>
      </c>
      <c r="AC171" s="74">
        <f>ROUND(V171*2%,0)</f>
        <v>0</v>
      </c>
      <c r="AD171" s="492">
        <v>0</v>
      </c>
      <c r="AE171" s="492">
        <v>0</v>
      </c>
      <c r="AF171" s="492">
        <f t="shared" si="161"/>
        <v>0</v>
      </c>
      <c r="AG171" s="492">
        <f t="shared" si="162"/>
        <v>0</v>
      </c>
      <c r="AH171" s="493">
        <v>0</v>
      </c>
      <c r="AI171" s="493">
        <v>0</v>
      </c>
      <c r="AJ171" s="493">
        <v>0</v>
      </c>
      <c r="AK171" s="493">
        <v>0</v>
      </c>
      <c r="AL171" s="493">
        <v>0</v>
      </c>
      <c r="AM171" s="493">
        <v>0</v>
      </c>
      <c r="AN171" s="493">
        <v>0</v>
      </c>
      <c r="AO171" s="493">
        <f>AH171+AJ171+AM171</f>
        <v>0</v>
      </c>
      <c r="AP171" s="493">
        <f>AI171+AN171</f>
        <v>0</v>
      </c>
      <c r="AQ171" s="495">
        <f t="shared" si="163"/>
        <v>0</v>
      </c>
      <c r="AR171" s="501">
        <f>I171+AG171</f>
        <v>37800</v>
      </c>
      <c r="AS171" s="492">
        <f>J171+V171</f>
        <v>26730</v>
      </c>
      <c r="AT171" s="492">
        <f t="shared" si="181"/>
        <v>0</v>
      </c>
      <c r="AU171" s="492">
        <f t="shared" si="182"/>
        <v>9035</v>
      </c>
      <c r="AV171" s="492">
        <f t="shared" si="182"/>
        <v>535</v>
      </c>
      <c r="AW171" s="492">
        <f>N171+AF171</f>
        <v>1500</v>
      </c>
      <c r="AX171" s="493">
        <f>O171+AQ171</f>
        <v>0.1</v>
      </c>
      <c r="AY171" s="493">
        <f t="shared" si="183"/>
        <v>0</v>
      </c>
      <c r="AZ171" s="495">
        <f t="shared" si="183"/>
        <v>0.1</v>
      </c>
    </row>
    <row r="172" spans="1:52" ht="12.95" customHeight="1" x14ac:dyDescent="0.25">
      <c r="A172" s="230">
        <v>34</v>
      </c>
      <c r="B172" s="50">
        <v>5441</v>
      </c>
      <c r="C172" s="50">
        <v>600099270</v>
      </c>
      <c r="D172" s="50">
        <v>856118</v>
      </c>
      <c r="E172" s="413" t="s">
        <v>550</v>
      </c>
      <c r="F172" s="50"/>
      <c r="G172" s="413"/>
      <c r="H172" s="194"/>
      <c r="I172" s="636">
        <v>18339777</v>
      </c>
      <c r="J172" s="633">
        <v>13106348</v>
      </c>
      <c r="K172" s="633">
        <v>167450</v>
      </c>
      <c r="L172" s="633">
        <v>4486544</v>
      </c>
      <c r="M172" s="633">
        <v>262127</v>
      </c>
      <c r="N172" s="633">
        <v>317308</v>
      </c>
      <c r="O172" s="634">
        <v>26.187000000000001</v>
      </c>
      <c r="P172" s="634">
        <v>16.7425</v>
      </c>
      <c r="Q172" s="638">
        <v>9.4444999999999997</v>
      </c>
      <c r="R172" s="636">
        <f t="shared" ref="R172:AZ172" si="184">SUM(R167:R171)</f>
        <v>0</v>
      </c>
      <c r="S172" s="633">
        <f t="shared" si="184"/>
        <v>0</v>
      </c>
      <c r="T172" s="633">
        <f t="shared" si="184"/>
        <v>0</v>
      </c>
      <c r="U172" s="633">
        <f t="shared" si="184"/>
        <v>0</v>
      </c>
      <c r="V172" s="633">
        <f t="shared" si="184"/>
        <v>0</v>
      </c>
      <c r="W172" s="633">
        <f t="shared" si="184"/>
        <v>0</v>
      </c>
      <c r="X172" s="633">
        <f t="shared" si="184"/>
        <v>0</v>
      </c>
      <c r="Y172" s="633">
        <f t="shared" si="184"/>
        <v>0</v>
      </c>
      <c r="Z172" s="633">
        <f t="shared" si="184"/>
        <v>0</v>
      </c>
      <c r="AA172" s="633">
        <f t="shared" si="184"/>
        <v>0</v>
      </c>
      <c r="AB172" s="633">
        <f t="shared" si="184"/>
        <v>0</v>
      </c>
      <c r="AC172" s="633">
        <f t="shared" si="184"/>
        <v>0</v>
      </c>
      <c r="AD172" s="633">
        <f t="shared" si="184"/>
        <v>0</v>
      </c>
      <c r="AE172" s="633">
        <f t="shared" si="184"/>
        <v>0</v>
      </c>
      <c r="AF172" s="633">
        <f t="shared" si="184"/>
        <v>0</v>
      </c>
      <c r="AG172" s="633">
        <f t="shared" si="184"/>
        <v>0</v>
      </c>
      <c r="AH172" s="634">
        <f t="shared" si="184"/>
        <v>0</v>
      </c>
      <c r="AI172" s="634">
        <f t="shared" si="184"/>
        <v>0</v>
      </c>
      <c r="AJ172" s="634">
        <f t="shared" si="184"/>
        <v>0</v>
      </c>
      <c r="AK172" s="634">
        <f t="shared" si="184"/>
        <v>0</v>
      </c>
      <c r="AL172" s="634">
        <f t="shared" si="184"/>
        <v>0</v>
      </c>
      <c r="AM172" s="634">
        <f t="shared" si="184"/>
        <v>0</v>
      </c>
      <c r="AN172" s="634">
        <f t="shared" si="184"/>
        <v>0</v>
      </c>
      <c r="AO172" s="634">
        <f t="shared" si="184"/>
        <v>0</v>
      </c>
      <c r="AP172" s="634">
        <f t="shared" si="184"/>
        <v>0</v>
      </c>
      <c r="AQ172" s="418">
        <f t="shared" si="184"/>
        <v>0</v>
      </c>
      <c r="AR172" s="640">
        <f t="shared" si="184"/>
        <v>18339777</v>
      </c>
      <c r="AS172" s="633">
        <f t="shared" si="184"/>
        <v>13106348</v>
      </c>
      <c r="AT172" s="633">
        <f t="shared" si="184"/>
        <v>167450</v>
      </c>
      <c r="AU172" s="633">
        <f t="shared" si="184"/>
        <v>4486544</v>
      </c>
      <c r="AV172" s="633">
        <f t="shared" si="184"/>
        <v>262127</v>
      </c>
      <c r="AW172" s="633">
        <f t="shared" si="184"/>
        <v>317308</v>
      </c>
      <c r="AX172" s="634">
        <f t="shared" si="184"/>
        <v>26.187000000000001</v>
      </c>
      <c r="AY172" s="634">
        <f t="shared" si="184"/>
        <v>16.7425</v>
      </c>
      <c r="AZ172" s="418">
        <f t="shared" si="184"/>
        <v>9.4444999999999997</v>
      </c>
    </row>
    <row r="173" spans="1:52" ht="12.95" customHeight="1" x14ac:dyDescent="0.25">
      <c r="A173" s="313">
        <v>35</v>
      </c>
      <c r="B173" s="415">
        <v>2306</v>
      </c>
      <c r="C173" s="415">
        <v>650025873</v>
      </c>
      <c r="D173" s="314">
        <v>70695946</v>
      </c>
      <c r="E173" s="411" t="s">
        <v>551</v>
      </c>
      <c r="F173" s="229">
        <v>3111</v>
      </c>
      <c r="G173" s="412" t="s">
        <v>326</v>
      </c>
      <c r="H173" s="318" t="s">
        <v>278</v>
      </c>
      <c r="I173" s="494">
        <v>2826193</v>
      </c>
      <c r="J173" s="489">
        <v>2068221</v>
      </c>
      <c r="K173" s="489">
        <v>0</v>
      </c>
      <c r="L173" s="489">
        <v>699058</v>
      </c>
      <c r="M173" s="489">
        <v>41364</v>
      </c>
      <c r="N173" s="489">
        <v>17550</v>
      </c>
      <c r="O173" s="490">
        <v>4.6475999999999997</v>
      </c>
      <c r="P173" s="491">
        <v>3.7258</v>
      </c>
      <c r="Q173" s="500">
        <v>0.92179999999999995</v>
      </c>
      <c r="R173" s="502">
        <f t="shared" si="159"/>
        <v>0</v>
      </c>
      <c r="S173" s="492">
        <v>0</v>
      </c>
      <c r="T173" s="492">
        <v>0</v>
      </c>
      <c r="U173" s="492">
        <v>0</v>
      </c>
      <c r="V173" s="492">
        <f t="shared" si="160"/>
        <v>0</v>
      </c>
      <c r="W173" s="492">
        <v>0</v>
      </c>
      <c r="X173" s="492">
        <v>0</v>
      </c>
      <c r="Y173" s="492">
        <v>0</v>
      </c>
      <c r="Z173" s="492">
        <f t="shared" ref="Z173:Z178" si="185">SUM(W173:Y173)</f>
        <v>0</v>
      </c>
      <c r="AA173" s="492">
        <f t="shared" ref="AA173:AA178" si="186">V173+Z173</f>
        <v>0</v>
      </c>
      <c r="AB173" s="74">
        <f t="shared" ref="AB173:AB178" si="187">ROUND((V173+W173+X173)*33.8%,0)</f>
        <v>0</v>
      </c>
      <c r="AC173" s="74">
        <f t="shared" ref="AC173:AC178" si="188">ROUND(V173*2%,0)</f>
        <v>0</v>
      </c>
      <c r="AD173" s="492">
        <v>0</v>
      </c>
      <c r="AE173" s="492">
        <v>0</v>
      </c>
      <c r="AF173" s="492">
        <f t="shared" si="161"/>
        <v>0</v>
      </c>
      <c r="AG173" s="492">
        <f t="shared" si="162"/>
        <v>0</v>
      </c>
      <c r="AH173" s="493">
        <v>0</v>
      </c>
      <c r="AI173" s="493">
        <v>0</v>
      </c>
      <c r="AJ173" s="493">
        <v>0</v>
      </c>
      <c r="AK173" s="493">
        <v>0</v>
      </c>
      <c r="AL173" s="493">
        <v>0</v>
      </c>
      <c r="AM173" s="493">
        <v>0</v>
      </c>
      <c r="AN173" s="493">
        <v>0</v>
      </c>
      <c r="AO173" s="493">
        <f t="shared" ref="AO173:AO178" si="189">AH173+AJ173+AM173</f>
        <v>0</v>
      </c>
      <c r="AP173" s="493">
        <f t="shared" ref="AP173:AP178" si="190">AI173+AN173</f>
        <v>0</v>
      </c>
      <c r="AQ173" s="495">
        <f t="shared" si="163"/>
        <v>0</v>
      </c>
      <c r="AR173" s="501">
        <f t="shared" ref="AR173:AR178" si="191">I173+AG173</f>
        <v>2826193</v>
      </c>
      <c r="AS173" s="492">
        <f t="shared" ref="AS173:AS178" si="192">J173+V173</f>
        <v>2068221</v>
      </c>
      <c r="AT173" s="492">
        <f t="shared" ref="AT173:AT178" si="193">K173+Z173</f>
        <v>0</v>
      </c>
      <c r="AU173" s="492">
        <f t="shared" ref="AU173:AV178" si="194">L173+AB173</f>
        <v>699058</v>
      </c>
      <c r="AV173" s="492">
        <f t="shared" si="194"/>
        <v>41364</v>
      </c>
      <c r="AW173" s="492">
        <f t="shared" ref="AW173:AW178" si="195">N173+AF173</f>
        <v>17550</v>
      </c>
      <c r="AX173" s="493">
        <f t="shared" ref="AX173:AX178" si="196">O173+AQ173</f>
        <v>4.6475999999999997</v>
      </c>
      <c r="AY173" s="493">
        <f t="shared" ref="AY173:AZ178" si="197">P173+AO173</f>
        <v>3.7258</v>
      </c>
      <c r="AZ173" s="495">
        <f t="shared" si="197"/>
        <v>0.92179999999999995</v>
      </c>
    </row>
    <row r="174" spans="1:52" ht="12.95" customHeight="1" x14ac:dyDescent="0.25">
      <c r="A174" s="313">
        <v>35</v>
      </c>
      <c r="B174" s="415">
        <v>2306</v>
      </c>
      <c r="C174" s="415">
        <v>650025873</v>
      </c>
      <c r="D174" s="314">
        <v>70695946</v>
      </c>
      <c r="E174" s="228" t="s">
        <v>551</v>
      </c>
      <c r="F174" s="415">
        <v>3117</v>
      </c>
      <c r="G174" s="411" t="s">
        <v>330</v>
      </c>
      <c r="H174" s="318" t="s">
        <v>278</v>
      </c>
      <c r="I174" s="494">
        <v>3227684</v>
      </c>
      <c r="J174" s="489">
        <v>2340275</v>
      </c>
      <c r="K174" s="489">
        <v>0</v>
      </c>
      <c r="L174" s="489">
        <v>791013</v>
      </c>
      <c r="M174" s="489">
        <v>46806</v>
      </c>
      <c r="N174" s="489">
        <v>49590</v>
      </c>
      <c r="O174" s="490">
        <v>4.6419999999999995</v>
      </c>
      <c r="P174" s="491">
        <v>2.8184999999999998</v>
      </c>
      <c r="Q174" s="500">
        <v>1.8234999999999999</v>
      </c>
      <c r="R174" s="502">
        <f t="shared" si="159"/>
        <v>0</v>
      </c>
      <c r="S174" s="492">
        <v>0</v>
      </c>
      <c r="T174" s="492">
        <v>0</v>
      </c>
      <c r="U174" s="492">
        <v>0</v>
      </c>
      <c r="V174" s="492">
        <f t="shared" si="160"/>
        <v>0</v>
      </c>
      <c r="W174" s="492">
        <v>0</v>
      </c>
      <c r="X174" s="492">
        <v>0</v>
      </c>
      <c r="Y174" s="492">
        <v>0</v>
      </c>
      <c r="Z174" s="492">
        <f t="shared" si="185"/>
        <v>0</v>
      </c>
      <c r="AA174" s="492">
        <f t="shared" si="186"/>
        <v>0</v>
      </c>
      <c r="AB174" s="74">
        <f t="shared" si="187"/>
        <v>0</v>
      </c>
      <c r="AC174" s="74">
        <f t="shared" si="188"/>
        <v>0</v>
      </c>
      <c r="AD174" s="492">
        <v>0</v>
      </c>
      <c r="AE174" s="492">
        <v>0</v>
      </c>
      <c r="AF174" s="492">
        <f t="shared" si="161"/>
        <v>0</v>
      </c>
      <c r="AG174" s="492">
        <f t="shared" si="162"/>
        <v>0</v>
      </c>
      <c r="AH174" s="493">
        <v>0</v>
      </c>
      <c r="AI174" s="493">
        <v>0</v>
      </c>
      <c r="AJ174" s="493">
        <v>0</v>
      </c>
      <c r="AK174" s="493">
        <v>0</v>
      </c>
      <c r="AL174" s="493">
        <v>0</v>
      </c>
      <c r="AM174" s="493">
        <v>0</v>
      </c>
      <c r="AN174" s="493">
        <v>0</v>
      </c>
      <c r="AO174" s="493">
        <f t="shared" si="189"/>
        <v>0</v>
      </c>
      <c r="AP174" s="493">
        <f t="shared" si="190"/>
        <v>0</v>
      </c>
      <c r="AQ174" s="495">
        <f t="shared" si="163"/>
        <v>0</v>
      </c>
      <c r="AR174" s="501">
        <f t="shared" si="191"/>
        <v>3227684</v>
      </c>
      <c r="AS174" s="492">
        <f t="shared" si="192"/>
        <v>2340275</v>
      </c>
      <c r="AT174" s="492">
        <f t="shared" si="193"/>
        <v>0</v>
      </c>
      <c r="AU174" s="492">
        <f t="shared" si="194"/>
        <v>791013</v>
      </c>
      <c r="AV174" s="492">
        <f t="shared" si="194"/>
        <v>46806</v>
      </c>
      <c r="AW174" s="492">
        <f t="shared" si="195"/>
        <v>49590</v>
      </c>
      <c r="AX174" s="493">
        <f t="shared" si="196"/>
        <v>4.6419999999999995</v>
      </c>
      <c r="AY174" s="493">
        <f t="shared" si="197"/>
        <v>2.8184999999999998</v>
      </c>
      <c r="AZ174" s="495">
        <f t="shared" si="197"/>
        <v>1.8234999999999999</v>
      </c>
    </row>
    <row r="175" spans="1:52" ht="12.95" customHeight="1" x14ac:dyDescent="0.25">
      <c r="A175" s="313">
        <v>35</v>
      </c>
      <c r="B175" s="229">
        <v>2306</v>
      </c>
      <c r="C175" s="229">
        <v>650025873</v>
      </c>
      <c r="D175" s="314">
        <v>70695946</v>
      </c>
      <c r="E175" s="228" t="s">
        <v>551</v>
      </c>
      <c r="F175" s="415">
        <v>3117</v>
      </c>
      <c r="G175" s="356" t="s">
        <v>313</v>
      </c>
      <c r="H175" s="318" t="s">
        <v>279</v>
      </c>
      <c r="I175" s="494">
        <v>0</v>
      </c>
      <c r="J175" s="489">
        <v>0</v>
      </c>
      <c r="K175" s="489">
        <v>0</v>
      </c>
      <c r="L175" s="489">
        <v>0</v>
      </c>
      <c r="M175" s="489">
        <v>0</v>
      </c>
      <c r="N175" s="489">
        <v>0</v>
      </c>
      <c r="O175" s="490">
        <v>0</v>
      </c>
      <c r="P175" s="491">
        <v>0</v>
      </c>
      <c r="Q175" s="500">
        <v>0</v>
      </c>
      <c r="R175" s="502">
        <f t="shared" si="159"/>
        <v>0</v>
      </c>
      <c r="S175" s="492">
        <v>0</v>
      </c>
      <c r="T175" s="492">
        <v>0</v>
      </c>
      <c r="U175" s="492">
        <v>0</v>
      </c>
      <c r="V175" s="492">
        <f t="shared" si="160"/>
        <v>0</v>
      </c>
      <c r="W175" s="492">
        <v>0</v>
      </c>
      <c r="X175" s="492">
        <v>0</v>
      </c>
      <c r="Y175" s="492">
        <v>0</v>
      </c>
      <c r="Z175" s="492">
        <f t="shared" si="185"/>
        <v>0</v>
      </c>
      <c r="AA175" s="492">
        <f t="shared" si="186"/>
        <v>0</v>
      </c>
      <c r="AB175" s="74">
        <f t="shared" si="187"/>
        <v>0</v>
      </c>
      <c r="AC175" s="74">
        <f t="shared" si="188"/>
        <v>0</v>
      </c>
      <c r="AD175" s="492">
        <v>0</v>
      </c>
      <c r="AE175" s="492">
        <v>0</v>
      </c>
      <c r="AF175" s="492">
        <f t="shared" si="161"/>
        <v>0</v>
      </c>
      <c r="AG175" s="492">
        <f t="shared" si="162"/>
        <v>0</v>
      </c>
      <c r="AH175" s="493">
        <v>0</v>
      </c>
      <c r="AI175" s="493">
        <v>0</v>
      </c>
      <c r="AJ175" s="493">
        <v>0</v>
      </c>
      <c r="AK175" s="493">
        <v>0</v>
      </c>
      <c r="AL175" s="493">
        <v>0</v>
      </c>
      <c r="AM175" s="493">
        <v>0</v>
      </c>
      <c r="AN175" s="493">
        <v>0</v>
      </c>
      <c r="AO175" s="493">
        <f t="shared" si="189"/>
        <v>0</v>
      </c>
      <c r="AP175" s="493">
        <f t="shared" si="190"/>
        <v>0</v>
      </c>
      <c r="AQ175" s="495">
        <f t="shared" si="163"/>
        <v>0</v>
      </c>
      <c r="AR175" s="501">
        <f t="shared" si="191"/>
        <v>0</v>
      </c>
      <c r="AS175" s="492">
        <f t="shared" si="192"/>
        <v>0</v>
      </c>
      <c r="AT175" s="492">
        <f t="shared" si="193"/>
        <v>0</v>
      </c>
      <c r="AU175" s="492">
        <f t="shared" si="194"/>
        <v>0</v>
      </c>
      <c r="AV175" s="492">
        <f t="shared" si="194"/>
        <v>0</v>
      </c>
      <c r="AW175" s="492">
        <f t="shared" si="195"/>
        <v>0</v>
      </c>
      <c r="AX175" s="493">
        <f t="shared" si="196"/>
        <v>0</v>
      </c>
      <c r="AY175" s="493">
        <f t="shared" si="197"/>
        <v>0</v>
      </c>
      <c r="AZ175" s="495">
        <f t="shared" si="197"/>
        <v>0</v>
      </c>
    </row>
    <row r="176" spans="1:52" ht="12.95" customHeight="1" x14ac:dyDescent="0.25">
      <c r="A176" s="313">
        <v>35</v>
      </c>
      <c r="B176" s="229">
        <v>2306</v>
      </c>
      <c r="C176" s="229">
        <v>650025873</v>
      </c>
      <c r="D176" s="314">
        <v>70695946</v>
      </c>
      <c r="E176" s="410" t="s">
        <v>551</v>
      </c>
      <c r="F176" s="421">
        <v>3141</v>
      </c>
      <c r="G176" s="412" t="s">
        <v>316</v>
      </c>
      <c r="H176" s="318" t="s">
        <v>279</v>
      </c>
      <c r="I176" s="494">
        <v>940340</v>
      </c>
      <c r="J176" s="489">
        <v>689498</v>
      </c>
      <c r="K176" s="489">
        <v>0</v>
      </c>
      <c r="L176" s="489">
        <v>233050</v>
      </c>
      <c r="M176" s="489">
        <v>13790</v>
      </c>
      <c r="N176" s="489">
        <v>4002</v>
      </c>
      <c r="O176" s="490">
        <v>2.17</v>
      </c>
      <c r="P176" s="491">
        <v>0</v>
      </c>
      <c r="Q176" s="500">
        <v>2.17</v>
      </c>
      <c r="R176" s="502">
        <f t="shared" si="159"/>
        <v>0</v>
      </c>
      <c r="S176" s="492">
        <v>0</v>
      </c>
      <c r="T176" s="492">
        <v>0</v>
      </c>
      <c r="U176" s="492">
        <v>0</v>
      </c>
      <c r="V176" s="492">
        <f t="shared" si="160"/>
        <v>0</v>
      </c>
      <c r="W176" s="492">
        <v>0</v>
      </c>
      <c r="X176" s="492">
        <v>0</v>
      </c>
      <c r="Y176" s="492">
        <v>0</v>
      </c>
      <c r="Z176" s="492">
        <f t="shared" si="185"/>
        <v>0</v>
      </c>
      <c r="AA176" s="492">
        <f t="shared" si="186"/>
        <v>0</v>
      </c>
      <c r="AB176" s="74">
        <f t="shared" si="187"/>
        <v>0</v>
      </c>
      <c r="AC176" s="74">
        <f t="shared" si="188"/>
        <v>0</v>
      </c>
      <c r="AD176" s="492">
        <v>0</v>
      </c>
      <c r="AE176" s="492">
        <v>0</v>
      </c>
      <c r="AF176" s="492">
        <f t="shared" si="161"/>
        <v>0</v>
      </c>
      <c r="AG176" s="492">
        <f t="shared" si="162"/>
        <v>0</v>
      </c>
      <c r="AH176" s="493">
        <v>0</v>
      </c>
      <c r="AI176" s="493">
        <v>0</v>
      </c>
      <c r="AJ176" s="493">
        <v>0</v>
      </c>
      <c r="AK176" s="493">
        <v>0</v>
      </c>
      <c r="AL176" s="493">
        <v>0</v>
      </c>
      <c r="AM176" s="493">
        <v>0</v>
      </c>
      <c r="AN176" s="493">
        <v>0</v>
      </c>
      <c r="AO176" s="493">
        <f t="shared" si="189"/>
        <v>0</v>
      </c>
      <c r="AP176" s="493">
        <f t="shared" si="190"/>
        <v>0</v>
      </c>
      <c r="AQ176" s="495">
        <f t="shared" si="163"/>
        <v>0</v>
      </c>
      <c r="AR176" s="501">
        <f t="shared" si="191"/>
        <v>940340</v>
      </c>
      <c r="AS176" s="492">
        <f t="shared" si="192"/>
        <v>689498</v>
      </c>
      <c r="AT176" s="492">
        <f t="shared" si="193"/>
        <v>0</v>
      </c>
      <c r="AU176" s="492">
        <f t="shared" si="194"/>
        <v>233050</v>
      </c>
      <c r="AV176" s="492">
        <f t="shared" si="194"/>
        <v>13790</v>
      </c>
      <c r="AW176" s="492">
        <f t="shared" si="195"/>
        <v>4002</v>
      </c>
      <c r="AX176" s="493">
        <f t="shared" si="196"/>
        <v>2.17</v>
      </c>
      <c r="AY176" s="493">
        <f t="shared" si="197"/>
        <v>0</v>
      </c>
      <c r="AZ176" s="495">
        <f t="shared" si="197"/>
        <v>2.17</v>
      </c>
    </row>
    <row r="177" spans="1:52" ht="12.95" customHeight="1" x14ac:dyDescent="0.25">
      <c r="A177" s="313">
        <v>35</v>
      </c>
      <c r="B177" s="229">
        <v>2306</v>
      </c>
      <c r="C177" s="229">
        <v>650025873</v>
      </c>
      <c r="D177" s="314">
        <v>70695946</v>
      </c>
      <c r="E177" s="228" t="s">
        <v>551</v>
      </c>
      <c r="F177" s="229">
        <v>3143</v>
      </c>
      <c r="G177" s="356" t="s">
        <v>629</v>
      </c>
      <c r="H177" s="318" t="s">
        <v>278</v>
      </c>
      <c r="I177" s="494">
        <v>509486</v>
      </c>
      <c r="J177" s="489">
        <v>375174</v>
      </c>
      <c r="K177" s="489">
        <v>0</v>
      </c>
      <c r="L177" s="489">
        <v>126809</v>
      </c>
      <c r="M177" s="489">
        <v>7503</v>
      </c>
      <c r="N177" s="489">
        <v>0</v>
      </c>
      <c r="O177" s="490">
        <v>0.8337</v>
      </c>
      <c r="P177" s="491">
        <v>0.8337</v>
      </c>
      <c r="Q177" s="500">
        <v>0</v>
      </c>
      <c r="R177" s="502">
        <f t="shared" si="159"/>
        <v>0</v>
      </c>
      <c r="S177" s="492">
        <v>0</v>
      </c>
      <c r="T177" s="492">
        <v>0</v>
      </c>
      <c r="U177" s="492">
        <v>0</v>
      </c>
      <c r="V177" s="492">
        <f t="shared" si="160"/>
        <v>0</v>
      </c>
      <c r="W177" s="492">
        <v>0</v>
      </c>
      <c r="X177" s="492">
        <v>0</v>
      </c>
      <c r="Y177" s="492">
        <v>0</v>
      </c>
      <c r="Z177" s="492">
        <f t="shared" si="185"/>
        <v>0</v>
      </c>
      <c r="AA177" s="492">
        <f t="shared" si="186"/>
        <v>0</v>
      </c>
      <c r="AB177" s="74">
        <f t="shared" si="187"/>
        <v>0</v>
      </c>
      <c r="AC177" s="74">
        <f t="shared" si="188"/>
        <v>0</v>
      </c>
      <c r="AD177" s="492">
        <v>0</v>
      </c>
      <c r="AE177" s="492">
        <v>0</v>
      </c>
      <c r="AF177" s="492">
        <f t="shared" si="161"/>
        <v>0</v>
      </c>
      <c r="AG177" s="492">
        <f t="shared" si="162"/>
        <v>0</v>
      </c>
      <c r="AH177" s="493">
        <v>0</v>
      </c>
      <c r="AI177" s="493">
        <v>0</v>
      </c>
      <c r="AJ177" s="493">
        <v>0</v>
      </c>
      <c r="AK177" s="493">
        <v>0</v>
      </c>
      <c r="AL177" s="493">
        <v>0</v>
      </c>
      <c r="AM177" s="493">
        <v>0</v>
      </c>
      <c r="AN177" s="493">
        <v>0</v>
      </c>
      <c r="AO177" s="493">
        <f t="shared" si="189"/>
        <v>0</v>
      </c>
      <c r="AP177" s="493">
        <f t="shared" si="190"/>
        <v>0</v>
      </c>
      <c r="AQ177" s="495">
        <f t="shared" si="163"/>
        <v>0</v>
      </c>
      <c r="AR177" s="501">
        <f t="shared" si="191"/>
        <v>509486</v>
      </c>
      <c r="AS177" s="492">
        <f t="shared" si="192"/>
        <v>375174</v>
      </c>
      <c r="AT177" s="492">
        <f t="shared" si="193"/>
        <v>0</v>
      </c>
      <c r="AU177" s="492">
        <f t="shared" si="194"/>
        <v>126809</v>
      </c>
      <c r="AV177" s="492">
        <f t="shared" si="194"/>
        <v>7503</v>
      </c>
      <c r="AW177" s="492">
        <f t="shared" si="195"/>
        <v>0</v>
      </c>
      <c r="AX177" s="493">
        <f t="shared" si="196"/>
        <v>0.8337</v>
      </c>
      <c r="AY177" s="493">
        <f t="shared" si="197"/>
        <v>0.8337</v>
      </c>
      <c r="AZ177" s="495">
        <f t="shared" si="197"/>
        <v>0</v>
      </c>
    </row>
    <row r="178" spans="1:52" ht="12.95" customHeight="1" x14ac:dyDescent="0.25">
      <c r="A178" s="313">
        <v>35</v>
      </c>
      <c r="B178" s="229">
        <v>2306</v>
      </c>
      <c r="C178" s="229">
        <v>650025873</v>
      </c>
      <c r="D178" s="314">
        <v>70695946</v>
      </c>
      <c r="E178" s="228" t="s">
        <v>551</v>
      </c>
      <c r="F178" s="229">
        <v>3143</v>
      </c>
      <c r="G178" s="356" t="s">
        <v>630</v>
      </c>
      <c r="H178" s="318" t="s">
        <v>279</v>
      </c>
      <c r="I178" s="494">
        <v>11339</v>
      </c>
      <c r="J178" s="489">
        <v>8019</v>
      </c>
      <c r="K178" s="489">
        <v>0</v>
      </c>
      <c r="L178" s="489">
        <v>2710</v>
      </c>
      <c r="M178" s="489">
        <v>160</v>
      </c>
      <c r="N178" s="489">
        <v>450</v>
      </c>
      <c r="O178" s="490">
        <v>0.03</v>
      </c>
      <c r="P178" s="491">
        <v>0</v>
      </c>
      <c r="Q178" s="500">
        <v>0.03</v>
      </c>
      <c r="R178" s="502">
        <f t="shared" si="159"/>
        <v>0</v>
      </c>
      <c r="S178" s="492">
        <v>0</v>
      </c>
      <c r="T178" s="492">
        <v>0</v>
      </c>
      <c r="U178" s="492">
        <v>0</v>
      </c>
      <c r="V178" s="492">
        <f t="shared" si="160"/>
        <v>0</v>
      </c>
      <c r="W178" s="492">
        <v>0</v>
      </c>
      <c r="X178" s="492">
        <v>0</v>
      </c>
      <c r="Y178" s="492">
        <v>0</v>
      </c>
      <c r="Z178" s="492">
        <f t="shared" si="185"/>
        <v>0</v>
      </c>
      <c r="AA178" s="492">
        <f t="shared" si="186"/>
        <v>0</v>
      </c>
      <c r="AB178" s="74">
        <f t="shared" si="187"/>
        <v>0</v>
      </c>
      <c r="AC178" s="74">
        <f t="shared" si="188"/>
        <v>0</v>
      </c>
      <c r="AD178" s="492">
        <v>0</v>
      </c>
      <c r="AE178" s="492">
        <v>0</v>
      </c>
      <c r="AF178" s="492">
        <f t="shared" si="161"/>
        <v>0</v>
      </c>
      <c r="AG178" s="492">
        <f t="shared" si="162"/>
        <v>0</v>
      </c>
      <c r="AH178" s="493">
        <v>0</v>
      </c>
      <c r="AI178" s="493">
        <v>0</v>
      </c>
      <c r="AJ178" s="493">
        <v>0</v>
      </c>
      <c r="AK178" s="493">
        <v>0</v>
      </c>
      <c r="AL178" s="493">
        <v>0</v>
      </c>
      <c r="AM178" s="493">
        <v>0</v>
      </c>
      <c r="AN178" s="493">
        <v>0</v>
      </c>
      <c r="AO178" s="493">
        <f t="shared" si="189"/>
        <v>0</v>
      </c>
      <c r="AP178" s="493">
        <f t="shared" si="190"/>
        <v>0</v>
      </c>
      <c r="AQ178" s="495">
        <f t="shared" si="163"/>
        <v>0</v>
      </c>
      <c r="AR178" s="501">
        <f t="shared" si="191"/>
        <v>11339</v>
      </c>
      <c r="AS178" s="492">
        <f t="shared" si="192"/>
        <v>8019</v>
      </c>
      <c r="AT178" s="492">
        <f t="shared" si="193"/>
        <v>0</v>
      </c>
      <c r="AU178" s="492">
        <f t="shared" si="194"/>
        <v>2710</v>
      </c>
      <c r="AV178" s="492">
        <f t="shared" si="194"/>
        <v>160</v>
      </c>
      <c r="AW178" s="492">
        <f t="shared" si="195"/>
        <v>450</v>
      </c>
      <c r="AX178" s="493">
        <f t="shared" si="196"/>
        <v>0.03</v>
      </c>
      <c r="AY178" s="493">
        <f t="shared" si="197"/>
        <v>0</v>
      </c>
      <c r="AZ178" s="495">
        <f t="shared" si="197"/>
        <v>0.03</v>
      </c>
    </row>
    <row r="179" spans="1:52" ht="12.95" customHeight="1" x14ac:dyDescent="0.25">
      <c r="A179" s="231">
        <v>35</v>
      </c>
      <c r="B179" s="50">
        <v>2306</v>
      </c>
      <c r="C179" s="50">
        <v>650025873</v>
      </c>
      <c r="D179" s="50">
        <v>70695946</v>
      </c>
      <c r="E179" s="413" t="s">
        <v>552</v>
      </c>
      <c r="F179" s="50"/>
      <c r="G179" s="413"/>
      <c r="H179" s="194"/>
      <c r="I179" s="584">
        <v>7515042</v>
      </c>
      <c r="J179" s="580">
        <v>5481187</v>
      </c>
      <c r="K179" s="580">
        <v>0</v>
      </c>
      <c r="L179" s="580">
        <v>1852640</v>
      </c>
      <c r="M179" s="580">
        <v>109623</v>
      </c>
      <c r="N179" s="580">
        <v>71592</v>
      </c>
      <c r="O179" s="581">
        <v>12.3233</v>
      </c>
      <c r="P179" s="581">
        <v>7.3780000000000001</v>
      </c>
      <c r="Q179" s="586">
        <v>4.9453000000000005</v>
      </c>
      <c r="R179" s="584">
        <f t="shared" ref="R179:AZ179" si="198">SUM(R173:R178)</f>
        <v>0</v>
      </c>
      <c r="S179" s="580">
        <f t="shared" si="198"/>
        <v>0</v>
      </c>
      <c r="T179" s="580">
        <f t="shared" si="198"/>
        <v>0</v>
      </c>
      <c r="U179" s="580">
        <f t="shared" si="198"/>
        <v>0</v>
      </c>
      <c r="V179" s="580">
        <f t="shared" si="198"/>
        <v>0</v>
      </c>
      <c r="W179" s="580">
        <f t="shared" si="198"/>
        <v>0</v>
      </c>
      <c r="X179" s="580">
        <f t="shared" si="198"/>
        <v>0</v>
      </c>
      <c r="Y179" s="580">
        <f t="shared" si="198"/>
        <v>0</v>
      </c>
      <c r="Z179" s="580">
        <f t="shared" si="198"/>
        <v>0</v>
      </c>
      <c r="AA179" s="580">
        <f t="shared" si="198"/>
        <v>0</v>
      </c>
      <c r="AB179" s="580">
        <f t="shared" si="198"/>
        <v>0</v>
      </c>
      <c r="AC179" s="580">
        <f t="shared" si="198"/>
        <v>0</v>
      </c>
      <c r="AD179" s="580">
        <f t="shared" si="198"/>
        <v>0</v>
      </c>
      <c r="AE179" s="580">
        <f t="shared" si="198"/>
        <v>0</v>
      </c>
      <c r="AF179" s="580">
        <f t="shared" si="198"/>
        <v>0</v>
      </c>
      <c r="AG179" s="580">
        <f t="shared" si="198"/>
        <v>0</v>
      </c>
      <c r="AH179" s="581">
        <f t="shared" si="198"/>
        <v>0</v>
      </c>
      <c r="AI179" s="581">
        <f t="shared" si="198"/>
        <v>0</v>
      </c>
      <c r="AJ179" s="581">
        <f t="shared" si="198"/>
        <v>0</v>
      </c>
      <c r="AK179" s="581">
        <f t="shared" si="198"/>
        <v>0</v>
      </c>
      <c r="AL179" s="581">
        <f t="shared" si="198"/>
        <v>0</v>
      </c>
      <c r="AM179" s="581">
        <f t="shared" si="198"/>
        <v>0</v>
      </c>
      <c r="AN179" s="581">
        <f t="shared" si="198"/>
        <v>0</v>
      </c>
      <c r="AO179" s="581">
        <f t="shared" si="198"/>
        <v>0</v>
      </c>
      <c r="AP179" s="581">
        <f t="shared" si="198"/>
        <v>0</v>
      </c>
      <c r="AQ179" s="312">
        <f t="shared" si="198"/>
        <v>0</v>
      </c>
      <c r="AR179" s="588">
        <f t="shared" si="198"/>
        <v>7515042</v>
      </c>
      <c r="AS179" s="580">
        <f t="shared" si="198"/>
        <v>5481187</v>
      </c>
      <c r="AT179" s="580">
        <f t="shared" si="198"/>
        <v>0</v>
      </c>
      <c r="AU179" s="580">
        <f t="shared" si="198"/>
        <v>1852640</v>
      </c>
      <c r="AV179" s="580">
        <f t="shared" si="198"/>
        <v>109623</v>
      </c>
      <c r="AW179" s="580">
        <f t="shared" si="198"/>
        <v>71592</v>
      </c>
      <c r="AX179" s="581">
        <f t="shared" si="198"/>
        <v>12.3233</v>
      </c>
      <c r="AY179" s="581">
        <f t="shared" si="198"/>
        <v>7.3780000000000001</v>
      </c>
      <c r="AZ179" s="312">
        <f t="shared" si="198"/>
        <v>4.9453000000000005</v>
      </c>
    </row>
    <row r="180" spans="1:52" ht="12.95" customHeight="1" x14ac:dyDescent="0.25">
      <c r="A180" s="313">
        <v>36</v>
      </c>
      <c r="B180" s="420">
        <v>2447</v>
      </c>
      <c r="C180" s="420">
        <v>600080111</v>
      </c>
      <c r="D180" s="314">
        <v>72744961</v>
      </c>
      <c r="E180" s="428" t="s">
        <v>553</v>
      </c>
      <c r="F180" s="420">
        <v>3117</v>
      </c>
      <c r="G180" s="411" t="s">
        <v>330</v>
      </c>
      <c r="H180" s="318" t="s">
        <v>278</v>
      </c>
      <c r="I180" s="494">
        <v>3810292</v>
      </c>
      <c r="J180" s="489">
        <v>2736404</v>
      </c>
      <c r="K180" s="489">
        <v>9100</v>
      </c>
      <c r="L180" s="489">
        <v>927980</v>
      </c>
      <c r="M180" s="489">
        <v>54728</v>
      </c>
      <c r="N180" s="489">
        <v>82080</v>
      </c>
      <c r="O180" s="490">
        <v>4.8343000000000007</v>
      </c>
      <c r="P180" s="491">
        <v>3.4000000000000004</v>
      </c>
      <c r="Q180" s="500">
        <v>1.4342999999999999</v>
      </c>
      <c r="R180" s="502">
        <f t="shared" si="159"/>
        <v>0</v>
      </c>
      <c r="S180" s="492">
        <v>0</v>
      </c>
      <c r="T180" s="492">
        <v>0</v>
      </c>
      <c r="U180" s="492">
        <v>0</v>
      </c>
      <c r="V180" s="492">
        <f t="shared" si="160"/>
        <v>0</v>
      </c>
      <c r="W180" s="713">
        <v>0</v>
      </c>
      <c r="X180" s="492">
        <v>0</v>
      </c>
      <c r="Y180" s="492">
        <v>0</v>
      </c>
      <c r="Z180" s="492">
        <f>SUM(W180:Y180)</f>
        <v>0</v>
      </c>
      <c r="AA180" s="492">
        <f>V180+Z180</f>
        <v>0</v>
      </c>
      <c r="AB180" s="74">
        <f>ROUND((V180+W180+X180)*33.8%,0)</f>
        <v>0</v>
      </c>
      <c r="AC180" s="74">
        <f>ROUND(V180*2%,0)</f>
        <v>0</v>
      </c>
      <c r="AD180" s="492">
        <v>0</v>
      </c>
      <c r="AE180" s="492">
        <v>0</v>
      </c>
      <c r="AF180" s="492">
        <f t="shared" si="161"/>
        <v>0</v>
      </c>
      <c r="AG180" s="492">
        <f t="shared" si="162"/>
        <v>0</v>
      </c>
      <c r="AH180" s="493">
        <v>0</v>
      </c>
      <c r="AI180" s="493">
        <v>0</v>
      </c>
      <c r="AJ180" s="493">
        <v>0</v>
      </c>
      <c r="AK180" s="493">
        <v>0</v>
      </c>
      <c r="AL180" s="493">
        <v>0</v>
      </c>
      <c r="AM180" s="493">
        <v>0</v>
      </c>
      <c r="AN180" s="493">
        <v>0</v>
      </c>
      <c r="AO180" s="493">
        <f>AH180+AJ180+AM180</f>
        <v>0</v>
      </c>
      <c r="AP180" s="493">
        <f>AI180+AN180</f>
        <v>0</v>
      </c>
      <c r="AQ180" s="495">
        <f t="shared" si="163"/>
        <v>0</v>
      </c>
      <c r="AR180" s="501">
        <f>I180+AG180</f>
        <v>3810292</v>
      </c>
      <c r="AS180" s="492">
        <f>J180+V180</f>
        <v>2736404</v>
      </c>
      <c r="AT180" s="492">
        <f t="shared" ref="AT180:AT184" si="199">K180+Z180</f>
        <v>9100</v>
      </c>
      <c r="AU180" s="492">
        <f t="shared" ref="AU180:AV184" si="200">L180+AB180</f>
        <v>927980</v>
      </c>
      <c r="AV180" s="492">
        <f t="shared" si="200"/>
        <v>54728</v>
      </c>
      <c r="AW180" s="492">
        <f>N180+AF180</f>
        <v>82080</v>
      </c>
      <c r="AX180" s="493">
        <f>O180+AQ180</f>
        <v>4.8343000000000007</v>
      </c>
      <c r="AY180" s="493">
        <f t="shared" ref="AY180:AZ184" si="201">P180+AO180</f>
        <v>3.4000000000000004</v>
      </c>
      <c r="AZ180" s="495">
        <f t="shared" si="201"/>
        <v>1.4342999999999999</v>
      </c>
    </row>
    <row r="181" spans="1:52" ht="12.95" customHeight="1" x14ac:dyDescent="0.25">
      <c r="A181" s="313">
        <v>36</v>
      </c>
      <c r="B181" s="415">
        <v>2447</v>
      </c>
      <c r="C181" s="415">
        <v>600080111</v>
      </c>
      <c r="D181" s="314">
        <v>72744961</v>
      </c>
      <c r="E181" s="228" t="s">
        <v>553</v>
      </c>
      <c r="F181" s="420">
        <v>3117</v>
      </c>
      <c r="G181" s="356" t="s">
        <v>313</v>
      </c>
      <c r="H181" s="318" t="s">
        <v>279</v>
      </c>
      <c r="I181" s="494">
        <v>0</v>
      </c>
      <c r="J181" s="489">
        <v>0</v>
      </c>
      <c r="K181" s="489">
        <v>0</v>
      </c>
      <c r="L181" s="489">
        <v>0</v>
      </c>
      <c r="M181" s="489">
        <v>0</v>
      </c>
      <c r="N181" s="489">
        <v>0</v>
      </c>
      <c r="O181" s="490">
        <v>0</v>
      </c>
      <c r="P181" s="491">
        <v>0</v>
      </c>
      <c r="Q181" s="500">
        <v>0</v>
      </c>
      <c r="R181" s="502">
        <f t="shared" si="159"/>
        <v>0</v>
      </c>
      <c r="S181" s="492">
        <v>0</v>
      </c>
      <c r="T181" s="492">
        <v>0</v>
      </c>
      <c r="U181" s="492">
        <v>0</v>
      </c>
      <c r="V181" s="492">
        <f t="shared" si="160"/>
        <v>0</v>
      </c>
      <c r="W181" s="713">
        <v>0</v>
      </c>
      <c r="X181" s="492">
        <v>0</v>
      </c>
      <c r="Y181" s="492">
        <v>0</v>
      </c>
      <c r="Z181" s="492">
        <f>SUM(W181:Y181)</f>
        <v>0</v>
      </c>
      <c r="AA181" s="492">
        <f>V181+Z181</f>
        <v>0</v>
      </c>
      <c r="AB181" s="74">
        <f>ROUND((V181+W181+X181)*33.8%,0)</f>
        <v>0</v>
      </c>
      <c r="AC181" s="74">
        <f>ROUND(V181*2%,0)</f>
        <v>0</v>
      </c>
      <c r="AD181" s="492">
        <v>0</v>
      </c>
      <c r="AE181" s="492">
        <v>0</v>
      </c>
      <c r="AF181" s="492">
        <f t="shared" si="161"/>
        <v>0</v>
      </c>
      <c r="AG181" s="492">
        <f t="shared" si="162"/>
        <v>0</v>
      </c>
      <c r="AH181" s="493">
        <v>0</v>
      </c>
      <c r="AI181" s="493">
        <v>0</v>
      </c>
      <c r="AJ181" s="493">
        <v>0</v>
      </c>
      <c r="AK181" s="493">
        <v>0</v>
      </c>
      <c r="AL181" s="493">
        <v>0</v>
      </c>
      <c r="AM181" s="493">
        <v>0</v>
      </c>
      <c r="AN181" s="493">
        <v>0</v>
      </c>
      <c r="AO181" s="493">
        <f>AH181+AJ181+AM181</f>
        <v>0</v>
      </c>
      <c r="AP181" s="493">
        <f>AI181+AN181</f>
        <v>0</v>
      </c>
      <c r="AQ181" s="495">
        <f t="shared" si="163"/>
        <v>0</v>
      </c>
      <c r="AR181" s="501">
        <f>I181+AG181</f>
        <v>0</v>
      </c>
      <c r="AS181" s="492">
        <f>J181+V181</f>
        <v>0</v>
      </c>
      <c r="AT181" s="492">
        <f t="shared" si="199"/>
        <v>0</v>
      </c>
      <c r="AU181" s="492">
        <f t="shared" si="200"/>
        <v>0</v>
      </c>
      <c r="AV181" s="492">
        <f t="shared" si="200"/>
        <v>0</v>
      </c>
      <c r="AW181" s="492">
        <f>N181+AF181</f>
        <v>0</v>
      </c>
      <c r="AX181" s="493">
        <f>O181+AQ181</f>
        <v>0</v>
      </c>
      <c r="AY181" s="493">
        <f t="shared" si="201"/>
        <v>0</v>
      </c>
      <c r="AZ181" s="495">
        <f t="shared" si="201"/>
        <v>0</v>
      </c>
    </row>
    <row r="182" spans="1:52" ht="12.95" customHeight="1" x14ac:dyDescent="0.25">
      <c r="A182" s="313">
        <v>36</v>
      </c>
      <c r="B182" s="229">
        <v>2447</v>
      </c>
      <c r="C182" s="229">
        <v>600080111</v>
      </c>
      <c r="D182" s="314">
        <v>72744961</v>
      </c>
      <c r="E182" s="410" t="s">
        <v>553</v>
      </c>
      <c r="F182" s="421">
        <v>3141</v>
      </c>
      <c r="G182" s="412" t="s">
        <v>316</v>
      </c>
      <c r="H182" s="318" t="s">
        <v>279</v>
      </c>
      <c r="I182" s="494">
        <v>179960</v>
      </c>
      <c r="J182" s="489">
        <v>131399</v>
      </c>
      <c r="K182" s="489">
        <v>0</v>
      </c>
      <c r="L182" s="489">
        <v>44413</v>
      </c>
      <c r="M182" s="489">
        <v>2628</v>
      </c>
      <c r="N182" s="489">
        <v>1520</v>
      </c>
      <c r="O182" s="490">
        <v>0.41</v>
      </c>
      <c r="P182" s="491">
        <v>0</v>
      </c>
      <c r="Q182" s="500">
        <v>0.41</v>
      </c>
      <c r="R182" s="502">
        <f t="shared" si="159"/>
        <v>0</v>
      </c>
      <c r="S182" s="492">
        <v>0</v>
      </c>
      <c r="T182" s="492">
        <v>0</v>
      </c>
      <c r="U182" s="492">
        <v>0</v>
      </c>
      <c r="V182" s="492">
        <f t="shared" si="160"/>
        <v>0</v>
      </c>
      <c r="W182" s="713">
        <v>0</v>
      </c>
      <c r="X182" s="492">
        <v>0</v>
      </c>
      <c r="Y182" s="492">
        <v>0</v>
      </c>
      <c r="Z182" s="492">
        <f>SUM(W182:Y182)</f>
        <v>0</v>
      </c>
      <c r="AA182" s="492">
        <f>V182+Z182</f>
        <v>0</v>
      </c>
      <c r="AB182" s="74">
        <f>ROUND((V182+W182+X182)*33.8%,0)</f>
        <v>0</v>
      </c>
      <c r="AC182" s="74">
        <f>ROUND(V182*2%,0)</f>
        <v>0</v>
      </c>
      <c r="AD182" s="492">
        <v>0</v>
      </c>
      <c r="AE182" s="492">
        <v>0</v>
      </c>
      <c r="AF182" s="492">
        <f t="shared" si="161"/>
        <v>0</v>
      </c>
      <c r="AG182" s="492">
        <f t="shared" si="162"/>
        <v>0</v>
      </c>
      <c r="AH182" s="493">
        <v>0</v>
      </c>
      <c r="AI182" s="493">
        <v>0</v>
      </c>
      <c r="AJ182" s="493">
        <v>0</v>
      </c>
      <c r="AK182" s="493">
        <v>0</v>
      </c>
      <c r="AL182" s="493">
        <v>0</v>
      </c>
      <c r="AM182" s="493">
        <v>0</v>
      </c>
      <c r="AN182" s="493">
        <v>0</v>
      </c>
      <c r="AO182" s="493">
        <f>AH182+AJ182+AM182</f>
        <v>0</v>
      </c>
      <c r="AP182" s="493">
        <f>AI182+AN182</f>
        <v>0</v>
      </c>
      <c r="AQ182" s="495">
        <f t="shared" si="163"/>
        <v>0</v>
      </c>
      <c r="AR182" s="501">
        <f>I182+AG182</f>
        <v>179960</v>
      </c>
      <c r="AS182" s="492">
        <f>J182+V182</f>
        <v>131399</v>
      </c>
      <c r="AT182" s="492">
        <f t="shared" si="199"/>
        <v>0</v>
      </c>
      <c r="AU182" s="492">
        <f t="shared" si="200"/>
        <v>44413</v>
      </c>
      <c r="AV182" s="492">
        <f t="shared" si="200"/>
        <v>2628</v>
      </c>
      <c r="AW182" s="492">
        <f>N182+AF182</f>
        <v>1520</v>
      </c>
      <c r="AX182" s="493">
        <f>O182+AQ182</f>
        <v>0.41</v>
      </c>
      <c r="AY182" s="493">
        <f t="shared" si="201"/>
        <v>0</v>
      </c>
      <c r="AZ182" s="495">
        <f t="shared" si="201"/>
        <v>0.41</v>
      </c>
    </row>
    <row r="183" spans="1:52" ht="12.95" customHeight="1" x14ac:dyDescent="0.25">
      <c r="A183" s="313">
        <v>36</v>
      </c>
      <c r="B183" s="415">
        <v>2447</v>
      </c>
      <c r="C183" s="415">
        <v>600080111</v>
      </c>
      <c r="D183" s="314">
        <v>72744961</v>
      </c>
      <c r="E183" s="228" t="s">
        <v>553</v>
      </c>
      <c r="F183" s="415">
        <v>3143</v>
      </c>
      <c r="G183" s="356" t="s">
        <v>629</v>
      </c>
      <c r="H183" s="318" t="s">
        <v>278</v>
      </c>
      <c r="I183" s="494">
        <v>968671</v>
      </c>
      <c r="J183" s="489">
        <v>713307</v>
      </c>
      <c r="K183" s="489">
        <v>0</v>
      </c>
      <c r="L183" s="489">
        <v>241098</v>
      </c>
      <c r="M183" s="489">
        <v>14266</v>
      </c>
      <c r="N183" s="489">
        <v>0</v>
      </c>
      <c r="O183" s="490">
        <v>1.5</v>
      </c>
      <c r="P183" s="491">
        <v>1.5</v>
      </c>
      <c r="Q183" s="500">
        <v>0</v>
      </c>
      <c r="R183" s="502">
        <f t="shared" si="159"/>
        <v>0</v>
      </c>
      <c r="S183" s="492">
        <v>0</v>
      </c>
      <c r="T183" s="492">
        <v>0</v>
      </c>
      <c r="U183" s="492">
        <v>0</v>
      </c>
      <c r="V183" s="492">
        <f t="shared" si="160"/>
        <v>0</v>
      </c>
      <c r="W183" s="713">
        <v>0</v>
      </c>
      <c r="X183" s="492">
        <v>0</v>
      </c>
      <c r="Y183" s="492">
        <v>0</v>
      </c>
      <c r="Z183" s="492">
        <f>SUM(W183:Y183)</f>
        <v>0</v>
      </c>
      <c r="AA183" s="492">
        <f>V183+Z183</f>
        <v>0</v>
      </c>
      <c r="AB183" s="74">
        <f>ROUND((V183+W183+X183)*33.8%,0)</f>
        <v>0</v>
      </c>
      <c r="AC183" s="74">
        <f>ROUND(V183*2%,0)</f>
        <v>0</v>
      </c>
      <c r="AD183" s="492">
        <v>0</v>
      </c>
      <c r="AE183" s="492">
        <v>0</v>
      </c>
      <c r="AF183" s="492">
        <f t="shared" si="161"/>
        <v>0</v>
      </c>
      <c r="AG183" s="492">
        <f t="shared" si="162"/>
        <v>0</v>
      </c>
      <c r="AH183" s="493">
        <v>0</v>
      </c>
      <c r="AI183" s="493">
        <v>0</v>
      </c>
      <c r="AJ183" s="493">
        <v>0</v>
      </c>
      <c r="AK183" s="493">
        <v>0</v>
      </c>
      <c r="AL183" s="493">
        <v>0</v>
      </c>
      <c r="AM183" s="493">
        <v>0</v>
      </c>
      <c r="AN183" s="493">
        <v>0</v>
      </c>
      <c r="AO183" s="493">
        <f>AH183+AJ183+AM183</f>
        <v>0</v>
      </c>
      <c r="AP183" s="493">
        <f>AI183+AN183</f>
        <v>0</v>
      </c>
      <c r="AQ183" s="495">
        <f t="shared" si="163"/>
        <v>0</v>
      </c>
      <c r="AR183" s="501">
        <f>I183+AG183</f>
        <v>968671</v>
      </c>
      <c r="AS183" s="492">
        <f>J183+V183</f>
        <v>713307</v>
      </c>
      <c r="AT183" s="492">
        <f t="shared" si="199"/>
        <v>0</v>
      </c>
      <c r="AU183" s="492">
        <f t="shared" si="200"/>
        <v>241098</v>
      </c>
      <c r="AV183" s="492">
        <f t="shared" si="200"/>
        <v>14266</v>
      </c>
      <c r="AW183" s="492">
        <f>N183+AF183</f>
        <v>0</v>
      </c>
      <c r="AX183" s="493">
        <f>O183+AQ183</f>
        <v>1.5</v>
      </c>
      <c r="AY183" s="493">
        <f t="shared" si="201"/>
        <v>1.5</v>
      </c>
      <c r="AZ183" s="495">
        <f t="shared" si="201"/>
        <v>0</v>
      </c>
    </row>
    <row r="184" spans="1:52" ht="12.95" customHeight="1" x14ac:dyDescent="0.25">
      <c r="A184" s="313">
        <v>36</v>
      </c>
      <c r="B184" s="415">
        <v>2447</v>
      </c>
      <c r="C184" s="415">
        <v>600080111</v>
      </c>
      <c r="D184" s="314">
        <v>72744961</v>
      </c>
      <c r="E184" s="228" t="s">
        <v>553</v>
      </c>
      <c r="F184" s="415">
        <v>3143</v>
      </c>
      <c r="G184" s="356" t="s">
        <v>630</v>
      </c>
      <c r="H184" s="318" t="s">
        <v>279</v>
      </c>
      <c r="I184" s="494">
        <v>31752</v>
      </c>
      <c r="J184" s="489">
        <v>22454</v>
      </c>
      <c r="K184" s="489">
        <v>0</v>
      </c>
      <c r="L184" s="489">
        <v>7589</v>
      </c>
      <c r="M184" s="489">
        <v>449</v>
      </c>
      <c r="N184" s="489">
        <v>1260</v>
      </c>
      <c r="O184" s="490">
        <v>0.09</v>
      </c>
      <c r="P184" s="491">
        <v>0</v>
      </c>
      <c r="Q184" s="500">
        <v>0.09</v>
      </c>
      <c r="R184" s="502">
        <f t="shared" si="159"/>
        <v>0</v>
      </c>
      <c r="S184" s="492">
        <v>0</v>
      </c>
      <c r="T184" s="492">
        <v>0</v>
      </c>
      <c r="U184" s="492">
        <v>0</v>
      </c>
      <c r="V184" s="492">
        <f t="shared" si="160"/>
        <v>0</v>
      </c>
      <c r="W184" s="713">
        <v>0</v>
      </c>
      <c r="X184" s="492">
        <v>0</v>
      </c>
      <c r="Y184" s="492">
        <v>0</v>
      </c>
      <c r="Z184" s="492">
        <f>SUM(W184:Y184)</f>
        <v>0</v>
      </c>
      <c r="AA184" s="492">
        <f>V184+Z184</f>
        <v>0</v>
      </c>
      <c r="AB184" s="74">
        <f>ROUND((V184+W184+X184)*33.8%,0)</f>
        <v>0</v>
      </c>
      <c r="AC184" s="74">
        <f>ROUND(V184*2%,0)</f>
        <v>0</v>
      </c>
      <c r="AD184" s="492">
        <v>0</v>
      </c>
      <c r="AE184" s="492">
        <v>0</v>
      </c>
      <c r="AF184" s="492">
        <f t="shared" si="161"/>
        <v>0</v>
      </c>
      <c r="AG184" s="492">
        <f t="shared" si="162"/>
        <v>0</v>
      </c>
      <c r="AH184" s="493">
        <v>0</v>
      </c>
      <c r="AI184" s="493">
        <v>0</v>
      </c>
      <c r="AJ184" s="493">
        <v>0</v>
      </c>
      <c r="AK184" s="493">
        <v>0</v>
      </c>
      <c r="AL184" s="493">
        <v>0</v>
      </c>
      <c r="AM184" s="493">
        <v>0</v>
      </c>
      <c r="AN184" s="493">
        <v>0</v>
      </c>
      <c r="AO184" s="493">
        <f>AH184+AJ184+AM184</f>
        <v>0</v>
      </c>
      <c r="AP184" s="493">
        <f>AI184+AN184</f>
        <v>0</v>
      </c>
      <c r="AQ184" s="495">
        <f t="shared" si="163"/>
        <v>0</v>
      </c>
      <c r="AR184" s="501">
        <f>I184+AG184</f>
        <v>31752</v>
      </c>
      <c r="AS184" s="492">
        <f>J184+V184</f>
        <v>22454</v>
      </c>
      <c r="AT184" s="492">
        <f t="shared" si="199"/>
        <v>0</v>
      </c>
      <c r="AU184" s="492">
        <f t="shared" si="200"/>
        <v>7589</v>
      </c>
      <c r="AV184" s="492">
        <f t="shared" si="200"/>
        <v>449</v>
      </c>
      <c r="AW184" s="492">
        <f>N184+AF184</f>
        <v>1260</v>
      </c>
      <c r="AX184" s="493">
        <f>O184+AQ184</f>
        <v>0.09</v>
      </c>
      <c r="AY184" s="493">
        <f t="shared" si="201"/>
        <v>0</v>
      </c>
      <c r="AZ184" s="495">
        <f t="shared" si="201"/>
        <v>0.09</v>
      </c>
    </row>
    <row r="185" spans="1:52" ht="12.95" customHeight="1" x14ac:dyDescent="0.25">
      <c r="A185" s="231">
        <v>36</v>
      </c>
      <c r="B185" s="51">
        <v>2447</v>
      </c>
      <c r="C185" s="51">
        <v>600080111</v>
      </c>
      <c r="D185" s="51">
        <v>72744961</v>
      </c>
      <c r="E185" s="417" t="s">
        <v>554</v>
      </c>
      <c r="F185" s="51"/>
      <c r="G185" s="417"/>
      <c r="H185" s="195"/>
      <c r="I185" s="584">
        <v>4990675</v>
      </c>
      <c r="J185" s="580">
        <v>3603564</v>
      </c>
      <c r="K185" s="580">
        <v>9100</v>
      </c>
      <c r="L185" s="580">
        <v>1221080</v>
      </c>
      <c r="M185" s="580">
        <v>72071</v>
      </c>
      <c r="N185" s="580">
        <v>84860</v>
      </c>
      <c r="O185" s="581">
        <v>6.8343000000000007</v>
      </c>
      <c r="P185" s="581">
        <v>4.9000000000000004</v>
      </c>
      <c r="Q185" s="586">
        <v>1.9342999999999999</v>
      </c>
      <c r="R185" s="584">
        <f t="shared" ref="R185:AZ185" si="202">SUM(R180:R184)</f>
        <v>0</v>
      </c>
      <c r="S185" s="580">
        <f t="shared" si="202"/>
        <v>0</v>
      </c>
      <c r="T185" s="580">
        <f t="shared" si="202"/>
        <v>0</v>
      </c>
      <c r="U185" s="580">
        <f t="shared" si="202"/>
        <v>0</v>
      </c>
      <c r="V185" s="580">
        <f t="shared" si="202"/>
        <v>0</v>
      </c>
      <c r="W185" s="580">
        <f t="shared" si="202"/>
        <v>0</v>
      </c>
      <c r="X185" s="580">
        <f t="shared" si="202"/>
        <v>0</v>
      </c>
      <c r="Y185" s="580">
        <f t="shared" si="202"/>
        <v>0</v>
      </c>
      <c r="Z185" s="580">
        <f t="shared" si="202"/>
        <v>0</v>
      </c>
      <c r="AA185" s="580">
        <f t="shared" si="202"/>
        <v>0</v>
      </c>
      <c r="AB185" s="580">
        <f t="shared" si="202"/>
        <v>0</v>
      </c>
      <c r="AC185" s="580">
        <f t="shared" si="202"/>
        <v>0</v>
      </c>
      <c r="AD185" s="580">
        <f t="shared" si="202"/>
        <v>0</v>
      </c>
      <c r="AE185" s="580">
        <f t="shared" si="202"/>
        <v>0</v>
      </c>
      <c r="AF185" s="580">
        <f t="shared" si="202"/>
        <v>0</v>
      </c>
      <c r="AG185" s="580">
        <f t="shared" si="202"/>
        <v>0</v>
      </c>
      <c r="AH185" s="581">
        <f t="shared" si="202"/>
        <v>0</v>
      </c>
      <c r="AI185" s="581">
        <f t="shared" si="202"/>
        <v>0</v>
      </c>
      <c r="AJ185" s="581">
        <f t="shared" si="202"/>
        <v>0</v>
      </c>
      <c r="AK185" s="581">
        <f t="shared" si="202"/>
        <v>0</v>
      </c>
      <c r="AL185" s="581">
        <f t="shared" si="202"/>
        <v>0</v>
      </c>
      <c r="AM185" s="581">
        <f t="shared" si="202"/>
        <v>0</v>
      </c>
      <c r="AN185" s="581">
        <f t="shared" si="202"/>
        <v>0</v>
      </c>
      <c r="AO185" s="581">
        <f t="shared" si="202"/>
        <v>0</v>
      </c>
      <c r="AP185" s="581">
        <f t="shared" si="202"/>
        <v>0</v>
      </c>
      <c r="AQ185" s="312">
        <f t="shared" si="202"/>
        <v>0</v>
      </c>
      <c r="AR185" s="588">
        <f t="shared" si="202"/>
        <v>4990675</v>
      </c>
      <c r="AS185" s="580">
        <f t="shared" si="202"/>
        <v>3603564</v>
      </c>
      <c r="AT185" s="580">
        <f t="shared" si="202"/>
        <v>9100</v>
      </c>
      <c r="AU185" s="580">
        <f t="shared" si="202"/>
        <v>1221080</v>
      </c>
      <c r="AV185" s="580">
        <f t="shared" si="202"/>
        <v>72071</v>
      </c>
      <c r="AW185" s="580">
        <f t="shared" si="202"/>
        <v>84860</v>
      </c>
      <c r="AX185" s="581">
        <f t="shared" si="202"/>
        <v>6.8343000000000007</v>
      </c>
      <c r="AY185" s="581">
        <f t="shared" si="202"/>
        <v>4.9000000000000004</v>
      </c>
      <c r="AZ185" s="312">
        <f t="shared" si="202"/>
        <v>1.9342999999999999</v>
      </c>
    </row>
    <row r="186" spans="1:52" ht="12.95" customHeight="1" x14ac:dyDescent="0.25">
      <c r="A186" s="313">
        <v>37</v>
      </c>
      <c r="B186" s="229">
        <v>5455</v>
      </c>
      <c r="C186" s="229">
        <v>600099067</v>
      </c>
      <c r="D186" s="314">
        <v>70986088</v>
      </c>
      <c r="E186" s="410" t="s">
        <v>555</v>
      </c>
      <c r="F186" s="421">
        <v>3111</v>
      </c>
      <c r="G186" s="412" t="s">
        <v>326</v>
      </c>
      <c r="H186" s="318" t="s">
        <v>278</v>
      </c>
      <c r="I186" s="494">
        <v>2836456</v>
      </c>
      <c r="J186" s="489">
        <v>2077434</v>
      </c>
      <c r="K186" s="489">
        <v>0</v>
      </c>
      <c r="L186" s="489">
        <v>702173</v>
      </c>
      <c r="M186" s="489">
        <v>41549</v>
      </c>
      <c r="N186" s="489">
        <v>15300</v>
      </c>
      <c r="O186" s="490">
        <v>4.9218000000000002</v>
      </c>
      <c r="P186" s="491">
        <v>4</v>
      </c>
      <c r="Q186" s="500">
        <v>0.92179999999999995</v>
      </c>
      <c r="R186" s="502">
        <f t="shared" si="159"/>
        <v>0</v>
      </c>
      <c r="S186" s="492">
        <v>0</v>
      </c>
      <c r="T186" s="492">
        <v>0</v>
      </c>
      <c r="U186" s="492">
        <v>0</v>
      </c>
      <c r="V186" s="492">
        <f t="shared" si="160"/>
        <v>0</v>
      </c>
      <c r="W186" s="492">
        <v>0</v>
      </c>
      <c r="X186" s="492">
        <v>0</v>
      </c>
      <c r="Y186" s="492">
        <v>0</v>
      </c>
      <c r="Z186" s="492">
        <f>SUM(W186:Y186)</f>
        <v>0</v>
      </c>
      <c r="AA186" s="492">
        <f>V186+Z186</f>
        <v>0</v>
      </c>
      <c r="AB186" s="74">
        <f>ROUND((V186+W186+X186)*33.8%,0)</f>
        <v>0</v>
      </c>
      <c r="AC186" s="74">
        <f>ROUND(V186*2%,0)</f>
        <v>0</v>
      </c>
      <c r="AD186" s="492">
        <v>0</v>
      </c>
      <c r="AE186" s="492">
        <v>0</v>
      </c>
      <c r="AF186" s="492">
        <f t="shared" si="161"/>
        <v>0</v>
      </c>
      <c r="AG186" s="492">
        <f t="shared" si="162"/>
        <v>0</v>
      </c>
      <c r="AH186" s="493">
        <v>0</v>
      </c>
      <c r="AI186" s="493">
        <v>0</v>
      </c>
      <c r="AJ186" s="493">
        <v>0</v>
      </c>
      <c r="AK186" s="493">
        <v>0</v>
      </c>
      <c r="AL186" s="493">
        <v>0</v>
      </c>
      <c r="AM186" s="493">
        <v>0</v>
      </c>
      <c r="AN186" s="493">
        <v>0</v>
      </c>
      <c r="AO186" s="493">
        <f>AH186+AJ186+AM186</f>
        <v>0</v>
      </c>
      <c r="AP186" s="493">
        <f>AI186+AN186</f>
        <v>0</v>
      </c>
      <c r="AQ186" s="495">
        <f t="shared" si="163"/>
        <v>0</v>
      </c>
      <c r="AR186" s="501">
        <f>I186+AG186</f>
        <v>2836456</v>
      </c>
      <c r="AS186" s="492">
        <f>J186+V186</f>
        <v>2077434</v>
      </c>
      <c r="AT186" s="492">
        <f t="shared" ref="AT186:AT190" si="203">K186+Z186</f>
        <v>0</v>
      </c>
      <c r="AU186" s="492">
        <f t="shared" ref="AU186:AV190" si="204">L186+AB186</f>
        <v>702173</v>
      </c>
      <c r="AV186" s="492">
        <f t="shared" si="204"/>
        <v>41549</v>
      </c>
      <c r="AW186" s="492">
        <f>N186+AF186</f>
        <v>15300</v>
      </c>
      <c r="AX186" s="493">
        <f>O186+AQ186</f>
        <v>4.9218000000000002</v>
      </c>
      <c r="AY186" s="493">
        <f t="shared" ref="AY186:AZ190" si="205">P186+AO186</f>
        <v>4</v>
      </c>
      <c r="AZ186" s="495">
        <f t="shared" si="205"/>
        <v>0.92179999999999995</v>
      </c>
    </row>
    <row r="187" spans="1:52" ht="12.95" customHeight="1" x14ac:dyDescent="0.25">
      <c r="A187" s="313">
        <v>37</v>
      </c>
      <c r="B187" s="420">
        <v>5455</v>
      </c>
      <c r="C187" s="420">
        <v>600099067</v>
      </c>
      <c r="D187" s="314">
        <v>70986088</v>
      </c>
      <c r="E187" s="428" t="s">
        <v>555</v>
      </c>
      <c r="F187" s="420">
        <v>3117</v>
      </c>
      <c r="G187" s="411" t="s">
        <v>330</v>
      </c>
      <c r="H187" s="318" t="s">
        <v>278</v>
      </c>
      <c r="I187" s="494">
        <v>3385828</v>
      </c>
      <c r="J187" s="489">
        <v>2451692</v>
      </c>
      <c r="K187" s="489">
        <v>0</v>
      </c>
      <c r="L187" s="489">
        <v>828672</v>
      </c>
      <c r="M187" s="489">
        <v>49034</v>
      </c>
      <c r="N187" s="489">
        <v>56430</v>
      </c>
      <c r="O187" s="490">
        <v>4.0975000000000001</v>
      </c>
      <c r="P187" s="491">
        <v>2.5</v>
      </c>
      <c r="Q187" s="500">
        <v>1.5974999999999999</v>
      </c>
      <c r="R187" s="502">
        <f t="shared" si="159"/>
        <v>0</v>
      </c>
      <c r="S187" s="492">
        <v>0</v>
      </c>
      <c r="T187" s="492">
        <v>0</v>
      </c>
      <c r="U187" s="492">
        <v>0</v>
      </c>
      <c r="V187" s="492">
        <f t="shared" si="160"/>
        <v>0</v>
      </c>
      <c r="W187" s="492">
        <v>0</v>
      </c>
      <c r="X187" s="492">
        <v>0</v>
      </c>
      <c r="Y187" s="492">
        <v>0</v>
      </c>
      <c r="Z187" s="492">
        <f>SUM(W187:Y187)</f>
        <v>0</v>
      </c>
      <c r="AA187" s="492">
        <f>V187+Z187</f>
        <v>0</v>
      </c>
      <c r="AB187" s="74">
        <f>ROUND((V187+W187+X187)*33.8%,0)</f>
        <v>0</v>
      </c>
      <c r="AC187" s="74">
        <f>ROUND(V187*2%,0)</f>
        <v>0</v>
      </c>
      <c r="AD187" s="492">
        <v>0</v>
      </c>
      <c r="AE187" s="492">
        <v>0</v>
      </c>
      <c r="AF187" s="492">
        <f t="shared" si="161"/>
        <v>0</v>
      </c>
      <c r="AG187" s="492">
        <f t="shared" si="162"/>
        <v>0</v>
      </c>
      <c r="AH187" s="493">
        <v>0</v>
      </c>
      <c r="AI187" s="493">
        <v>0</v>
      </c>
      <c r="AJ187" s="493">
        <v>0</v>
      </c>
      <c r="AK187" s="493">
        <v>0</v>
      </c>
      <c r="AL187" s="493">
        <v>0</v>
      </c>
      <c r="AM187" s="493">
        <v>0</v>
      </c>
      <c r="AN187" s="493">
        <v>0</v>
      </c>
      <c r="AO187" s="493">
        <f>AH187+AJ187+AM187</f>
        <v>0</v>
      </c>
      <c r="AP187" s="493">
        <f>AI187+AN187</f>
        <v>0</v>
      </c>
      <c r="AQ187" s="495">
        <f t="shared" si="163"/>
        <v>0</v>
      </c>
      <c r="AR187" s="501">
        <f>I187+AG187</f>
        <v>3385828</v>
      </c>
      <c r="AS187" s="492">
        <f>J187+V187</f>
        <v>2451692</v>
      </c>
      <c r="AT187" s="492">
        <f t="shared" si="203"/>
        <v>0</v>
      </c>
      <c r="AU187" s="492">
        <f t="shared" si="204"/>
        <v>828672</v>
      </c>
      <c r="AV187" s="492">
        <f t="shared" si="204"/>
        <v>49034</v>
      </c>
      <c r="AW187" s="492">
        <f>N187+AF187</f>
        <v>56430</v>
      </c>
      <c r="AX187" s="493">
        <f>O187+AQ187</f>
        <v>4.0975000000000001</v>
      </c>
      <c r="AY187" s="493">
        <f t="shared" si="205"/>
        <v>2.5</v>
      </c>
      <c r="AZ187" s="495">
        <f t="shared" si="205"/>
        <v>1.5974999999999999</v>
      </c>
    </row>
    <row r="188" spans="1:52" ht="12.95" customHeight="1" x14ac:dyDescent="0.25">
      <c r="A188" s="313">
        <v>37</v>
      </c>
      <c r="B188" s="229">
        <v>5455</v>
      </c>
      <c r="C188" s="229">
        <v>600099067</v>
      </c>
      <c r="D188" s="314">
        <v>70986088</v>
      </c>
      <c r="E188" s="411" t="s">
        <v>555</v>
      </c>
      <c r="F188" s="229">
        <v>3141</v>
      </c>
      <c r="G188" s="412" t="s">
        <v>316</v>
      </c>
      <c r="H188" s="318" t="s">
        <v>279</v>
      </c>
      <c r="I188" s="494">
        <v>900094</v>
      </c>
      <c r="J188" s="489">
        <v>660032</v>
      </c>
      <c r="K188" s="489">
        <v>0</v>
      </c>
      <c r="L188" s="489">
        <v>223091</v>
      </c>
      <c r="M188" s="489">
        <v>13201</v>
      </c>
      <c r="N188" s="489">
        <v>3770</v>
      </c>
      <c r="O188" s="490">
        <v>2.08</v>
      </c>
      <c r="P188" s="491">
        <v>0</v>
      </c>
      <c r="Q188" s="500">
        <v>2.08</v>
      </c>
      <c r="R188" s="502">
        <f t="shared" si="159"/>
        <v>0</v>
      </c>
      <c r="S188" s="492">
        <v>0</v>
      </c>
      <c r="T188" s="492">
        <v>0</v>
      </c>
      <c r="U188" s="492">
        <v>0</v>
      </c>
      <c r="V188" s="492">
        <f t="shared" si="160"/>
        <v>0</v>
      </c>
      <c r="W188" s="492">
        <v>0</v>
      </c>
      <c r="X188" s="492">
        <v>0</v>
      </c>
      <c r="Y188" s="492">
        <v>0</v>
      </c>
      <c r="Z188" s="492">
        <f>SUM(W188:Y188)</f>
        <v>0</v>
      </c>
      <c r="AA188" s="492">
        <f>V188+Z188</f>
        <v>0</v>
      </c>
      <c r="AB188" s="74">
        <f>ROUND((V188+W188+X188)*33.8%,0)</f>
        <v>0</v>
      </c>
      <c r="AC188" s="74">
        <f>ROUND(V188*2%,0)</f>
        <v>0</v>
      </c>
      <c r="AD188" s="492">
        <v>0</v>
      </c>
      <c r="AE188" s="492">
        <v>0</v>
      </c>
      <c r="AF188" s="492">
        <f t="shared" si="161"/>
        <v>0</v>
      </c>
      <c r="AG188" s="492">
        <f t="shared" si="162"/>
        <v>0</v>
      </c>
      <c r="AH188" s="493">
        <v>0</v>
      </c>
      <c r="AI188" s="493">
        <v>0</v>
      </c>
      <c r="AJ188" s="493">
        <v>0</v>
      </c>
      <c r="AK188" s="493">
        <v>0</v>
      </c>
      <c r="AL188" s="493">
        <v>0</v>
      </c>
      <c r="AM188" s="493">
        <v>0</v>
      </c>
      <c r="AN188" s="493">
        <v>0</v>
      </c>
      <c r="AO188" s="493">
        <f>AH188+AJ188+AM188</f>
        <v>0</v>
      </c>
      <c r="AP188" s="493">
        <f>AI188+AN188</f>
        <v>0</v>
      </c>
      <c r="AQ188" s="495">
        <f t="shared" si="163"/>
        <v>0</v>
      </c>
      <c r="AR188" s="501">
        <f>I188+AG188</f>
        <v>900094</v>
      </c>
      <c r="AS188" s="492">
        <f>J188+V188</f>
        <v>660032</v>
      </c>
      <c r="AT188" s="492">
        <f t="shared" si="203"/>
        <v>0</v>
      </c>
      <c r="AU188" s="492">
        <f t="shared" si="204"/>
        <v>223091</v>
      </c>
      <c r="AV188" s="492">
        <f t="shared" si="204"/>
        <v>13201</v>
      </c>
      <c r="AW188" s="492">
        <f>N188+AF188</f>
        <v>3770</v>
      </c>
      <c r="AX188" s="493">
        <f>O188+AQ188</f>
        <v>2.08</v>
      </c>
      <c r="AY188" s="493">
        <f t="shared" si="205"/>
        <v>0</v>
      </c>
      <c r="AZ188" s="495">
        <f t="shared" si="205"/>
        <v>2.08</v>
      </c>
    </row>
    <row r="189" spans="1:52" ht="12.95" customHeight="1" x14ac:dyDescent="0.25">
      <c r="A189" s="313">
        <v>37</v>
      </c>
      <c r="B189" s="229">
        <v>5455</v>
      </c>
      <c r="C189" s="229">
        <v>600099067</v>
      </c>
      <c r="D189" s="314">
        <v>70986088</v>
      </c>
      <c r="E189" s="410" t="s">
        <v>555</v>
      </c>
      <c r="F189" s="421">
        <v>3143</v>
      </c>
      <c r="G189" s="356" t="s">
        <v>629</v>
      </c>
      <c r="H189" s="318" t="s">
        <v>278</v>
      </c>
      <c r="I189" s="494">
        <v>351317</v>
      </c>
      <c r="J189" s="489">
        <v>258702</v>
      </c>
      <c r="K189" s="489">
        <v>0</v>
      </c>
      <c r="L189" s="489">
        <v>87441</v>
      </c>
      <c r="M189" s="489">
        <v>5174</v>
      </c>
      <c r="N189" s="489">
        <v>0</v>
      </c>
      <c r="O189" s="490">
        <v>0.54159999999999997</v>
      </c>
      <c r="P189" s="491">
        <v>0.54159999999999997</v>
      </c>
      <c r="Q189" s="500">
        <v>0</v>
      </c>
      <c r="R189" s="502">
        <f t="shared" si="159"/>
        <v>0</v>
      </c>
      <c r="S189" s="492">
        <v>0</v>
      </c>
      <c r="T189" s="492">
        <v>0</v>
      </c>
      <c r="U189" s="492">
        <v>0</v>
      </c>
      <c r="V189" s="492">
        <f t="shared" si="160"/>
        <v>0</v>
      </c>
      <c r="W189" s="492">
        <v>0</v>
      </c>
      <c r="X189" s="492">
        <v>0</v>
      </c>
      <c r="Y189" s="492">
        <v>0</v>
      </c>
      <c r="Z189" s="492">
        <f>SUM(W189:Y189)</f>
        <v>0</v>
      </c>
      <c r="AA189" s="492">
        <f>V189+Z189</f>
        <v>0</v>
      </c>
      <c r="AB189" s="74">
        <f>ROUND((V189+W189+X189)*33.8%,0)</f>
        <v>0</v>
      </c>
      <c r="AC189" s="74">
        <f>ROUND(V189*2%,0)</f>
        <v>0</v>
      </c>
      <c r="AD189" s="492">
        <v>0</v>
      </c>
      <c r="AE189" s="492">
        <v>0</v>
      </c>
      <c r="AF189" s="492">
        <f t="shared" si="161"/>
        <v>0</v>
      </c>
      <c r="AG189" s="492">
        <f t="shared" si="162"/>
        <v>0</v>
      </c>
      <c r="AH189" s="493">
        <v>0</v>
      </c>
      <c r="AI189" s="493">
        <v>0</v>
      </c>
      <c r="AJ189" s="493">
        <v>0</v>
      </c>
      <c r="AK189" s="493">
        <v>0</v>
      </c>
      <c r="AL189" s="493">
        <v>0</v>
      </c>
      <c r="AM189" s="493">
        <v>0</v>
      </c>
      <c r="AN189" s="493">
        <v>0</v>
      </c>
      <c r="AO189" s="493">
        <f>AH189+AJ189+AM189</f>
        <v>0</v>
      </c>
      <c r="AP189" s="493">
        <f>AI189+AN189</f>
        <v>0</v>
      </c>
      <c r="AQ189" s="495">
        <f t="shared" si="163"/>
        <v>0</v>
      </c>
      <c r="AR189" s="501">
        <f>I189+AG189</f>
        <v>351317</v>
      </c>
      <c r="AS189" s="492">
        <f>J189+V189</f>
        <v>258702</v>
      </c>
      <c r="AT189" s="492">
        <f t="shared" si="203"/>
        <v>0</v>
      </c>
      <c r="AU189" s="492">
        <f t="shared" si="204"/>
        <v>87441</v>
      </c>
      <c r="AV189" s="492">
        <f t="shared" si="204"/>
        <v>5174</v>
      </c>
      <c r="AW189" s="492">
        <f>N189+AF189</f>
        <v>0</v>
      </c>
      <c r="AX189" s="493">
        <f>O189+AQ189</f>
        <v>0.54159999999999997</v>
      </c>
      <c r="AY189" s="493">
        <f t="shared" si="205"/>
        <v>0.54159999999999997</v>
      </c>
      <c r="AZ189" s="495">
        <f t="shared" si="205"/>
        <v>0</v>
      </c>
    </row>
    <row r="190" spans="1:52" ht="12.95" customHeight="1" x14ac:dyDescent="0.25">
      <c r="A190" s="313">
        <v>37</v>
      </c>
      <c r="B190" s="229">
        <v>5455</v>
      </c>
      <c r="C190" s="229">
        <v>600099067</v>
      </c>
      <c r="D190" s="314">
        <v>70986088</v>
      </c>
      <c r="E190" s="410" t="s">
        <v>555</v>
      </c>
      <c r="F190" s="421">
        <v>3143</v>
      </c>
      <c r="G190" s="356" t="s">
        <v>630</v>
      </c>
      <c r="H190" s="318" t="s">
        <v>279</v>
      </c>
      <c r="I190" s="494">
        <v>17388</v>
      </c>
      <c r="J190" s="489">
        <v>12296</v>
      </c>
      <c r="K190" s="489">
        <v>0</v>
      </c>
      <c r="L190" s="489">
        <v>4156</v>
      </c>
      <c r="M190" s="489">
        <v>246</v>
      </c>
      <c r="N190" s="489">
        <v>690</v>
      </c>
      <c r="O190" s="490">
        <v>0.05</v>
      </c>
      <c r="P190" s="491">
        <v>0</v>
      </c>
      <c r="Q190" s="500">
        <v>0.05</v>
      </c>
      <c r="R190" s="502">
        <f t="shared" si="159"/>
        <v>0</v>
      </c>
      <c r="S190" s="492">
        <v>0</v>
      </c>
      <c r="T190" s="492">
        <v>0</v>
      </c>
      <c r="U190" s="492">
        <v>0</v>
      </c>
      <c r="V190" s="492">
        <f t="shared" si="160"/>
        <v>0</v>
      </c>
      <c r="W190" s="492">
        <v>0</v>
      </c>
      <c r="X190" s="492">
        <v>0</v>
      </c>
      <c r="Y190" s="492">
        <v>0</v>
      </c>
      <c r="Z190" s="492">
        <f>SUM(W190:Y190)</f>
        <v>0</v>
      </c>
      <c r="AA190" s="492">
        <f>V190+Z190</f>
        <v>0</v>
      </c>
      <c r="AB190" s="74">
        <f>ROUND((V190+W190+X190)*33.8%,0)</f>
        <v>0</v>
      </c>
      <c r="AC190" s="74">
        <f>ROUND(V190*2%,0)</f>
        <v>0</v>
      </c>
      <c r="AD190" s="492">
        <v>0</v>
      </c>
      <c r="AE190" s="492">
        <v>0</v>
      </c>
      <c r="AF190" s="492">
        <f t="shared" si="161"/>
        <v>0</v>
      </c>
      <c r="AG190" s="492">
        <f t="shared" si="162"/>
        <v>0</v>
      </c>
      <c r="AH190" s="493">
        <v>0</v>
      </c>
      <c r="AI190" s="493">
        <v>0</v>
      </c>
      <c r="AJ190" s="493">
        <v>0</v>
      </c>
      <c r="AK190" s="493">
        <v>0</v>
      </c>
      <c r="AL190" s="493">
        <v>0</v>
      </c>
      <c r="AM190" s="493">
        <v>0</v>
      </c>
      <c r="AN190" s="493">
        <v>0</v>
      </c>
      <c r="AO190" s="493">
        <f>AH190+AJ190+AM190</f>
        <v>0</v>
      </c>
      <c r="AP190" s="493">
        <f>AI190+AN190</f>
        <v>0</v>
      </c>
      <c r="AQ190" s="495">
        <f t="shared" si="163"/>
        <v>0</v>
      </c>
      <c r="AR190" s="501">
        <f>I190+AG190</f>
        <v>17388</v>
      </c>
      <c r="AS190" s="492">
        <f>J190+V190</f>
        <v>12296</v>
      </c>
      <c r="AT190" s="492">
        <f t="shared" si="203"/>
        <v>0</v>
      </c>
      <c r="AU190" s="492">
        <f t="shared" si="204"/>
        <v>4156</v>
      </c>
      <c r="AV190" s="492">
        <f t="shared" si="204"/>
        <v>246</v>
      </c>
      <c r="AW190" s="492">
        <f>N190+AF190</f>
        <v>690</v>
      </c>
      <c r="AX190" s="493">
        <f>O190+AQ190</f>
        <v>0.05</v>
      </c>
      <c r="AY190" s="493">
        <f t="shared" si="205"/>
        <v>0</v>
      </c>
      <c r="AZ190" s="495">
        <f t="shared" si="205"/>
        <v>0.05</v>
      </c>
    </row>
    <row r="191" spans="1:52" ht="12.95" customHeight="1" x14ac:dyDescent="0.25">
      <c r="A191" s="231">
        <v>37</v>
      </c>
      <c r="B191" s="50">
        <v>5455</v>
      </c>
      <c r="C191" s="50">
        <v>600099067</v>
      </c>
      <c r="D191" s="50">
        <v>70986088</v>
      </c>
      <c r="E191" s="422" t="s">
        <v>556</v>
      </c>
      <c r="F191" s="423"/>
      <c r="G191" s="422"/>
      <c r="H191" s="424"/>
      <c r="I191" s="635">
        <v>7491083</v>
      </c>
      <c r="J191" s="631">
        <v>5460156</v>
      </c>
      <c r="K191" s="631">
        <v>0</v>
      </c>
      <c r="L191" s="631">
        <v>1845533</v>
      </c>
      <c r="M191" s="631">
        <v>109204</v>
      </c>
      <c r="N191" s="631">
        <v>76190</v>
      </c>
      <c r="O191" s="632">
        <v>11.690900000000003</v>
      </c>
      <c r="P191" s="632">
        <v>7.0415999999999999</v>
      </c>
      <c r="Q191" s="637">
        <v>4.6492999999999993</v>
      </c>
      <c r="R191" s="635">
        <f t="shared" ref="R191:AZ191" si="206">SUM(R186:R190)</f>
        <v>0</v>
      </c>
      <c r="S191" s="631">
        <f t="shared" si="206"/>
        <v>0</v>
      </c>
      <c r="T191" s="631">
        <f t="shared" si="206"/>
        <v>0</v>
      </c>
      <c r="U191" s="631">
        <f t="shared" si="206"/>
        <v>0</v>
      </c>
      <c r="V191" s="631">
        <f t="shared" si="206"/>
        <v>0</v>
      </c>
      <c r="W191" s="631">
        <f t="shared" si="206"/>
        <v>0</v>
      </c>
      <c r="X191" s="631">
        <f t="shared" si="206"/>
        <v>0</v>
      </c>
      <c r="Y191" s="631">
        <f t="shared" si="206"/>
        <v>0</v>
      </c>
      <c r="Z191" s="631">
        <f t="shared" si="206"/>
        <v>0</v>
      </c>
      <c r="AA191" s="631">
        <f t="shared" si="206"/>
        <v>0</v>
      </c>
      <c r="AB191" s="631">
        <f t="shared" si="206"/>
        <v>0</v>
      </c>
      <c r="AC191" s="631">
        <f t="shared" si="206"/>
        <v>0</v>
      </c>
      <c r="AD191" s="631">
        <f t="shared" si="206"/>
        <v>0</v>
      </c>
      <c r="AE191" s="631">
        <f t="shared" si="206"/>
        <v>0</v>
      </c>
      <c r="AF191" s="631">
        <f t="shared" si="206"/>
        <v>0</v>
      </c>
      <c r="AG191" s="631">
        <f t="shared" si="206"/>
        <v>0</v>
      </c>
      <c r="AH191" s="632">
        <f t="shared" si="206"/>
        <v>0</v>
      </c>
      <c r="AI191" s="632">
        <f t="shared" si="206"/>
        <v>0</v>
      </c>
      <c r="AJ191" s="632">
        <f t="shared" si="206"/>
        <v>0</v>
      </c>
      <c r="AK191" s="632">
        <f t="shared" si="206"/>
        <v>0</v>
      </c>
      <c r="AL191" s="632">
        <f t="shared" si="206"/>
        <v>0</v>
      </c>
      <c r="AM191" s="632">
        <f t="shared" si="206"/>
        <v>0</v>
      </c>
      <c r="AN191" s="632">
        <f t="shared" si="206"/>
        <v>0</v>
      </c>
      <c r="AO191" s="632">
        <f t="shared" si="206"/>
        <v>0</v>
      </c>
      <c r="AP191" s="632">
        <f t="shared" si="206"/>
        <v>0</v>
      </c>
      <c r="AQ191" s="414">
        <f t="shared" si="206"/>
        <v>0</v>
      </c>
      <c r="AR191" s="639">
        <f t="shared" si="206"/>
        <v>7491083</v>
      </c>
      <c r="AS191" s="631">
        <f t="shared" si="206"/>
        <v>5460156</v>
      </c>
      <c r="AT191" s="631">
        <f t="shared" si="206"/>
        <v>0</v>
      </c>
      <c r="AU191" s="631">
        <f t="shared" si="206"/>
        <v>1845533</v>
      </c>
      <c r="AV191" s="631">
        <f t="shared" si="206"/>
        <v>109204</v>
      </c>
      <c r="AW191" s="631">
        <f t="shared" si="206"/>
        <v>76190</v>
      </c>
      <c r="AX191" s="632">
        <f t="shared" si="206"/>
        <v>11.690900000000003</v>
      </c>
      <c r="AY191" s="632">
        <f t="shared" si="206"/>
        <v>7.0415999999999999</v>
      </c>
      <c r="AZ191" s="414">
        <f t="shared" si="206"/>
        <v>4.6492999999999993</v>
      </c>
    </row>
    <row r="192" spans="1:52" ht="12.95" customHeight="1" x14ac:dyDescent="0.25">
      <c r="A192" s="313">
        <v>38</v>
      </c>
      <c r="B192" s="229">
        <v>5470</v>
      </c>
      <c r="C192" s="229">
        <v>600099091</v>
      </c>
      <c r="D192" s="314">
        <v>70695822</v>
      </c>
      <c r="E192" s="411" t="s">
        <v>557</v>
      </c>
      <c r="F192" s="229">
        <v>3111</v>
      </c>
      <c r="G192" s="412" t="s">
        <v>326</v>
      </c>
      <c r="H192" s="318" t="s">
        <v>278</v>
      </c>
      <c r="I192" s="494">
        <v>2679749</v>
      </c>
      <c r="J192" s="489">
        <v>1957623</v>
      </c>
      <c r="K192" s="489">
        <v>6500</v>
      </c>
      <c r="L192" s="489">
        <v>663874</v>
      </c>
      <c r="M192" s="489">
        <v>39152</v>
      </c>
      <c r="N192" s="489">
        <v>12600</v>
      </c>
      <c r="O192" s="490">
        <v>4.7282999999999999</v>
      </c>
      <c r="P192" s="491">
        <v>3.8065000000000002</v>
      </c>
      <c r="Q192" s="500">
        <v>0.92179999999999995</v>
      </c>
      <c r="R192" s="502">
        <f t="shared" si="159"/>
        <v>0</v>
      </c>
      <c r="S192" s="492">
        <v>0</v>
      </c>
      <c r="T192" s="492">
        <v>0</v>
      </c>
      <c r="U192" s="492">
        <v>0</v>
      </c>
      <c r="V192" s="492">
        <f t="shared" si="160"/>
        <v>0</v>
      </c>
      <c r="W192" s="713">
        <v>0</v>
      </c>
      <c r="X192" s="492">
        <v>0</v>
      </c>
      <c r="Y192" s="492">
        <v>0</v>
      </c>
      <c r="Z192" s="492">
        <f t="shared" ref="Z192:Z197" si="207">SUM(W192:Y192)</f>
        <v>0</v>
      </c>
      <c r="AA192" s="492">
        <f t="shared" ref="AA192:AA197" si="208">V192+Z192</f>
        <v>0</v>
      </c>
      <c r="AB192" s="74">
        <f t="shared" ref="AB192:AB197" si="209">ROUND((V192+W192+X192)*33.8%,0)</f>
        <v>0</v>
      </c>
      <c r="AC192" s="74">
        <f t="shared" ref="AC192:AC197" si="210">ROUND(V192*2%,0)</f>
        <v>0</v>
      </c>
      <c r="AD192" s="492">
        <v>0</v>
      </c>
      <c r="AE192" s="492">
        <v>0</v>
      </c>
      <c r="AF192" s="492">
        <f t="shared" si="161"/>
        <v>0</v>
      </c>
      <c r="AG192" s="492">
        <f t="shared" si="162"/>
        <v>0</v>
      </c>
      <c r="AH192" s="493">
        <v>0</v>
      </c>
      <c r="AI192" s="493">
        <v>0</v>
      </c>
      <c r="AJ192" s="493">
        <v>0</v>
      </c>
      <c r="AK192" s="493">
        <v>0</v>
      </c>
      <c r="AL192" s="493">
        <v>0</v>
      </c>
      <c r="AM192" s="493">
        <v>0</v>
      </c>
      <c r="AN192" s="493">
        <v>0</v>
      </c>
      <c r="AO192" s="493">
        <f t="shared" ref="AO192:AO197" si="211">AH192+AJ192+AM192</f>
        <v>0</v>
      </c>
      <c r="AP192" s="493">
        <f t="shared" ref="AP192:AP197" si="212">AI192+AN192</f>
        <v>0</v>
      </c>
      <c r="AQ192" s="495">
        <f t="shared" si="163"/>
        <v>0</v>
      </c>
      <c r="AR192" s="501">
        <f t="shared" ref="AR192:AR197" si="213">I192+AG192</f>
        <v>2679749</v>
      </c>
      <c r="AS192" s="492">
        <f t="shared" ref="AS192:AS197" si="214">J192+V192</f>
        <v>1957623</v>
      </c>
      <c r="AT192" s="492">
        <f t="shared" ref="AT192:AT197" si="215">K192+Z192</f>
        <v>6500</v>
      </c>
      <c r="AU192" s="492">
        <f t="shared" ref="AU192:AV197" si="216">L192+AB192</f>
        <v>663874</v>
      </c>
      <c r="AV192" s="492">
        <f t="shared" si="216"/>
        <v>39152</v>
      </c>
      <c r="AW192" s="492">
        <f t="shared" ref="AW192:AW197" si="217">N192+AF192</f>
        <v>12600</v>
      </c>
      <c r="AX192" s="493">
        <f t="shared" ref="AX192:AX197" si="218">O192+AQ192</f>
        <v>4.7282999999999999</v>
      </c>
      <c r="AY192" s="493">
        <f t="shared" ref="AY192:AZ197" si="219">P192+AO192</f>
        <v>3.8065000000000002</v>
      </c>
      <c r="AZ192" s="495">
        <f t="shared" si="219"/>
        <v>0.92179999999999995</v>
      </c>
    </row>
    <row r="193" spans="1:52" ht="12.95" customHeight="1" x14ac:dyDescent="0.25">
      <c r="A193" s="313">
        <v>38</v>
      </c>
      <c r="B193" s="229">
        <v>5470</v>
      </c>
      <c r="C193" s="229">
        <v>600099091</v>
      </c>
      <c r="D193" s="314">
        <v>70695822</v>
      </c>
      <c r="E193" s="411" t="s">
        <v>557</v>
      </c>
      <c r="F193" s="229">
        <v>3117</v>
      </c>
      <c r="G193" s="411" t="s">
        <v>330</v>
      </c>
      <c r="H193" s="318" t="s">
        <v>278</v>
      </c>
      <c r="I193" s="494">
        <v>4760096</v>
      </c>
      <c r="J193" s="489">
        <v>3303578</v>
      </c>
      <c r="K193" s="489">
        <v>140760</v>
      </c>
      <c r="L193" s="489">
        <v>1164186</v>
      </c>
      <c r="M193" s="489">
        <v>66072</v>
      </c>
      <c r="N193" s="489">
        <v>85500</v>
      </c>
      <c r="O193" s="490">
        <v>6.7881999999999998</v>
      </c>
      <c r="P193" s="491">
        <v>4.7982000000000005</v>
      </c>
      <c r="Q193" s="500">
        <v>1.9899999999999998</v>
      </c>
      <c r="R193" s="502">
        <f t="shared" si="159"/>
        <v>0</v>
      </c>
      <c r="S193" s="492">
        <v>0</v>
      </c>
      <c r="T193" s="492">
        <v>0</v>
      </c>
      <c r="U193" s="492">
        <v>0</v>
      </c>
      <c r="V193" s="492">
        <f t="shared" si="160"/>
        <v>0</v>
      </c>
      <c r="W193" s="713">
        <v>0</v>
      </c>
      <c r="X193" s="492">
        <v>0</v>
      </c>
      <c r="Y193" s="492">
        <v>0</v>
      </c>
      <c r="Z193" s="492">
        <f t="shared" si="207"/>
        <v>0</v>
      </c>
      <c r="AA193" s="492">
        <f t="shared" si="208"/>
        <v>0</v>
      </c>
      <c r="AB193" s="74">
        <f t="shared" si="209"/>
        <v>0</v>
      </c>
      <c r="AC193" s="74">
        <f t="shared" si="210"/>
        <v>0</v>
      </c>
      <c r="AD193" s="492">
        <v>0</v>
      </c>
      <c r="AE193" s="492">
        <v>0</v>
      </c>
      <c r="AF193" s="492">
        <f t="shared" si="161"/>
        <v>0</v>
      </c>
      <c r="AG193" s="492">
        <f t="shared" si="162"/>
        <v>0</v>
      </c>
      <c r="AH193" s="493">
        <v>0</v>
      </c>
      <c r="AI193" s="493">
        <v>0</v>
      </c>
      <c r="AJ193" s="493">
        <v>0</v>
      </c>
      <c r="AK193" s="493">
        <v>0</v>
      </c>
      <c r="AL193" s="493">
        <v>0</v>
      </c>
      <c r="AM193" s="493">
        <v>0</v>
      </c>
      <c r="AN193" s="493">
        <v>0</v>
      </c>
      <c r="AO193" s="493">
        <f t="shared" si="211"/>
        <v>0</v>
      </c>
      <c r="AP193" s="493">
        <f t="shared" si="212"/>
        <v>0</v>
      </c>
      <c r="AQ193" s="495">
        <f t="shared" si="163"/>
        <v>0</v>
      </c>
      <c r="AR193" s="501">
        <f t="shared" si="213"/>
        <v>4760096</v>
      </c>
      <c r="AS193" s="492">
        <f t="shared" si="214"/>
        <v>3303578</v>
      </c>
      <c r="AT193" s="492">
        <f t="shared" si="215"/>
        <v>140760</v>
      </c>
      <c r="AU193" s="492">
        <f t="shared" si="216"/>
        <v>1164186</v>
      </c>
      <c r="AV193" s="492">
        <f t="shared" si="216"/>
        <v>66072</v>
      </c>
      <c r="AW193" s="492">
        <f t="shared" si="217"/>
        <v>85500</v>
      </c>
      <c r="AX193" s="493">
        <f t="shared" si="218"/>
        <v>6.7881999999999998</v>
      </c>
      <c r="AY193" s="493">
        <f t="shared" si="219"/>
        <v>4.7982000000000005</v>
      </c>
      <c r="AZ193" s="495">
        <f t="shared" si="219"/>
        <v>1.9899999999999998</v>
      </c>
    </row>
    <row r="194" spans="1:52" ht="12.95" customHeight="1" x14ac:dyDescent="0.25">
      <c r="A194" s="313">
        <v>38</v>
      </c>
      <c r="B194" s="415">
        <v>5470</v>
      </c>
      <c r="C194" s="415">
        <v>600099091</v>
      </c>
      <c r="D194" s="314">
        <v>70695822</v>
      </c>
      <c r="E194" s="411" t="s">
        <v>557</v>
      </c>
      <c r="F194" s="229">
        <v>3117</v>
      </c>
      <c r="G194" s="356" t="s">
        <v>313</v>
      </c>
      <c r="H194" s="318" t="s">
        <v>279</v>
      </c>
      <c r="I194" s="494">
        <v>1929529</v>
      </c>
      <c r="J194" s="489">
        <v>1415338</v>
      </c>
      <c r="K194" s="489">
        <v>0</v>
      </c>
      <c r="L194" s="489">
        <v>478384</v>
      </c>
      <c r="M194" s="489">
        <v>28307</v>
      </c>
      <c r="N194" s="489">
        <v>7500</v>
      </c>
      <c r="O194" s="490">
        <v>4.07</v>
      </c>
      <c r="P194" s="491">
        <v>4.07</v>
      </c>
      <c r="Q194" s="500">
        <v>0</v>
      </c>
      <c r="R194" s="502">
        <f t="shared" si="159"/>
        <v>0</v>
      </c>
      <c r="S194" s="492">
        <v>0</v>
      </c>
      <c r="T194" s="492">
        <v>0</v>
      </c>
      <c r="U194" s="492">
        <v>0</v>
      </c>
      <c r="V194" s="492">
        <f t="shared" si="160"/>
        <v>0</v>
      </c>
      <c r="W194" s="713">
        <v>0</v>
      </c>
      <c r="X194" s="492">
        <v>0</v>
      </c>
      <c r="Y194" s="492">
        <v>0</v>
      </c>
      <c r="Z194" s="492">
        <f t="shared" si="207"/>
        <v>0</v>
      </c>
      <c r="AA194" s="492">
        <f t="shared" si="208"/>
        <v>0</v>
      </c>
      <c r="AB194" s="74">
        <f t="shared" si="209"/>
        <v>0</v>
      </c>
      <c r="AC194" s="74">
        <f t="shared" si="210"/>
        <v>0</v>
      </c>
      <c r="AD194" s="492">
        <v>0</v>
      </c>
      <c r="AE194" s="492">
        <v>0</v>
      </c>
      <c r="AF194" s="492">
        <f t="shared" si="161"/>
        <v>0</v>
      </c>
      <c r="AG194" s="492">
        <f t="shared" si="162"/>
        <v>0</v>
      </c>
      <c r="AH194" s="493">
        <v>0</v>
      </c>
      <c r="AI194" s="493">
        <v>0</v>
      </c>
      <c r="AJ194" s="493">
        <v>0</v>
      </c>
      <c r="AK194" s="493">
        <v>0</v>
      </c>
      <c r="AL194" s="493">
        <v>0</v>
      </c>
      <c r="AM194" s="493">
        <v>0</v>
      </c>
      <c r="AN194" s="493">
        <v>0</v>
      </c>
      <c r="AO194" s="493">
        <f t="shared" si="211"/>
        <v>0</v>
      </c>
      <c r="AP194" s="493">
        <f t="shared" si="212"/>
        <v>0</v>
      </c>
      <c r="AQ194" s="495">
        <f t="shared" si="163"/>
        <v>0</v>
      </c>
      <c r="AR194" s="501">
        <f t="shared" si="213"/>
        <v>1929529</v>
      </c>
      <c r="AS194" s="492">
        <f t="shared" si="214"/>
        <v>1415338</v>
      </c>
      <c r="AT194" s="492">
        <f t="shared" si="215"/>
        <v>0</v>
      </c>
      <c r="AU194" s="492">
        <f t="shared" si="216"/>
        <v>478384</v>
      </c>
      <c r="AV194" s="492">
        <f t="shared" si="216"/>
        <v>28307</v>
      </c>
      <c r="AW194" s="492">
        <f t="shared" si="217"/>
        <v>7500</v>
      </c>
      <c r="AX194" s="493">
        <f t="shared" si="218"/>
        <v>4.07</v>
      </c>
      <c r="AY194" s="493">
        <f t="shared" si="219"/>
        <v>4.07</v>
      </c>
      <c r="AZ194" s="495">
        <f t="shared" si="219"/>
        <v>0</v>
      </c>
    </row>
    <row r="195" spans="1:52" ht="12.95" customHeight="1" x14ac:dyDescent="0.25">
      <c r="A195" s="313">
        <v>38</v>
      </c>
      <c r="B195" s="229">
        <v>5470</v>
      </c>
      <c r="C195" s="229">
        <v>600099091</v>
      </c>
      <c r="D195" s="314">
        <v>70695822</v>
      </c>
      <c r="E195" s="410" t="s">
        <v>557</v>
      </c>
      <c r="F195" s="421">
        <v>3141</v>
      </c>
      <c r="G195" s="412" t="s">
        <v>316</v>
      </c>
      <c r="H195" s="318" t="s">
        <v>279</v>
      </c>
      <c r="I195" s="494">
        <v>982104</v>
      </c>
      <c r="J195" s="489">
        <v>719205</v>
      </c>
      <c r="K195" s="489">
        <v>0</v>
      </c>
      <c r="L195" s="489">
        <v>243091</v>
      </c>
      <c r="M195" s="489">
        <v>14384</v>
      </c>
      <c r="N195" s="489">
        <v>5424</v>
      </c>
      <c r="O195" s="490">
        <v>2.27</v>
      </c>
      <c r="P195" s="491">
        <v>0</v>
      </c>
      <c r="Q195" s="500">
        <v>2.27</v>
      </c>
      <c r="R195" s="502">
        <f t="shared" si="159"/>
        <v>0</v>
      </c>
      <c r="S195" s="492">
        <v>0</v>
      </c>
      <c r="T195" s="492">
        <v>0</v>
      </c>
      <c r="U195" s="492">
        <v>0</v>
      </c>
      <c r="V195" s="492">
        <f t="shared" si="160"/>
        <v>0</v>
      </c>
      <c r="W195" s="713">
        <v>0</v>
      </c>
      <c r="X195" s="492">
        <v>0</v>
      </c>
      <c r="Y195" s="492">
        <v>0</v>
      </c>
      <c r="Z195" s="492">
        <f t="shared" si="207"/>
        <v>0</v>
      </c>
      <c r="AA195" s="492">
        <f t="shared" si="208"/>
        <v>0</v>
      </c>
      <c r="AB195" s="74">
        <f t="shared" si="209"/>
        <v>0</v>
      </c>
      <c r="AC195" s="74">
        <f t="shared" si="210"/>
        <v>0</v>
      </c>
      <c r="AD195" s="492">
        <v>0</v>
      </c>
      <c r="AE195" s="492">
        <v>0</v>
      </c>
      <c r="AF195" s="492">
        <f t="shared" si="161"/>
        <v>0</v>
      </c>
      <c r="AG195" s="492">
        <f t="shared" si="162"/>
        <v>0</v>
      </c>
      <c r="AH195" s="493">
        <v>0</v>
      </c>
      <c r="AI195" s="493">
        <v>0</v>
      </c>
      <c r="AJ195" s="493">
        <v>0</v>
      </c>
      <c r="AK195" s="493">
        <v>0</v>
      </c>
      <c r="AL195" s="493">
        <v>0</v>
      </c>
      <c r="AM195" s="493">
        <v>0</v>
      </c>
      <c r="AN195" s="493">
        <v>0</v>
      </c>
      <c r="AO195" s="493">
        <f t="shared" si="211"/>
        <v>0</v>
      </c>
      <c r="AP195" s="493">
        <f t="shared" si="212"/>
        <v>0</v>
      </c>
      <c r="AQ195" s="495">
        <f t="shared" si="163"/>
        <v>0</v>
      </c>
      <c r="AR195" s="501">
        <f t="shared" si="213"/>
        <v>982104</v>
      </c>
      <c r="AS195" s="492">
        <f t="shared" si="214"/>
        <v>719205</v>
      </c>
      <c r="AT195" s="492">
        <f t="shared" si="215"/>
        <v>0</v>
      </c>
      <c r="AU195" s="492">
        <f t="shared" si="216"/>
        <v>243091</v>
      </c>
      <c r="AV195" s="492">
        <f t="shared" si="216"/>
        <v>14384</v>
      </c>
      <c r="AW195" s="492">
        <f t="shared" si="217"/>
        <v>5424</v>
      </c>
      <c r="AX195" s="493">
        <f t="shared" si="218"/>
        <v>2.27</v>
      </c>
      <c r="AY195" s="493">
        <f t="shared" si="219"/>
        <v>0</v>
      </c>
      <c r="AZ195" s="495">
        <f t="shared" si="219"/>
        <v>2.27</v>
      </c>
    </row>
    <row r="196" spans="1:52" ht="12.95" customHeight="1" x14ac:dyDescent="0.25">
      <c r="A196" s="313">
        <v>38</v>
      </c>
      <c r="B196" s="415">
        <v>5470</v>
      </c>
      <c r="C196" s="415">
        <v>600099091</v>
      </c>
      <c r="D196" s="314">
        <v>70695822</v>
      </c>
      <c r="E196" s="411" t="s">
        <v>557</v>
      </c>
      <c r="F196" s="229">
        <v>3143</v>
      </c>
      <c r="G196" s="356" t="s">
        <v>629</v>
      </c>
      <c r="H196" s="318" t="s">
        <v>278</v>
      </c>
      <c r="I196" s="494">
        <v>668873</v>
      </c>
      <c r="J196" s="489">
        <v>486138</v>
      </c>
      <c r="K196" s="489">
        <v>6500</v>
      </c>
      <c r="L196" s="489">
        <v>166512</v>
      </c>
      <c r="M196" s="489">
        <v>9723</v>
      </c>
      <c r="N196" s="489">
        <v>0</v>
      </c>
      <c r="O196" s="490">
        <v>0.98250000000000004</v>
      </c>
      <c r="P196" s="491">
        <v>0.98250000000000004</v>
      </c>
      <c r="Q196" s="500">
        <v>0</v>
      </c>
      <c r="R196" s="502">
        <f t="shared" si="159"/>
        <v>0</v>
      </c>
      <c r="S196" s="492">
        <v>0</v>
      </c>
      <c r="T196" s="492">
        <v>0</v>
      </c>
      <c r="U196" s="492">
        <v>0</v>
      </c>
      <c r="V196" s="492">
        <f t="shared" si="160"/>
        <v>0</v>
      </c>
      <c r="W196" s="713">
        <v>0</v>
      </c>
      <c r="X196" s="492">
        <v>0</v>
      </c>
      <c r="Y196" s="492">
        <v>0</v>
      </c>
      <c r="Z196" s="492">
        <f t="shared" si="207"/>
        <v>0</v>
      </c>
      <c r="AA196" s="492">
        <f t="shared" si="208"/>
        <v>0</v>
      </c>
      <c r="AB196" s="74">
        <f t="shared" si="209"/>
        <v>0</v>
      </c>
      <c r="AC196" s="74">
        <f t="shared" si="210"/>
        <v>0</v>
      </c>
      <c r="AD196" s="492">
        <v>0</v>
      </c>
      <c r="AE196" s="492">
        <v>0</v>
      </c>
      <c r="AF196" s="492">
        <f t="shared" si="161"/>
        <v>0</v>
      </c>
      <c r="AG196" s="492">
        <f t="shared" si="162"/>
        <v>0</v>
      </c>
      <c r="AH196" s="493">
        <v>0</v>
      </c>
      <c r="AI196" s="493">
        <v>0</v>
      </c>
      <c r="AJ196" s="493">
        <v>0</v>
      </c>
      <c r="AK196" s="493">
        <v>0</v>
      </c>
      <c r="AL196" s="493">
        <v>0</v>
      </c>
      <c r="AM196" s="493">
        <v>0</v>
      </c>
      <c r="AN196" s="493">
        <v>0</v>
      </c>
      <c r="AO196" s="493">
        <f t="shared" si="211"/>
        <v>0</v>
      </c>
      <c r="AP196" s="493">
        <f t="shared" si="212"/>
        <v>0</v>
      </c>
      <c r="AQ196" s="495">
        <f t="shared" si="163"/>
        <v>0</v>
      </c>
      <c r="AR196" s="501">
        <f t="shared" si="213"/>
        <v>668873</v>
      </c>
      <c r="AS196" s="492">
        <f t="shared" si="214"/>
        <v>486138</v>
      </c>
      <c r="AT196" s="492">
        <f t="shared" si="215"/>
        <v>6500</v>
      </c>
      <c r="AU196" s="492">
        <f t="shared" si="216"/>
        <v>166512</v>
      </c>
      <c r="AV196" s="492">
        <f t="shared" si="216"/>
        <v>9723</v>
      </c>
      <c r="AW196" s="492">
        <f t="shared" si="217"/>
        <v>0</v>
      </c>
      <c r="AX196" s="493">
        <f t="shared" si="218"/>
        <v>0.98250000000000004</v>
      </c>
      <c r="AY196" s="493">
        <f t="shared" si="219"/>
        <v>0.98250000000000004</v>
      </c>
      <c r="AZ196" s="495">
        <f t="shared" si="219"/>
        <v>0</v>
      </c>
    </row>
    <row r="197" spans="1:52" ht="12.95" customHeight="1" x14ac:dyDescent="0.25">
      <c r="A197" s="313">
        <v>38</v>
      </c>
      <c r="B197" s="415">
        <v>5470</v>
      </c>
      <c r="C197" s="415">
        <v>600099091</v>
      </c>
      <c r="D197" s="314">
        <v>70695822</v>
      </c>
      <c r="E197" s="411" t="s">
        <v>557</v>
      </c>
      <c r="F197" s="229">
        <v>3143</v>
      </c>
      <c r="G197" s="356" t="s">
        <v>630</v>
      </c>
      <c r="H197" s="318" t="s">
        <v>279</v>
      </c>
      <c r="I197" s="494">
        <v>22680</v>
      </c>
      <c r="J197" s="489">
        <v>16038</v>
      </c>
      <c r="K197" s="489">
        <v>0</v>
      </c>
      <c r="L197" s="489">
        <v>5421</v>
      </c>
      <c r="M197" s="489">
        <v>321</v>
      </c>
      <c r="N197" s="489">
        <v>900</v>
      </c>
      <c r="O197" s="490">
        <v>0.06</v>
      </c>
      <c r="P197" s="491">
        <v>0</v>
      </c>
      <c r="Q197" s="500">
        <v>0.06</v>
      </c>
      <c r="R197" s="502">
        <f t="shared" si="159"/>
        <v>0</v>
      </c>
      <c r="S197" s="492">
        <v>0</v>
      </c>
      <c r="T197" s="492">
        <v>0</v>
      </c>
      <c r="U197" s="492">
        <v>0</v>
      </c>
      <c r="V197" s="492">
        <f t="shared" si="160"/>
        <v>0</v>
      </c>
      <c r="W197" s="713">
        <v>0</v>
      </c>
      <c r="X197" s="492">
        <v>0</v>
      </c>
      <c r="Y197" s="492">
        <v>0</v>
      </c>
      <c r="Z197" s="492">
        <f t="shared" si="207"/>
        <v>0</v>
      </c>
      <c r="AA197" s="492">
        <f t="shared" si="208"/>
        <v>0</v>
      </c>
      <c r="AB197" s="74">
        <f t="shared" si="209"/>
        <v>0</v>
      </c>
      <c r="AC197" s="74">
        <f t="shared" si="210"/>
        <v>0</v>
      </c>
      <c r="AD197" s="492">
        <v>0</v>
      </c>
      <c r="AE197" s="492">
        <v>0</v>
      </c>
      <c r="AF197" s="492">
        <f t="shared" si="161"/>
        <v>0</v>
      </c>
      <c r="AG197" s="492">
        <f t="shared" si="162"/>
        <v>0</v>
      </c>
      <c r="AH197" s="493">
        <v>0</v>
      </c>
      <c r="AI197" s="493">
        <v>0</v>
      </c>
      <c r="AJ197" s="493">
        <v>0</v>
      </c>
      <c r="AK197" s="493">
        <v>0</v>
      </c>
      <c r="AL197" s="493">
        <v>0</v>
      </c>
      <c r="AM197" s="493">
        <v>0</v>
      </c>
      <c r="AN197" s="493">
        <v>0</v>
      </c>
      <c r="AO197" s="493">
        <f t="shared" si="211"/>
        <v>0</v>
      </c>
      <c r="AP197" s="493">
        <f t="shared" si="212"/>
        <v>0</v>
      </c>
      <c r="AQ197" s="495">
        <f t="shared" si="163"/>
        <v>0</v>
      </c>
      <c r="AR197" s="501">
        <f t="shared" si="213"/>
        <v>22680</v>
      </c>
      <c r="AS197" s="492">
        <f t="shared" si="214"/>
        <v>16038</v>
      </c>
      <c r="AT197" s="492">
        <f t="shared" si="215"/>
        <v>0</v>
      </c>
      <c r="AU197" s="492">
        <f t="shared" si="216"/>
        <v>5421</v>
      </c>
      <c r="AV197" s="492">
        <f t="shared" si="216"/>
        <v>321</v>
      </c>
      <c r="AW197" s="492">
        <f t="shared" si="217"/>
        <v>900</v>
      </c>
      <c r="AX197" s="493">
        <f t="shared" si="218"/>
        <v>0.06</v>
      </c>
      <c r="AY197" s="493">
        <f t="shared" si="219"/>
        <v>0</v>
      </c>
      <c r="AZ197" s="495">
        <f t="shared" si="219"/>
        <v>0.06</v>
      </c>
    </row>
    <row r="198" spans="1:52" ht="12.75" customHeight="1" thickBot="1" x14ac:dyDescent="0.3">
      <c r="A198" s="232">
        <v>38</v>
      </c>
      <c r="B198" s="177">
        <v>5470</v>
      </c>
      <c r="C198" s="177">
        <v>600099091</v>
      </c>
      <c r="D198" s="177">
        <v>70695822</v>
      </c>
      <c r="E198" s="429" t="s">
        <v>558</v>
      </c>
      <c r="F198" s="54"/>
      <c r="G198" s="429"/>
      <c r="H198" s="198"/>
      <c r="I198" s="619">
        <v>11043031</v>
      </c>
      <c r="J198" s="620">
        <v>7897920</v>
      </c>
      <c r="K198" s="620">
        <v>153760</v>
      </c>
      <c r="L198" s="620">
        <v>2721468</v>
      </c>
      <c r="M198" s="620">
        <v>157959</v>
      </c>
      <c r="N198" s="620">
        <v>111924</v>
      </c>
      <c r="O198" s="621">
        <v>18.899000000000001</v>
      </c>
      <c r="P198" s="621">
        <v>13.657200000000001</v>
      </c>
      <c r="Q198" s="622">
        <v>5.2417999999999987</v>
      </c>
      <c r="R198" s="619">
        <f t="shared" ref="R198:AZ198" si="220">SUM(R192:R197)</f>
        <v>0</v>
      </c>
      <c r="S198" s="620">
        <f t="shared" si="220"/>
        <v>0</v>
      </c>
      <c r="T198" s="620">
        <f t="shared" si="220"/>
        <v>0</v>
      </c>
      <c r="U198" s="620">
        <f t="shared" si="220"/>
        <v>0</v>
      </c>
      <c r="V198" s="620">
        <f t="shared" si="220"/>
        <v>0</v>
      </c>
      <c r="W198" s="620">
        <f t="shared" si="220"/>
        <v>0</v>
      </c>
      <c r="X198" s="620">
        <f t="shared" si="220"/>
        <v>0</v>
      </c>
      <c r="Y198" s="620">
        <f t="shared" si="220"/>
        <v>0</v>
      </c>
      <c r="Z198" s="620">
        <f t="shared" si="220"/>
        <v>0</v>
      </c>
      <c r="AA198" s="620">
        <f t="shared" si="220"/>
        <v>0</v>
      </c>
      <c r="AB198" s="620">
        <f t="shared" si="220"/>
        <v>0</v>
      </c>
      <c r="AC198" s="620">
        <f t="shared" si="220"/>
        <v>0</v>
      </c>
      <c r="AD198" s="620">
        <f t="shared" si="220"/>
        <v>0</v>
      </c>
      <c r="AE198" s="620">
        <f t="shared" si="220"/>
        <v>0</v>
      </c>
      <c r="AF198" s="620">
        <f t="shared" si="220"/>
        <v>0</v>
      </c>
      <c r="AG198" s="620">
        <f t="shared" si="220"/>
        <v>0</v>
      </c>
      <c r="AH198" s="621">
        <f t="shared" si="220"/>
        <v>0</v>
      </c>
      <c r="AI198" s="621">
        <f t="shared" si="220"/>
        <v>0</v>
      </c>
      <c r="AJ198" s="621">
        <f t="shared" si="220"/>
        <v>0</v>
      </c>
      <c r="AK198" s="621">
        <f t="shared" si="220"/>
        <v>0</v>
      </c>
      <c r="AL198" s="621">
        <f t="shared" si="220"/>
        <v>0</v>
      </c>
      <c r="AM198" s="621">
        <f t="shared" si="220"/>
        <v>0</v>
      </c>
      <c r="AN198" s="621">
        <f t="shared" si="220"/>
        <v>0</v>
      </c>
      <c r="AO198" s="621">
        <f t="shared" si="220"/>
        <v>0</v>
      </c>
      <c r="AP198" s="621">
        <f t="shared" si="220"/>
        <v>0</v>
      </c>
      <c r="AQ198" s="623">
        <f t="shared" si="220"/>
        <v>0</v>
      </c>
      <c r="AR198" s="624">
        <f t="shared" si="220"/>
        <v>11043031</v>
      </c>
      <c r="AS198" s="620">
        <f t="shared" si="220"/>
        <v>7897920</v>
      </c>
      <c r="AT198" s="620">
        <f t="shared" si="220"/>
        <v>153760</v>
      </c>
      <c r="AU198" s="620">
        <f t="shared" si="220"/>
        <v>2721468</v>
      </c>
      <c r="AV198" s="620">
        <f t="shared" si="220"/>
        <v>157959</v>
      </c>
      <c r="AW198" s="620">
        <f t="shared" si="220"/>
        <v>111924</v>
      </c>
      <c r="AX198" s="621">
        <f t="shared" si="220"/>
        <v>18.899000000000001</v>
      </c>
      <c r="AY198" s="621">
        <f t="shared" si="220"/>
        <v>13.657200000000001</v>
      </c>
      <c r="AZ198" s="623">
        <f t="shared" si="220"/>
        <v>5.2417999999999987</v>
      </c>
    </row>
    <row r="199" spans="1:52" ht="12.75" customHeight="1" thickBot="1" x14ac:dyDescent="0.3">
      <c r="A199" s="430"/>
      <c r="B199" s="431"/>
      <c r="C199" s="431"/>
      <c r="D199" s="431"/>
      <c r="E199" s="338" t="s">
        <v>800</v>
      </c>
      <c r="F199" s="431"/>
      <c r="G199" s="432"/>
      <c r="H199" s="433"/>
      <c r="I199" s="625">
        <f t="shared" ref="I199:AZ199" si="221">I198+I191+I185+I179+I172+I166+I162+I156+I153+I148+I145+I138+I135+I132+I126+I122+I116+I113+I106+I100+I96+I90+I86+I79+I77+I70+I65+I59+I53+I47+I45+I41+I38+I34+I30+I26+I22+I18</f>
        <v>463113205</v>
      </c>
      <c r="J199" s="626">
        <f t="shared" si="221"/>
        <v>335036945</v>
      </c>
      <c r="K199" s="626">
        <f t="shared" si="221"/>
        <v>1690545</v>
      </c>
      <c r="L199" s="626">
        <f t="shared" si="221"/>
        <v>113813890</v>
      </c>
      <c r="M199" s="626">
        <f t="shared" si="221"/>
        <v>6700742</v>
      </c>
      <c r="N199" s="626">
        <f t="shared" si="221"/>
        <v>5871083</v>
      </c>
      <c r="O199" s="627">
        <f t="shared" si="221"/>
        <v>700.94879999999989</v>
      </c>
      <c r="P199" s="627">
        <f t="shared" si="221"/>
        <v>486.91540000000003</v>
      </c>
      <c r="Q199" s="628">
        <f t="shared" si="221"/>
        <v>214.03339999999997</v>
      </c>
      <c r="R199" s="625">
        <f t="shared" si="221"/>
        <v>0</v>
      </c>
      <c r="S199" s="626">
        <f t="shared" si="221"/>
        <v>17352</v>
      </c>
      <c r="T199" s="626">
        <f t="shared" si="221"/>
        <v>0</v>
      </c>
      <c r="U199" s="626">
        <f t="shared" si="221"/>
        <v>163452</v>
      </c>
      <c r="V199" s="626">
        <f t="shared" si="221"/>
        <v>180804</v>
      </c>
      <c r="W199" s="626">
        <f t="shared" si="221"/>
        <v>0</v>
      </c>
      <c r="X199" s="626">
        <f t="shared" si="221"/>
        <v>0</v>
      </c>
      <c r="Y199" s="626">
        <f t="shared" si="221"/>
        <v>0</v>
      </c>
      <c r="Z199" s="626">
        <f t="shared" si="221"/>
        <v>0</v>
      </c>
      <c r="AA199" s="626">
        <f t="shared" si="221"/>
        <v>180804</v>
      </c>
      <c r="AB199" s="626">
        <f t="shared" si="221"/>
        <v>61112</v>
      </c>
      <c r="AC199" s="626">
        <f t="shared" si="221"/>
        <v>3616</v>
      </c>
      <c r="AD199" s="626">
        <f t="shared" si="221"/>
        <v>0</v>
      </c>
      <c r="AE199" s="626">
        <f t="shared" si="221"/>
        <v>41642</v>
      </c>
      <c r="AF199" s="626">
        <f t="shared" si="221"/>
        <v>41642</v>
      </c>
      <c r="AG199" s="626">
        <f t="shared" si="221"/>
        <v>287174</v>
      </c>
      <c r="AH199" s="627">
        <f t="shared" si="221"/>
        <v>0</v>
      </c>
      <c r="AI199" s="627">
        <f t="shared" si="221"/>
        <v>0</v>
      </c>
      <c r="AJ199" s="627">
        <f t="shared" si="221"/>
        <v>0.04</v>
      </c>
      <c r="AK199" s="627">
        <f t="shared" si="221"/>
        <v>0</v>
      </c>
      <c r="AL199" s="627">
        <f t="shared" si="221"/>
        <v>0</v>
      </c>
      <c r="AM199" s="627">
        <f t="shared" si="221"/>
        <v>0.27</v>
      </c>
      <c r="AN199" s="627">
        <f t="shared" si="221"/>
        <v>0</v>
      </c>
      <c r="AO199" s="627">
        <f t="shared" si="221"/>
        <v>0.31</v>
      </c>
      <c r="AP199" s="627">
        <f t="shared" si="221"/>
        <v>0</v>
      </c>
      <c r="AQ199" s="629">
        <f t="shared" si="221"/>
        <v>0.31</v>
      </c>
      <c r="AR199" s="630">
        <f t="shared" si="221"/>
        <v>463400379</v>
      </c>
      <c r="AS199" s="626">
        <f t="shared" si="221"/>
        <v>335217749</v>
      </c>
      <c r="AT199" s="626">
        <f t="shared" si="221"/>
        <v>1690545</v>
      </c>
      <c r="AU199" s="626">
        <f t="shared" si="221"/>
        <v>113875002</v>
      </c>
      <c r="AV199" s="626">
        <f t="shared" si="221"/>
        <v>6704358</v>
      </c>
      <c r="AW199" s="626">
        <f t="shared" si="221"/>
        <v>5912725</v>
      </c>
      <c r="AX199" s="627">
        <f t="shared" si="221"/>
        <v>701.25879999999995</v>
      </c>
      <c r="AY199" s="627">
        <f t="shared" si="221"/>
        <v>487.22540000000004</v>
      </c>
      <c r="AZ199" s="629">
        <f t="shared" si="221"/>
        <v>214.03339999999997</v>
      </c>
    </row>
    <row r="200" spans="1:52" s="347" customFormat="1" ht="12.75" customHeight="1" x14ac:dyDescent="0.25">
      <c r="A200" s="434"/>
      <c r="B200" s="283"/>
      <c r="C200" s="283"/>
      <c r="D200" s="283"/>
      <c r="E200" s="343"/>
      <c r="F200" s="342"/>
      <c r="G200" s="283"/>
      <c r="H200" s="435"/>
      <c r="I200" s="507">
        <f>SUM(J199:N199)</f>
        <v>463113205</v>
      </c>
      <c r="J200" s="507"/>
      <c r="K200" s="507"/>
      <c r="L200" s="507"/>
      <c r="M200" s="507"/>
      <c r="N200" s="507"/>
      <c r="O200" s="508">
        <f>SUM(P199:Q199)</f>
        <v>700.94880000000001</v>
      </c>
      <c r="P200" s="508"/>
      <c r="Q200" s="508"/>
      <c r="R200" s="507">
        <f>W199</f>
        <v>0</v>
      </c>
      <c r="S200" s="508"/>
      <c r="T200" s="508"/>
      <c r="U200" s="508"/>
      <c r="V200" s="516">
        <f>SUM(R199:U199)</f>
        <v>180804</v>
      </c>
      <c r="W200" s="516">
        <f>R199</f>
        <v>0</v>
      </c>
      <c r="X200" s="517"/>
      <c r="Y200" s="517"/>
      <c r="Z200" s="516">
        <f>SUM(W199:Y199)</f>
        <v>0</v>
      </c>
      <c r="AA200" s="516">
        <f>V199+Z199</f>
        <v>180804</v>
      </c>
      <c r="AB200" s="518"/>
      <c r="AC200" s="518"/>
      <c r="AD200" s="517"/>
      <c r="AE200" s="517"/>
      <c r="AF200" s="516">
        <f>SUM(AD199:AE199)</f>
        <v>41642</v>
      </c>
      <c r="AG200" s="516">
        <f>AA199+AB199+AC199+AF199</f>
        <v>287174</v>
      </c>
      <c r="AH200" s="519"/>
      <c r="AI200" s="519"/>
      <c r="AJ200" s="519"/>
      <c r="AK200" s="519"/>
      <c r="AL200" s="519"/>
      <c r="AM200" s="519"/>
      <c r="AN200" s="519"/>
      <c r="AO200" s="520">
        <f t="shared" ref="AO200:AO201" si="222">AH200+AJ200+AM200</f>
        <v>0</v>
      </c>
      <c r="AP200" s="520">
        <f t="shared" ref="AP200:AP201" si="223">AI200+AN200</f>
        <v>0</v>
      </c>
      <c r="AQ200" s="520">
        <f>SUM(AO199:AP199)</f>
        <v>0.31</v>
      </c>
      <c r="AR200" s="507">
        <f>SUM(AS199:AW199)</f>
        <v>463400379</v>
      </c>
      <c r="AS200" s="59"/>
      <c r="AT200" s="59"/>
      <c r="AU200" s="59"/>
      <c r="AV200" s="59"/>
      <c r="AW200" s="59"/>
      <c r="AX200" s="508">
        <f>SUM(AY199:AZ199)</f>
        <v>701.25880000000006</v>
      </c>
      <c r="AY200" s="97"/>
      <c r="AZ200" s="97"/>
    </row>
    <row r="201" spans="1:52" s="347" customFormat="1" ht="12.95" customHeight="1" thickBot="1" x14ac:dyDescent="0.3">
      <c r="A201" s="434"/>
      <c r="B201" s="283"/>
      <c r="C201" s="283"/>
      <c r="D201" s="283"/>
      <c r="E201" s="283"/>
      <c r="F201" s="342"/>
      <c r="G201" s="283"/>
      <c r="H201" s="435"/>
      <c r="I201" s="95">
        <f>SUM(J202:N202)</f>
        <v>463113205</v>
      </c>
      <c r="J201" s="57"/>
      <c r="K201" s="57"/>
      <c r="L201" s="515"/>
      <c r="M201" s="515"/>
      <c r="N201" s="57"/>
      <c r="O201" s="96">
        <f>SUM(P202:Q202)</f>
        <v>700.94880000000012</v>
      </c>
      <c r="P201" s="187"/>
      <c r="Q201" s="187"/>
      <c r="R201" s="508"/>
      <c r="S201" s="508"/>
      <c r="T201" s="508"/>
      <c r="U201" s="508"/>
      <c r="V201" s="516">
        <f>SUM(R202:U202)</f>
        <v>180804</v>
      </c>
      <c r="W201" s="517"/>
      <c r="X201" s="517"/>
      <c r="Y201" s="517"/>
      <c r="Z201" s="516">
        <f>SUM(W202:Y202)</f>
        <v>0</v>
      </c>
      <c r="AA201" s="516">
        <f>V202+Z202</f>
        <v>180804</v>
      </c>
      <c r="AB201" s="518"/>
      <c r="AC201" s="518"/>
      <c r="AD201" s="517"/>
      <c r="AE201" s="517"/>
      <c r="AF201" s="516">
        <f>SUM(AD202:AE202)</f>
        <v>41642</v>
      </c>
      <c r="AG201" s="516">
        <f>AA202+AB202+AC202+AF202</f>
        <v>287174</v>
      </c>
      <c r="AH201" s="519"/>
      <c r="AI201" s="519"/>
      <c r="AJ201" s="519"/>
      <c r="AK201" s="519"/>
      <c r="AL201" s="519"/>
      <c r="AM201" s="519"/>
      <c r="AN201" s="519"/>
      <c r="AO201" s="520">
        <f t="shared" si="222"/>
        <v>0</v>
      </c>
      <c r="AP201" s="520">
        <f t="shared" si="223"/>
        <v>0</v>
      </c>
      <c r="AQ201" s="520">
        <f>SUM(AO202:AP202)</f>
        <v>0.31</v>
      </c>
      <c r="AR201" s="507">
        <f>SUM(AS202:AW202)</f>
        <v>463400379</v>
      </c>
      <c r="AS201" s="59"/>
      <c r="AT201" s="59"/>
      <c r="AU201" s="59"/>
      <c r="AV201" s="59"/>
      <c r="AW201" s="59"/>
      <c r="AX201" s="508">
        <f>SUM(AY202:AZ202)</f>
        <v>701.25880000000006</v>
      </c>
      <c r="AY201" s="97"/>
      <c r="AZ201" s="97"/>
    </row>
    <row r="202" spans="1:52" s="99" customFormat="1" ht="12.95" customHeight="1" thickBot="1" x14ac:dyDescent="0.3">
      <c r="A202" s="344"/>
      <c r="D202" s="344"/>
      <c r="E202" s="345"/>
      <c r="F202" s="344"/>
      <c r="G202" s="346"/>
      <c r="H202" s="539" t="s">
        <v>0</v>
      </c>
      <c r="I202" s="150">
        <f t="shared" ref="I202:AZ202" si="224">SUM(I203:I212)</f>
        <v>463113205</v>
      </c>
      <c r="J202" s="38">
        <f t="shared" si="224"/>
        <v>335036945</v>
      </c>
      <c r="K202" s="38">
        <f t="shared" si="224"/>
        <v>1690545</v>
      </c>
      <c r="L202" s="38">
        <f t="shared" si="224"/>
        <v>113813890</v>
      </c>
      <c r="M202" s="38">
        <f t="shared" si="224"/>
        <v>6700742</v>
      </c>
      <c r="N202" s="38">
        <f t="shared" si="224"/>
        <v>5871083</v>
      </c>
      <c r="O202" s="39">
        <f t="shared" si="224"/>
        <v>700.94880000000001</v>
      </c>
      <c r="P202" s="39">
        <f t="shared" si="224"/>
        <v>486.91540000000009</v>
      </c>
      <c r="Q202" s="159">
        <f t="shared" si="224"/>
        <v>214.0334</v>
      </c>
      <c r="R202" s="150">
        <f t="shared" si="224"/>
        <v>0</v>
      </c>
      <c r="S202" s="38">
        <f t="shared" si="224"/>
        <v>17352</v>
      </c>
      <c r="T202" s="38">
        <f t="shared" si="224"/>
        <v>0</v>
      </c>
      <c r="U202" s="38">
        <f t="shared" si="224"/>
        <v>163452</v>
      </c>
      <c r="V202" s="38">
        <f t="shared" si="224"/>
        <v>180804</v>
      </c>
      <c r="W202" s="38">
        <f t="shared" si="224"/>
        <v>0</v>
      </c>
      <c r="X202" s="38">
        <f t="shared" si="224"/>
        <v>0</v>
      </c>
      <c r="Y202" s="38">
        <f t="shared" si="224"/>
        <v>0</v>
      </c>
      <c r="Z202" s="38">
        <f t="shared" si="224"/>
        <v>0</v>
      </c>
      <c r="AA202" s="38">
        <f t="shared" si="224"/>
        <v>180804</v>
      </c>
      <c r="AB202" s="38">
        <f t="shared" si="224"/>
        <v>61112</v>
      </c>
      <c r="AC202" s="38">
        <f t="shared" si="224"/>
        <v>3616</v>
      </c>
      <c r="AD202" s="38">
        <f t="shared" si="224"/>
        <v>0</v>
      </c>
      <c r="AE202" s="38">
        <f t="shared" si="224"/>
        <v>41642</v>
      </c>
      <c r="AF202" s="38">
        <f t="shared" si="224"/>
        <v>41642</v>
      </c>
      <c r="AG202" s="38">
        <f t="shared" si="224"/>
        <v>287174</v>
      </c>
      <c r="AH202" s="39">
        <f t="shared" si="224"/>
        <v>0</v>
      </c>
      <c r="AI202" s="39">
        <f t="shared" si="224"/>
        <v>0</v>
      </c>
      <c r="AJ202" s="39">
        <f t="shared" si="224"/>
        <v>0.04</v>
      </c>
      <c r="AK202" s="39">
        <f t="shared" si="224"/>
        <v>0</v>
      </c>
      <c r="AL202" s="39">
        <f t="shared" si="224"/>
        <v>0</v>
      </c>
      <c r="AM202" s="39">
        <f t="shared" si="224"/>
        <v>0.27</v>
      </c>
      <c r="AN202" s="39">
        <f t="shared" si="224"/>
        <v>0</v>
      </c>
      <c r="AO202" s="39">
        <f t="shared" si="224"/>
        <v>0.31</v>
      </c>
      <c r="AP202" s="39">
        <f t="shared" si="224"/>
        <v>0</v>
      </c>
      <c r="AQ202" s="40">
        <f t="shared" si="224"/>
        <v>0.31</v>
      </c>
      <c r="AR202" s="160">
        <f t="shared" si="224"/>
        <v>463400379</v>
      </c>
      <c r="AS202" s="38">
        <f t="shared" si="224"/>
        <v>335217749</v>
      </c>
      <c r="AT202" s="38">
        <f t="shared" si="224"/>
        <v>1690545</v>
      </c>
      <c r="AU202" s="38">
        <f t="shared" si="224"/>
        <v>113875002</v>
      </c>
      <c r="AV202" s="38">
        <f t="shared" si="224"/>
        <v>6704358</v>
      </c>
      <c r="AW202" s="38">
        <f t="shared" si="224"/>
        <v>5912725</v>
      </c>
      <c r="AX202" s="39">
        <f t="shared" si="224"/>
        <v>701.25879999999995</v>
      </c>
      <c r="AY202" s="39">
        <f t="shared" si="224"/>
        <v>487.22540000000009</v>
      </c>
      <c r="AZ202" s="40">
        <f t="shared" si="224"/>
        <v>214.0334</v>
      </c>
    </row>
    <row r="203" spans="1:52" s="99" customFormat="1" ht="12.95" customHeight="1" x14ac:dyDescent="0.25">
      <c r="A203" s="344"/>
      <c r="D203" s="344"/>
      <c r="E203" s="436"/>
      <c r="F203" s="344"/>
      <c r="G203" s="346"/>
      <c r="H203" s="540">
        <v>3111</v>
      </c>
      <c r="I203" s="642">
        <f t="shared" ref="I203:AZ203" si="225">SUMIF($F$12:$F$464,"=3111",I$12:I$464)</f>
        <v>105039153</v>
      </c>
      <c r="J203" s="643">
        <f t="shared" si="225"/>
        <v>76717014</v>
      </c>
      <c r="K203" s="643">
        <f t="shared" si="225"/>
        <v>204555</v>
      </c>
      <c r="L203" s="643">
        <f t="shared" si="225"/>
        <v>25999492</v>
      </c>
      <c r="M203" s="643">
        <f t="shared" si="225"/>
        <v>1534342</v>
      </c>
      <c r="N203" s="643">
        <f t="shared" si="225"/>
        <v>583750</v>
      </c>
      <c r="O203" s="648">
        <f t="shared" si="225"/>
        <v>173.83390000000003</v>
      </c>
      <c r="P203" s="648">
        <f t="shared" si="225"/>
        <v>133.66630000000001</v>
      </c>
      <c r="Q203" s="649">
        <f t="shared" si="225"/>
        <v>40.1676</v>
      </c>
      <c r="R203" s="642">
        <f t="shared" si="225"/>
        <v>0</v>
      </c>
      <c r="S203" s="643">
        <f t="shared" si="225"/>
        <v>0</v>
      </c>
      <c r="T203" s="643">
        <f t="shared" si="225"/>
        <v>0</v>
      </c>
      <c r="U203" s="643">
        <f t="shared" si="225"/>
        <v>0</v>
      </c>
      <c r="V203" s="643">
        <f t="shared" si="225"/>
        <v>0</v>
      </c>
      <c r="W203" s="643">
        <f t="shared" si="225"/>
        <v>0</v>
      </c>
      <c r="X203" s="643">
        <f t="shared" si="225"/>
        <v>0</v>
      </c>
      <c r="Y203" s="643">
        <f t="shared" si="225"/>
        <v>0</v>
      </c>
      <c r="Z203" s="643">
        <f t="shared" si="225"/>
        <v>0</v>
      </c>
      <c r="AA203" s="643">
        <f t="shared" si="225"/>
        <v>0</v>
      </c>
      <c r="AB203" s="643">
        <f t="shared" si="225"/>
        <v>0</v>
      </c>
      <c r="AC203" s="643">
        <f t="shared" si="225"/>
        <v>0</v>
      </c>
      <c r="AD203" s="643">
        <f t="shared" si="225"/>
        <v>0</v>
      </c>
      <c r="AE203" s="643">
        <f t="shared" si="225"/>
        <v>0</v>
      </c>
      <c r="AF203" s="643">
        <f t="shared" si="225"/>
        <v>0</v>
      </c>
      <c r="AG203" s="643">
        <f t="shared" si="225"/>
        <v>0</v>
      </c>
      <c r="AH203" s="648">
        <f t="shared" si="225"/>
        <v>0</v>
      </c>
      <c r="AI203" s="648">
        <f t="shared" si="225"/>
        <v>0</v>
      </c>
      <c r="AJ203" s="648">
        <f t="shared" si="225"/>
        <v>0</v>
      </c>
      <c r="AK203" s="648">
        <f t="shared" si="225"/>
        <v>0</v>
      </c>
      <c r="AL203" s="648">
        <f t="shared" si="225"/>
        <v>0</v>
      </c>
      <c r="AM203" s="648">
        <f t="shared" si="225"/>
        <v>0</v>
      </c>
      <c r="AN203" s="648">
        <f t="shared" si="225"/>
        <v>0</v>
      </c>
      <c r="AO203" s="648">
        <f t="shared" si="225"/>
        <v>0</v>
      </c>
      <c r="AP203" s="648">
        <f t="shared" si="225"/>
        <v>0</v>
      </c>
      <c r="AQ203" s="651">
        <f t="shared" si="225"/>
        <v>0</v>
      </c>
      <c r="AR203" s="644">
        <f t="shared" si="225"/>
        <v>105039153</v>
      </c>
      <c r="AS203" s="643">
        <f t="shared" si="225"/>
        <v>76717014</v>
      </c>
      <c r="AT203" s="643">
        <f t="shared" si="225"/>
        <v>204555</v>
      </c>
      <c r="AU203" s="643">
        <f t="shared" si="225"/>
        <v>25999492</v>
      </c>
      <c r="AV203" s="643">
        <f t="shared" si="225"/>
        <v>1534342</v>
      </c>
      <c r="AW203" s="643">
        <f t="shared" si="225"/>
        <v>583750</v>
      </c>
      <c r="AX203" s="648">
        <f t="shared" si="225"/>
        <v>173.83390000000003</v>
      </c>
      <c r="AY203" s="648">
        <f t="shared" si="225"/>
        <v>133.66630000000001</v>
      </c>
      <c r="AZ203" s="651">
        <f t="shared" si="225"/>
        <v>40.1676</v>
      </c>
    </row>
    <row r="204" spans="1:52" s="99" customFormat="1" ht="12.95" customHeight="1" x14ac:dyDescent="0.25">
      <c r="A204" s="344"/>
      <c r="D204" s="344"/>
      <c r="E204" s="436"/>
      <c r="F204" s="344"/>
      <c r="G204" s="346"/>
      <c r="H204" s="2">
        <v>3113</v>
      </c>
      <c r="I204" s="178">
        <f t="shared" ref="I204:AZ204" si="226">SUMIF($F$12:$F$464,"=3113",I$12:I$464)</f>
        <v>194021855</v>
      </c>
      <c r="J204" s="17">
        <f t="shared" si="226"/>
        <v>139094314</v>
      </c>
      <c r="K204" s="17">
        <f t="shared" si="226"/>
        <v>1042195</v>
      </c>
      <c r="L204" s="17">
        <f t="shared" si="226"/>
        <v>47366141</v>
      </c>
      <c r="M204" s="17">
        <f t="shared" si="226"/>
        <v>2781885</v>
      </c>
      <c r="N204" s="17">
        <f t="shared" si="226"/>
        <v>3737320</v>
      </c>
      <c r="O204" s="14">
        <f t="shared" si="226"/>
        <v>259.20119999999997</v>
      </c>
      <c r="P204" s="14">
        <f t="shared" si="226"/>
        <v>207.67260000000002</v>
      </c>
      <c r="Q204" s="180">
        <f t="shared" si="226"/>
        <v>51.528599999999997</v>
      </c>
      <c r="R204" s="178">
        <f t="shared" si="226"/>
        <v>0</v>
      </c>
      <c r="S204" s="17">
        <f t="shared" si="226"/>
        <v>17352</v>
      </c>
      <c r="T204" s="17">
        <f t="shared" si="226"/>
        <v>0</v>
      </c>
      <c r="U204" s="17">
        <f t="shared" si="226"/>
        <v>163452</v>
      </c>
      <c r="V204" s="17">
        <f t="shared" si="226"/>
        <v>180804</v>
      </c>
      <c r="W204" s="17">
        <f t="shared" si="226"/>
        <v>0</v>
      </c>
      <c r="X204" s="17">
        <f t="shared" si="226"/>
        <v>0</v>
      </c>
      <c r="Y204" s="17">
        <f t="shared" si="226"/>
        <v>0</v>
      </c>
      <c r="Z204" s="17">
        <f t="shared" si="226"/>
        <v>0</v>
      </c>
      <c r="AA204" s="17">
        <f t="shared" si="226"/>
        <v>180804</v>
      </c>
      <c r="AB204" s="17">
        <f t="shared" si="226"/>
        <v>61112</v>
      </c>
      <c r="AC204" s="17">
        <f t="shared" si="226"/>
        <v>3616</v>
      </c>
      <c r="AD204" s="17">
        <f t="shared" si="226"/>
        <v>0</v>
      </c>
      <c r="AE204" s="17">
        <f t="shared" si="226"/>
        <v>0</v>
      </c>
      <c r="AF204" s="17">
        <f t="shared" si="226"/>
        <v>0</v>
      </c>
      <c r="AG204" s="17">
        <f t="shared" si="226"/>
        <v>245532</v>
      </c>
      <c r="AH204" s="14">
        <f t="shared" si="226"/>
        <v>0</v>
      </c>
      <c r="AI204" s="14">
        <f t="shared" si="226"/>
        <v>0</v>
      </c>
      <c r="AJ204" s="14">
        <f t="shared" si="226"/>
        <v>0.04</v>
      </c>
      <c r="AK204" s="14">
        <f t="shared" si="226"/>
        <v>0</v>
      </c>
      <c r="AL204" s="14">
        <f t="shared" si="226"/>
        <v>0</v>
      </c>
      <c r="AM204" s="14">
        <f t="shared" si="226"/>
        <v>0.27</v>
      </c>
      <c r="AN204" s="14">
        <f t="shared" si="226"/>
        <v>0</v>
      </c>
      <c r="AO204" s="14">
        <f t="shared" si="226"/>
        <v>0.31</v>
      </c>
      <c r="AP204" s="14">
        <f t="shared" si="226"/>
        <v>0</v>
      </c>
      <c r="AQ204" s="18">
        <f t="shared" si="226"/>
        <v>0.31</v>
      </c>
      <c r="AR204" s="179">
        <f t="shared" si="226"/>
        <v>194267387</v>
      </c>
      <c r="AS204" s="17">
        <f t="shared" si="226"/>
        <v>139275118</v>
      </c>
      <c r="AT204" s="17">
        <f t="shared" si="226"/>
        <v>1042195</v>
      </c>
      <c r="AU204" s="17">
        <f t="shared" si="226"/>
        <v>47427253</v>
      </c>
      <c r="AV204" s="17">
        <f t="shared" si="226"/>
        <v>2785501</v>
      </c>
      <c r="AW204" s="17">
        <f t="shared" si="226"/>
        <v>3737320</v>
      </c>
      <c r="AX204" s="14">
        <f t="shared" si="226"/>
        <v>259.51119999999997</v>
      </c>
      <c r="AY204" s="14">
        <f t="shared" si="226"/>
        <v>207.98260000000002</v>
      </c>
      <c r="AZ204" s="18">
        <f t="shared" si="226"/>
        <v>51.528599999999997</v>
      </c>
    </row>
    <row r="205" spans="1:52" s="99" customFormat="1" ht="12.95" customHeight="1" x14ac:dyDescent="0.25">
      <c r="A205" s="344"/>
      <c r="D205" s="344"/>
      <c r="E205" s="436"/>
      <c r="F205" s="344"/>
      <c r="G205" s="346"/>
      <c r="H205" s="2">
        <v>3114</v>
      </c>
      <c r="I205" s="178">
        <f t="shared" ref="I205:AZ205" si="227">SUMIF($F$12:$F$464,"=3114",I$12:I$464)</f>
        <v>24882658</v>
      </c>
      <c r="J205" s="17">
        <f t="shared" si="227"/>
        <v>18074969</v>
      </c>
      <c r="K205" s="17">
        <f t="shared" si="227"/>
        <v>104000</v>
      </c>
      <c r="L205" s="17">
        <f t="shared" si="227"/>
        <v>6144491</v>
      </c>
      <c r="M205" s="17">
        <f t="shared" si="227"/>
        <v>361498</v>
      </c>
      <c r="N205" s="17">
        <f t="shared" si="227"/>
        <v>197700</v>
      </c>
      <c r="O205" s="14">
        <f t="shared" si="227"/>
        <v>36.065899999999999</v>
      </c>
      <c r="P205" s="14">
        <f t="shared" si="227"/>
        <v>28.634900000000002</v>
      </c>
      <c r="Q205" s="180">
        <f t="shared" si="227"/>
        <v>7.431</v>
      </c>
      <c r="R205" s="178">
        <f t="shared" si="227"/>
        <v>0</v>
      </c>
      <c r="S205" s="17">
        <f t="shared" si="227"/>
        <v>0</v>
      </c>
      <c r="T205" s="17">
        <f t="shared" si="227"/>
        <v>0</v>
      </c>
      <c r="U205" s="17">
        <f t="shared" si="227"/>
        <v>0</v>
      </c>
      <c r="V205" s="17">
        <f t="shared" si="227"/>
        <v>0</v>
      </c>
      <c r="W205" s="17">
        <f t="shared" si="227"/>
        <v>0</v>
      </c>
      <c r="X205" s="17">
        <f t="shared" si="227"/>
        <v>0</v>
      </c>
      <c r="Y205" s="17">
        <f t="shared" si="227"/>
        <v>0</v>
      </c>
      <c r="Z205" s="17">
        <f t="shared" si="227"/>
        <v>0</v>
      </c>
      <c r="AA205" s="17">
        <f t="shared" si="227"/>
        <v>0</v>
      </c>
      <c r="AB205" s="17">
        <f t="shared" si="227"/>
        <v>0</v>
      </c>
      <c r="AC205" s="17">
        <f t="shared" si="227"/>
        <v>0</v>
      </c>
      <c r="AD205" s="17">
        <f t="shared" si="227"/>
        <v>0</v>
      </c>
      <c r="AE205" s="17">
        <f t="shared" si="227"/>
        <v>0</v>
      </c>
      <c r="AF205" s="17">
        <f t="shared" si="227"/>
        <v>0</v>
      </c>
      <c r="AG205" s="17">
        <f t="shared" si="227"/>
        <v>0</v>
      </c>
      <c r="AH205" s="14">
        <f t="shared" si="227"/>
        <v>0</v>
      </c>
      <c r="AI205" s="14">
        <f t="shared" si="227"/>
        <v>0</v>
      </c>
      <c r="AJ205" s="14">
        <f t="shared" si="227"/>
        <v>0</v>
      </c>
      <c r="AK205" s="14">
        <f t="shared" si="227"/>
        <v>0</v>
      </c>
      <c r="AL205" s="14">
        <f t="shared" si="227"/>
        <v>0</v>
      </c>
      <c r="AM205" s="14">
        <f t="shared" si="227"/>
        <v>0</v>
      </c>
      <c r="AN205" s="14">
        <f t="shared" si="227"/>
        <v>0</v>
      </c>
      <c r="AO205" s="14">
        <f t="shared" si="227"/>
        <v>0</v>
      </c>
      <c r="AP205" s="14">
        <f t="shared" si="227"/>
        <v>0</v>
      </c>
      <c r="AQ205" s="18">
        <f t="shared" si="227"/>
        <v>0</v>
      </c>
      <c r="AR205" s="179">
        <f t="shared" si="227"/>
        <v>24882658</v>
      </c>
      <c r="AS205" s="17">
        <f t="shared" si="227"/>
        <v>18074969</v>
      </c>
      <c r="AT205" s="17">
        <f t="shared" si="227"/>
        <v>104000</v>
      </c>
      <c r="AU205" s="17">
        <f t="shared" si="227"/>
        <v>6144491</v>
      </c>
      <c r="AV205" s="17">
        <f t="shared" si="227"/>
        <v>361498</v>
      </c>
      <c r="AW205" s="17">
        <f t="shared" si="227"/>
        <v>197700</v>
      </c>
      <c r="AX205" s="14">
        <f t="shared" si="227"/>
        <v>36.065899999999999</v>
      </c>
      <c r="AY205" s="14">
        <f t="shared" si="227"/>
        <v>28.634900000000002</v>
      </c>
      <c r="AZ205" s="18">
        <f t="shared" si="227"/>
        <v>7.431</v>
      </c>
    </row>
    <row r="206" spans="1:52" s="99" customFormat="1" ht="12.95" customHeight="1" x14ac:dyDescent="0.25">
      <c r="A206" s="344"/>
      <c r="D206" s="344"/>
      <c r="E206" s="436"/>
      <c r="F206" s="344"/>
      <c r="G206" s="346"/>
      <c r="H206" s="2">
        <v>3117</v>
      </c>
      <c r="I206" s="178">
        <f t="shared" ref="I206:AZ206" si="228">SUMIF($F$12:$F$464,"=3117",I$12:I$464)</f>
        <v>52138443</v>
      </c>
      <c r="J206" s="17">
        <f t="shared" si="228"/>
        <v>37435100</v>
      </c>
      <c r="K206" s="17">
        <f t="shared" si="228"/>
        <v>233585</v>
      </c>
      <c r="L206" s="17">
        <f t="shared" si="228"/>
        <v>12732013</v>
      </c>
      <c r="M206" s="17">
        <f t="shared" si="228"/>
        <v>748705</v>
      </c>
      <c r="N206" s="17">
        <f t="shared" si="228"/>
        <v>989040</v>
      </c>
      <c r="O206" s="14">
        <f t="shared" si="228"/>
        <v>73.092799999999983</v>
      </c>
      <c r="P206" s="14">
        <f t="shared" si="228"/>
        <v>51.999699999999997</v>
      </c>
      <c r="Q206" s="180">
        <f t="shared" si="228"/>
        <v>21.093099999999996</v>
      </c>
      <c r="R206" s="178">
        <f t="shared" si="228"/>
        <v>0</v>
      </c>
      <c r="S206" s="17">
        <f t="shared" si="228"/>
        <v>0</v>
      </c>
      <c r="T206" s="17">
        <f t="shared" si="228"/>
        <v>0</v>
      </c>
      <c r="U206" s="17">
        <f t="shared" si="228"/>
        <v>0</v>
      </c>
      <c r="V206" s="17">
        <f t="shared" si="228"/>
        <v>0</v>
      </c>
      <c r="W206" s="17">
        <f t="shared" si="228"/>
        <v>0</v>
      </c>
      <c r="X206" s="17">
        <f t="shared" si="228"/>
        <v>0</v>
      </c>
      <c r="Y206" s="17">
        <f t="shared" si="228"/>
        <v>0</v>
      </c>
      <c r="Z206" s="17">
        <f t="shared" si="228"/>
        <v>0</v>
      </c>
      <c r="AA206" s="17">
        <f t="shared" si="228"/>
        <v>0</v>
      </c>
      <c r="AB206" s="17">
        <f t="shared" si="228"/>
        <v>0</v>
      </c>
      <c r="AC206" s="17">
        <f t="shared" si="228"/>
        <v>0</v>
      </c>
      <c r="AD206" s="17">
        <f t="shared" si="228"/>
        <v>0</v>
      </c>
      <c r="AE206" s="17">
        <f t="shared" si="228"/>
        <v>0</v>
      </c>
      <c r="AF206" s="17">
        <f t="shared" si="228"/>
        <v>0</v>
      </c>
      <c r="AG206" s="17">
        <f t="shared" si="228"/>
        <v>0</v>
      </c>
      <c r="AH206" s="14">
        <f t="shared" si="228"/>
        <v>0</v>
      </c>
      <c r="AI206" s="14">
        <f t="shared" si="228"/>
        <v>0</v>
      </c>
      <c r="AJ206" s="14">
        <f t="shared" si="228"/>
        <v>0</v>
      </c>
      <c r="AK206" s="14">
        <f t="shared" si="228"/>
        <v>0</v>
      </c>
      <c r="AL206" s="14">
        <f t="shared" si="228"/>
        <v>0</v>
      </c>
      <c r="AM206" s="14">
        <f t="shared" si="228"/>
        <v>0</v>
      </c>
      <c r="AN206" s="14">
        <f t="shared" si="228"/>
        <v>0</v>
      </c>
      <c r="AO206" s="14">
        <f t="shared" si="228"/>
        <v>0</v>
      </c>
      <c r="AP206" s="14">
        <f t="shared" si="228"/>
        <v>0</v>
      </c>
      <c r="AQ206" s="18">
        <f t="shared" si="228"/>
        <v>0</v>
      </c>
      <c r="AR206" s="179">
        <f t="shared" si="228"/>
        <v>52138443</v>
      </c>
      <c r="AS206" s="17">
        <f t="shared" si="228"/>
        <v>37435100</v>
      </c>
      <c r="AT206" s="17">
        <f t="shared" si="228"/>
        <v>233585</v>
      </c>
      <c r="AU206" s="17">
        <f t="shared" si="228"/>
        <v>12732013</v>
      </c>
      <c r="AV206" s="17">
        <f t="shared" si="228"/>
        <v>748705</v>
      </c>
      <c r="AW206" s="17">
        <f t="shared" si="228"/>
        <v>989040</v>
      </c>
      <c r="AX206" s="14">
        <f t="shared" si="228"/>
        <v>73.092799999999983</v>
      </c>
      <c r="AY206" s="14">
        <f t="shared" si="228"/>
        <v>51.999699999999997</v>
      </c>
      <c r="AZ206" s="18">
        <f t="shared" si="228"/>
        <v>21.093099999999996</v>
      </c>
    </row>
    <row r="207" spans="1:52" s="99" customFormat="1" ht="12.95" customHeight="1" x14ac:dyDescent="0.25">
      <c r="A207" s="344"/>
      <c r="D207" s="344"/>
      <c r="E207" s="436"/>
      <c r="F207" s="344"/>
      <c r="G207" s="346"/>
      <c r="H207" s="2">
        <v>3122</v>
      </c>
      <c r="I207" s="178">
        <f t="shared" ref="I207:AZ207" si="229">SUMIF($F$12:$F$464,"=3122",I$12:I$464)</f>
        <v>0</v>
      </c>
      <c r="J207" s="17">
        <f t="shared" si="229"/>
        <v>0</v>
      </c>
      <c r="K207" s="17">
        <f t="shared" si="229"/>
        <v>0</v>
      </c>
      <c r="L207" s="17">
        <f t="shared" si="229"/>
        <v>0</v>
      </c>
      <c r="M207" s="17">
        <f t="shared" si="229"/>
        <v>0</v>
      </c>
      <c r="N207" s="17">
        <f t="shared" si="229"/>
        <v>0</v>
      </c>
      <c r="O207" s="14">
        <f t="shared" si="229"/>
        <v>0</v>
      </c>
      <c r="P207" s="14">
        <f t="shared" si="229"/>
        <v>0</v>
      </c>
      <c r="Q207" s="180">
        <f t="shared" si="229"/>
        <v>0</v>
      </c>
      <c r="R207" s="178">
        <f t="shared" si="229"/>
        <v>0</v>
      </c>
      <c r="S207" s="17">
        <f t="shared" si="229"/>
        <v>0</v>
      </c>
      <c r="T207" s="17">
        <f t="shared" si="229"/>
        <v>0</v>
      </c>
      <c r="U207" s="17">
        <f t="shared" si="229"/>
        <v>0</v>
      </c>
      <c r="V207" s="17">
        <f t="shared" si="229"/>
        <v>0</v>
      </c>
      <c r="W207" s="17">
        <f t="shared" si="229"/>
        <v>0</v>
      </c>
      <c r="X207" s="17">
        <f t="shared" si="229"/>
        <v>0</v>
      </c>
      <c r="Y207" s="17">
        <f t="shared" si="229"/>
        <v>0</v>
      </c>
      <c r="Z207" s="17">
        <f t="shared" si="229"/>
        <v>0</v>
      </c>
      <c r="AA207" s="17">
        <f t="shared" si="229"/>
        <v>0</v>
      </c>
      <c r="AB207" s="17">
        <f t="shared" si="229"/>
        <v>0</v>
      </c>
      <c r="AC207" s="17">
        <f t="shared" si="229"/>
        <v>0</v>
      </c>
      <c r="AD207" s="17">
        <f t="shared" si="229"/>
        <v>0</v>
      </c>
      <c r="AE207" s="17">
        <f t="shared" si="229"/>
        <v>0</v>
      </c>
      <c r="AF207" s="17">
        <f t="shared" si="229"/>
        <v>0</v>
      </c>
      <c r="AG207" s="17">
        <f t="shared" si="229"/>
        <v>0</v>
      </c>
      <c r="AH207" s="14">
        <f t="shared" si="229"/>
        <v>0</v>
      </c>
      <c r="AI207" s="14">
        <f t="shared" si="229"/>
        <v>0</v>
      </c>
      <c r="AJ207" s="14">
        <f t="shared" si="229"/>
        <v>0</v>
      </c>
      <c r="AK207" s="14">
        <f t="shared" si="229"/>
        <v>0</v>
      </c>
      <c r="AL207" s="14">
        <f t="shared" si="229"/>
        <v>0</v>
      </c>
      <c r="AM207" s="14">
        <f t="shared" si="229"/>
        <v>0</v>
      </c>
      <c r="AN207" s="14">
        <f t="shared" si="229"/>
        <v>0</v>
      </c>
      <c r="AO207" s="14">
        <f t="shared" si="229"/>
        <v>0</v>
      </c>
      <c r="AP207" s="14">
        <f t="shared" si="229"/>
        <v>0</v>
      </c>
      <c r="AQ207" s="18">
        <f t="shared" si="229"/>
        <v>0</v>
      </c>
      <c r="AR207" s="179">
        <f t="shared" si="229"/>
        <v>0</v>
      </c>
      <c r="AS207" s="17">
        <f t="shared" si="229"/>
        <v>0</v>
      </c>
      <c r="AT207" s="17">
        <f t="shared" si="229"/>
        <v>0</v>
      </c>
      <c r="AU207" s="17">
        <f t="shared" si="229"/>
        <v>0</v>
      </c>
      <c r="AV207" s="17">
        <f t="shared" si="229"/>
        <v>0</v>
      </c>
      <c r="AW207" s="17">
        <f t="shared" si="229"/>
        <v>0</v>
      </c>
      <c r="AX207" s="14">
        <f t="shared" si="229"/>
        <v>0</v>
      </c>
      <c r="AY207" s="14">
        <f t="shared" si="229"/>
        <v>0</v>
      </c>
      <c r="AZ207" s="18">
        <f t="shared" si="229"/>
        <v>0</v>
      </c>
    </row>
    <row r="208" spans="1:52" s="99" customFormat="1" ht="12.95" customHeight="1" x14ac:dyDescent="0.25">
      <c r="A208" s="344"/>
      <c r="D208" s="344"/>
      <c r="E208" s="436"/>
      <c r="F208" s="344"/>
      <c r="G208" s="346"/>
      <c r="H208" s="2">
        <v>3124</v>
      </c>
      <c r="I208" s="178">
        <f t="shared" ref="I208:AZ208" si="230">SUMIF($F$12:$F$464,"=3124",I$12:I$464)</f>
        <v>0</v>
      </c>
      <c r="J208" s="17">
        <f t="shared" si="230"/>
        <v>0</v>
      </c>
      <c r="K208" s="17">
        <f t="shared" si="230"/>
        <v>0</v>
      </c>
      <c r="L208" s="17">
        <f t="shared" si="230"/>
        <v>0</v>
      </c>
      <c r="M208" s="17">
        <f t="shared" si="230"/>
        <v>0</v>
      </c>
      <c r="N208" s="17">
        <f t="shared" si="230"/>
        <v>0</v>
      </c>
      <c r="O208" s="14">
        <f t="shared" si="230"/>
        <v>0</v>
      </c>
      <c r="P208" s="14">
        <f t="shared" si="230"/>
        <v>0</v>
      </c>
      <c r="Q208" s="180">
        <f t="shared" si="230"/>
        <v>0</v>
      </c>
      <c r="R208" s="178">
        <f t="shared" si="230"/>
        <v>0</v>
      </c>
      <c r="S208" s="17">
        <f t="shared" si="230"/>
        <v>0</v>
      </c>
      <c r="T208" s="17">
        <f t="shared" si="230"/>
        <v>0</v>
      </c>
      <c r="U208" s="17">
        <f t="shared" si="230"/>
        <v>0</v>
      </c>
      <c r="V208" s="17">
        <f t="shared" si="230"/>
        <v>0</v>
      </c>
      <c r="W208" s="17">
        <f t="shared" si="230"/>
        <v>0</v>
      </c>
      <c r="X208" s="17">
        <f t="shared" si="230"/>
        <v>0</v>
      </c>
      <c r="Y208" s="17">
        <f t="shared" si="230"/>
        <v>0</v>
      </c>
      <c r="Z208" s="17">
        <f t="shared" si="230"/>
        <v>0</v>
      </c>
      <c r="AA208" s="17">
        <f t="shared" si="230"/>
        <v>0</v>
      </c>
      <c r="AB208" s="17">
        <f t="shared" si="230"/>
        <v>0</v>
      </c>
      <c r="AC208" s="17">
        <f t="shared" si="230"/>
        <v>0</v>
      </c>
      <c r="AD208" s="17">
        <f t="shared" si="230"/>
        <v>0</v>
      </c>
      <c r="AE208" s="17">
        <f t="shared" si="230"/>
        <v>0</v>
      </c>
      <c r="AF208" s="17">
        <f t="shared" si="230"/>
        <v>0</v>
      </c>
      <c r="AG208" s="17">
        <f t="shared" si="230"/>
        <v>0</v>
      </c>
      <c r="AH208" s="14">
        <f t="shared" si="230"/>
        <v>0</v>
      </c>
      <c r="AI208" s="14">
        <f t="shared" si="230"/>
        <v>0</v>
      </c>
      <c r="AJ208" s="14">
        <f t="shared" si="230"/>
        <v>0</v>
      </c>
      <c r="AK208" s="14">
        <f t="shared" si="230"/>
        <v>0</v>
      </c>
      <c r="AL208" s="14">
        <f t="shared" si="230"/>
        <v>0</v>
      </c>
      <c r="AM208" s="14">
        <f t="shared" si="230"/>
        <v>0</v>
      </c>
      <c r="AN208" s="14">
        <f t="shared" si="230"/>
        <v>0</v>
      </c>
      <c r="AO208" s="14">
        <f t="shared" si="230"/>
        <v>0</v>
      </c>
      <c r="AP208" s="14">
        <f t="shared" si="230"/>
        <v>0</v>
      </c>
      <c r="AQ208" s="18">
        <f t="shared" si="230"/>
        <v>0</v>
      </c>
      <c r="AR208" s="179">
        <f t="shared" si="230"/>
        <v>0</v>
      </c>
      <c r="AS208" s="17">
        <f t="shared" si="230"/>
        <v>0</v>
      </c>
      <c r="AT208" s="17">
        <f t="shared" si="230"/>
        <v>0</v>
      </c>
      <c r="AU208" s="17">
        <f t="shared" si="230"/>
        <v>0</v>
      </c>
      <c r="AV208" s="17">
        <f t="shared" si="230"/>
        <v>0</v>
      </c>
      <c r="AW208" s="17">
        <f t="shared" si="230"/>
        <v>0</v>
      </c>
      <c r="AX208" s="14">
        <f t="shared" si="230"/>
        <v>0</v>
      </c>
      <c r="AY208" s="14">
        <f t="shared" si="230"/>
        <v>0</v>
      </c>
      <c r="AZ208" s="18">
        <f t="shared" si="230"/>
        <v>0</v>
      </c>
    </row>
    <row r="209" spans="1:52" s="99" customFormat="1" ht="12.95" customHeight="1" x14ac:dyDescent="0.25">
      <c r="A209" s="344"/>
      <c r="D209" s="344"/>
      <c r="E209" s="436"/>
      <c r="F209" s="344"/>
      <c r="G209" s="346"/>
      <c r="H209" s="2">
        <v>3141</v>
      </c>
      <c r="I209" s="178">
        <f t="shared" ref="I209:AZ209" si="231">SUMIF($F$12:$F$464,"=3141",I$12:I$464)</f>
        <v>36888509</v>
      </c>
      <c r="J209" s="17">
        <f t="shared" si="231"/>
        <v>26891789</v>
      </c>
      <c r="K209" s="17">
        <f t="shared" si="231"/>
        <v>86450</v>
      </c>
      <c r="L209" s="17">
        <f t="shared" si="231"/>
        <v>9118644</v>
      </c>
      <c r="M209" s="17">
        <f t="shared" si="231"/>
        <v>537836</v>
      </c>
      <c r="N209" s="17">
        <f t="shared" si="231"/>
        <v>253790</v>
      </c>
      <c r="O209" s="14">
        <f t="shared" si="231"/>
        <v>85.02</v>
      </c>
      <c r="P209" s="14">
        <f t="shared" si="231"/>
        <v>0</v>
      </c>
      <c r="Q209" s="180">
        <f t="shared" si="231"/>
        <v>85.02</v>
      </c>
      <c r="R209" s="178">
        <f t="shared" si="231"/>
        <v>0</v>
      </c>
      <c r="S209" s="17">
        <f t="shared" si="231"/>
        <v>0</v>
      </c>
      <c r="T209" s="17">
        <f t="shared" si="231"/>
        <v>0</v>
      </c>
      <c r="U209" s="17">
        <f t="shared" si="231"/>
        <v>0</v>
      </c>
      <c r="V209" s="17">
        <f t="shared" si="231"/>
        <v>0</v>
      </c>
      <c r="W209" s="17">
        <f t="shared" si="231"/>
        <v>0</v>
      </c>
      <c r="X209" s="17">
        <f t="shared" si="231"/>
        <v>0</v>
      </c>
      <c r="Y209" s="17">
        <f t="shared" si="231"/>
        <v>0</v>
      </c>
      <c r="Z209" s="17">
        <f t="shared" si="231"/>
        <v>0</v>
      </c>
      <c r="AA209" s="17">
        <f t="shared" si="231"/>
        <v>0</v>
      </c>
      <c r="AB209" s="17">
        <f t="shared" si="231"/>
        <v>0</v>
      </c>
      <c r="AC209" s="17">
        <f t="shared" si="231"/>
        <v>0</v>
      </c>
      <c r="AD209" s="17">
        <f t="shared" si="231"/>
        <v>0</v>
      </c>
      <c r="AE209" s="17">
        <f t="shared" si="231"/>
        <v>0</v>
      </c>
      <c r="AF209" s="17">
        <f t="shared" si="231"/>
        <v>0</v>
      </c>
      <c r="AG209" s="17">
        <f t="shared" si="231"/>
        <v>0</v>
      </c>
      <c r="AH209" s="14">
        <f t="shared" si="231"/>
        <v>0</v>
      </c>
      <c r="AI209" s="14">
        <f t="shared" si="231"/>
        <v>0</v>
      </c>
      <c r="AJ209" s="14">
        <f t="shared" si="231"/>
        <v>0</v>
      </c>
      <c r="AK209" s="14">
        <f t="shared" si="231"/>
        <v>0</v>
      </c>
      <c r="AL209" s="14">
        <f t="shared" si="231"/>
        <v>0</v>
      </c>
      <c r="AM209" s="14">
        <f t="shared" si="231"/>
        <v>0</v>
      </c>
      <c r="AN209" s="14">
        <f t="shared" si="231"/>
        <v>0</v>
      </c>
      <c r="AO209" s="14">
        <f t="shared" si="231"/>
        <v>0</v>
      </c>
      <c r="AP209" s="14">
        <f t="shared" si="231"/>
        <v>0</v>
      </c>
      <c r="AQ209" s="18">
        <f t="shared" si="231"/>
        <v>0</v>
      </c>
      <c r="AR209" s="179">
        <f t="shared" si="231"/>
        <v>36888509</v>
      </c>
      <c r="AS209" s="17">
        <f t="shared" si="231"/>
        <v>26891789</v>
      </c>
      <c r="AT209" s="17">
        <f t="shared" si="231"/>
        <v>86450</v>
      </c>
      <c r="AU209" s="17">
        <f t="shared" si="231"/>
        <v>9118644</v>
      </c>
      <c r="AV209" s="17">
        <f t="shared" si="231"/>
        <v>537836</v>
      </c>
      <c r="AW209" s="17">
        <f t="shared" si="231"/>
        <v>253790</v>
      </c>
      <c r="AX209" s="14">
        <f t="shared" si="231"/>
        <v>85.02</v>
      </c>
      <c r="AY209" s="14">
        <f t="shared" si="231"/>
        <v>0</v>
      </c>
      <c r="AZ209" s="18">
        <f t="shared" si="231"/>
        <v>85.02</v>
      </c>
    </row>
    <row r="210" spans="1:52" s="99" customFormat="1" ht="12.95" customHeight="1" x14ac:dyDescent="0.25">
      <c r="A210" s="344"/>
      <c r="D210" s="344"/>
      <c r="E210" s="436"/>
      <c r="F210" s="344"/>
      <c r="G210" s="346"/>
      <c r="H210" s="2">
        <v>3143</v>
      </c>
      <c r="I210" s="178">
        <f t="shared" ref="I210:AZ210" si="232">SUMIF($F$12:$F$464,"=3143",I$12:I$464)</f>
        <v>23555491</v>
      </c>
      <c r="J210" s="17">
        <f t="shared" si="232"/>
        <v>17301820</v>
      </c>
      <c r="K210" s="17">
        <f t="shared" si="232"/>
        <v>19760</v>
      </c>
      <c r="L210" s="17">
        <f t="shared" si="232"/>
        <v>5854694</v>
      </c>
      <c r="M210" s="17">
        <f t="shared" si="232"/>
        <v>346037</v>
      </c>
      <c r="N210" s="17">
        <f t="shared" si="232"/>
        <v>33180</v>
      </c>
      <c r="O210" s="14">
        <f t="shared" si="232"/>
        <v>36.103700000000011</v>
      </c>
      <c r="P210" s="14">
        <f t="shared" si="232"/>
        <v>33.733700000000006</v>
      </c>
      <c r="Q210" s="180">
        <f t="shared" si="232"/>
        <v>2.37</v>
      </c>
      <c r="R210" s="178">
        <f t="shared" si="232"/>
        <v>0</v>
      </c>
      <c r="S210" s="17">
        <f t="shared" si="232"/>
        <v>0</v>
      </c>
      <c r="T210" s="17">
        <f t="shared" si="232"/>
        <v>0</v>
      </c>
      <c r="U210" s="17">
        <f t="shared" si="232"/>
        <v>0</v>
      </c>
      <c r="V210" s="17">
        <f t="shared" si="232"/>
        <v>0</v>
      </c>
      <c r="W210" s="17">
        <f t="shared" si="232"/>
        <v>0</v>
      </c>
      <c r="X210" s="17">
        <f t="shared" si="232"/>
        <v>0</v>
      </c>
      <c r="Y210" s="17">
        <f t="shared" si="232"/>
        <v>0</v>
      </c>
      <c r="Z210" s="17">
        <f t="shared" si="232"/>
        <v>0</v>
      </c>
      <c r="AA210" s="17">
        <f t="shared" si="232"/>
        <v>0</v>
      </c>
      <c r="AB210" s="17">
        <f t="shared" si="232"/>
        <v>0</v>
      </c>
      <c r="AC210" s="17">
        <f t="shared" si="232"/>
        <v>0</v>
      </c>
      <c r="AD210" s="17">
        <f t="shared" si="232"/>
        <v>0</v>
      </c>
      <c r="AE210" s="17">
        <f t="shared" si="232"/>
        <v>0</v>
      </c>
      <c r="AF210" s="17">
        <f t="shared" si="232"/>
        <v>0</v>
      </c>
      <c r="AG210" s="17">
        <f t="shared" si="232"/>
        <v>0</v>
      </c>
      <c r="AH210" s="14">
        <f t="shared" si="232"/>
        <v>0</v>
      </c>
      <c r="AI210" s="14">
        <f t="shared" si="232"/>
        <v>0</v>
      </c>
      <c r="AJ210" s="14">
        <f t="shared" si="232"/>
        <v>0</v>
      </c>
      <c r="AK210" s="14">
        <f t="shared" si="232"/>
        <v>0</v>
      </c>
      <c r="AL210" s="14">
        <f t="shared" si="232"/>
        <v>0</v>
      </c>
      <c r="AM210" s="14">
        <f t="shared" si="232"/>
        <v>0</v>
      </c>
      <c r="AN210" s="14">
        <f t="shared" si="232"/>
        <v>0</v>
      </c>
      <c r="AO210" s="14">
        <f t="shared" si="232"/>
        <v>0</v>
      </c>
      <c r="AP210" s="14">
        <f t="shared" si="232"/>
        <v>0</v>
      </c>
      <c r="AQ210" s="18">
        <f t="shared" si="232"/>
        <v>0</v>
      </c>
      <c r="AR210" s="179">
        <f t="shared" si="232"/>
        <v>23555491</v>
      </c>
      <c r="AS210" s="17">
        <f t="shared" si="232"/>
        <v>17301820</v>
      </c>
      <c r="AT210" s="17">
        <f t="shared" si="232"/>
        <v>19760</v>
      </c>
      <c r="AU210" s="17">
        <f t="shared" si="232"/>
        <v>5854694</v>
      </c>
      <c r="AV210" s="17">
        <f t="shared" si="232"/>
        <v>346037</v>
      </c>
      <c r="AW210" s="17">
        <f t="shared" si="232"/>
        <v>33180</v>
      </c>
      <c r="AX210" s="14">
        <f t="shared" si="232"/>
        <v>36.103700000000011</v>
      </c>
      <c r="AY210" s="14">
        <f t="shared" si="232"/>
        <v>33.733700000000006</v>
      </c>
      <c r="AZ210" s="18">
        <f t="shared" si="232"/>
        <v>2.37</v>
      </c>
    </row>
    <row r="211" spans="1:52" s="99" customFormat="1" ht="12.95" customHeight="1" x14ac:dyDescent="0.25">
      <c r="A211" s="344"/>
      <c r="D211" s="344"/>
      <c r="E211" s="436"/>
      <c r="F211" s="344"/>
      <c r="G211" s="346"/>
      <c r="H211" s="2">
        <v>3231</v>
      </c>
      <c r="I211" s="178">
        <f t="shared" ref="I211:AZ211" si="233">SUMIF($F$12:$F$464,"=3231",I$12:I$464)</f>
        <v>21917587</v>
      </c>
      <c r="J211" s="17">
        <f t="shared" si="233"/>
        <v>16088639</v>
      </c>
      <c r="K211" s="17">
        <f t="shared" si="233"/>
        <v>0</v>
      </c>
      <c r="L211" s="17">
        <f t="shared" si="233"/>
        <v>5437960</v>
      </c>
      <c r="M211" s="17">
        <f t="shared" si="233"/>
        <v>321773</v>
      </c>
      <c r="N211" s="17">
        <f t="shared" si="233"/>
        <v>69215</v>
      </c>
      <c r="O211" s="14">
        <f t="shared" si="233"/>
        <v>29.881300000000003</v>
      </c>
      <c r="P211" s="14">
        <f t="shared" si="233"/>
        <v>26.548200000000001</v>
      </c>
      <c r="Q211" s="180">
        <f t="shared" si="233"/>
        <v>3.3331</v>
      </c>
      <c r="R211" s="178">
        <f t="shared" si="233"/>
        <v>0</v>
      </c>
      <c r="S211" s="17">
        <f t="shared" si="233"/>
        <v>0</v>
      </c>
      <c r="T211" s="17">
        <f t="shared" si="233"/>
        <v>0</v>
      </c>
      <c r="U211" s="17">
        <f t="shared" si="233"/>
        <v>0</v>
      </c>
      <c r="V211" s="17">
        <f t="shared" si="233"/>
        <v>0</v>
      </c>
      <c r="W211" s="17">
        <f t="shared" si="233"/>
        <v>0</v>
      </c>
      <c r="X211" s="17">
        <f t="shared" si="233"/>
        <v>0</v>
      </c>
      <c r="Y211" s="17">
        <f t="shared" si="233"/>
        <v>0</v>
      </c>
      <c r="Z211" s="17">
        <f t="shared" si="233"/>
        <v>0</v>
      </c>
      <c r="AA211" s="17">
        <f t="shared" si="233"/>
        <v>0</v>
      </c>
      <c r="AB211" s="17">
        <f t="shared" si="233"/>
        <v>0</v>
      </c>
      <c r="AC211" s="17">
        <f t="shared" si="233"/>
        <v>0</v>
      </c>
      <c r="AD211" s="17">
        <f t="shared" si="233"/>
        <v>0</v>
      </c>
      <c r="AE211" s="17">
        <f t="shared" si="233"/>
        <v>0</v>
      </c>
      <c r="AF211" s="17">
        <f t="shared" si="233"/>
        <v>0</v>
      </c>
      <c r="AG211" s="17">
        <f t="shared" si="233"/>
        <v>0</v>
      </c>
      <c r="AH211" s="14">
        <f t="shared" si="233"/>
        <v>0</v>
      </c>
      <c r="AI211" s="14">
        <f t="shared" si="233"/>
        <v>0</v>
      </c>
      <c r="AJ211" s="14">
        <f t="shared" si="233"/>
        <v>0</v>
      </c>
      <c r="AK211" s="14">
        <f t="shared" si="233"/>
        <v>0</v>
      </c>
      <c r="AL211" s="14">
        <f t="shared" si="233"/>
        <v>0</v>
      </c>
      <c r="AM211" s="14">
        <f t="shared" si="233"/>
        <v>0</v>
      </c>
      <c r="AN211" s="14">
        <f t="shared" si="233"/>
        <v>0</v>
      </c>
      <c r="AO211" s="14">
        <f t="shared" si="233"/>
        <v>0</v>
      </c>
      <c r="AP211" s="14">
        <f t="shared" si="233"/>
        <v>0</v>
      </c>
      <c r="AQ211" s="18">
        <f t="shared" si="233"/>
        <v>0</v>
      </c>
      <c r="AR211" s="179">
        <f t="shared" si="233"/>
        <v>21917587</v>
      </c>
      <c r="AS211" s="17">
        <f t="shared" si="233"/>
        <v>16088639</v>
      </c>
      <c r="AT211" s="17">
        <f t="shared" si="233"/>
        <v>0</v>
      </c>
      <c r="AU211" s="17">
        <f t="shared" si="233"/>
        <v>5437960</v>
      </c>
      <c r="AV211" s="17">
        <f t="shared" si="233"/>
        <v>321773</v>
      </c>
      <c r="AW211" s="17">
        <f t="shared" si="233"/>
        <v>69215</v>
      </c>
      <c r="AX211" s="14">
        <f t="shared" si="233"/>
        <v>29.881300000000003</v>
      </c>
      <c r="AY211" s="14">
        <f t="shared" si="233"/>
        <v>26.548200000000001</v>
      </c>
      <c r="AZ211" s="18">
        <f t="shared" si="233"/>
        <v>3.3331</v>
      </c>
    </row>
    <row r="212" spans="1:52" s="99" customFormat="1" ht="12.95" customHeight="1" thickBot="1" x14ac:dyDescent="0.3">
      <c r="A212" s="344"/>
      <c r="D212" s="344"/>
      <c r="E212" s="436"/>
      <c r="F212" s="344"/>
      <c r="G212" s="346"/>
      <c r="H212" s="162">
        <v>3233</v>
      </c>
      <c r="I212" s="181">
        <f t="shared" ref="I212:AZ212" si="234">SUMIF($F$12:$F$464,"=3233",I$12:I$464)</f>
        <v>4669509</v>
      </c>
      <c r="J212" s="182">
        <f t="shared" si="234"/>
        <v>3433300</v>
      </c>
      <c r="K212" s="182">
        <f t="shared" si="234"/>
        <v>0</v>
      </c>
      <c r="L212" s="182">
        <f t="shared" si="234"/>
        <v>1160455</v>
      </c>
      <c r="M212" s="182">
        <f t="shared" si="234"/>
        <v>68666</v>
      </c>
      <c r="N212" s="182">
        <f t="shared" si="234"/>
        <v>7088</v>
      </c>
      <c r="O212" s="183">
        <f t="shared" si="234"/>
        <v>7.75</v>
      </c>
      <c r="P212" s="183">
        <f t="shared" si="234"/>
        <v>4.66</v>
      </c>
      <c r="Q212" s="186">
        <f t="shared" si="234"/>
        <v>3.09</v>
      </c>
      <c r="R212" s="181">
        <f t="shared" si="234"/>
        <v>0</v>
      </c>
      <c r="S212" s="182">
        <f t="shared" si="234"/>
        <v>0</v>
      </c>
      <c r="T212" s="182">
        <f t="shared" si="234"/>
        <v>0</v>
      </c>
      <c r="U212" s="182">
        <f t="shared" si="234"/>
        <v>0</v>
      </c>
      <c r="V212" s="182">
        <f t="shared" si="234"/>
        <v>0</v>
      </c>
      <c r="W212" s="182">
        <f t="shared" si="234"/>
        <v>0</v>
      </c>
      <c r="X212" s="182">
        <f t="shared" si="234"/>
        <v>0</v>
      </c>
      <c r="Y212" s="182">
        <f t="shared" si="234"/>
        <v>0</v>
      </c>
      <c r="Z212" s="182">
        <f t="shared" si="234"/>
        <v>0</v>
      </c>
      <c r="AA212" s="182">
        <f t="shared" si="234"/>
        <v>0</v>
      </c>
      <c r="AB212" s="182">
        <f t="shared" si="234"/>
        <v>0</v>
      </c>
      <c r="AC212" s="182">
        <f t="shared" si="234"/>
        <v>0</v>
      </c>
      <c r="AD212" s="182">
        <f t="shared" si="234"/>
        <v>0</v>
      </c>
      <c r="AE212" s="182">
        <f t="shared" si="234"/>
        <v>41642</v>
      </c>
      <c r="AF212" s="182">
        <f t="shared" si="234"/>
        <v>41642</v>
      </c>
      <c r="AG212" s="182">
        <f t="shared" si="234"/>
        <v>41642</v>
      </c>
      <c r="AH212" s="183">
        <f t="shared" si="234"/>
        <v>0</v>
      </c>
      <c r="AI212" s="183">
        <f t="shared" si="234"/>
        <v>0</v>
      </c>
      <c r="AJ212" s="183">
        <f t="shared" si="234"/>
        <v>0</v>
      </c>
      <c r="AK212" s="183">
        <f t="shared" si="234"/>
        <v>0</v>
      </c>
      <c r="AL212" s="183">
        <f t="shared" si="234"/>
        <v>0</v>
      </c>
      <c r="AM212" s="183">
        <f t="shared" si="234"/>
        <v>0</v>
      </c>
      <c r="AN212" s="183">
        <f t="shared" si="234"/>
        <v>0</v>
      </c>
      <c r="AO212" s="183">
        <f t="shared" si="234"/>
        <v>0</v>
      </c>
      <c r="AP212" s="183">
        <f t="shared" si="234"/>
        <v>0</v>
      </c>
      <c r="AQ212" s="184">
        <f t="shared" si="234"/>
        <v>0</v>
      </c>
      <c r="AR212" s="185">
        <f t="shared" si="234"/>
        <v>4711151</v>
      </c>
      <c r="AS212" s="182">
        <f t="shared" si="234"/>
        <v>3433300</v>
      </c>
      <c r="AT212" s="182">
        <f t="shared" si="234"/>
        <v>0</v>
      </c>
      <c r="AU212" s="182">
        <f t="shared" si="234"/>
        <v>1160455</v>
      </c>
      <c r="AV212" s="182">
        <f t="shared" si="234"/>
        <v>68666</v>
      </c>
      <c r="AW212" s="182">
        <f t="shared" si="234"/>
        <v>48730</v>
      </c>
      <c r="AX212" s="183">
        <f t="shared" si="234"/>
        <v>7.75</v>
      </c>
      <c r="AY212" s="183">
        <f t="shared" si="234"/>
        <v>4.66</v>
      </c>
      <c r="AZ212" s="184">
        <f t="shared" si="234"/>
        <v>3.09</v>
      </c>
    </row>
    <row r="213" spans="1:52" s="347" customFormat="1" ht="12.95" customHeight="1" x14ac:dyDescent="0.25">
      <c r="A213" s="434"/>
      <c r="B213" s="283"/>
      <c r="C213" s="283"/>
      <c r="D213" s="283"/>
      <c r="E213" s="283"/>
      <c r="F213" s="283"/>
      <c r="G213" s="283"/>
      <c r="H213" s="435"/>
      <c r="O213" s="348"/>
      <c r="P213" s="348"/>
      <c r="Q213" s="348"/>
      <c r="AH213" s="348"/>
      <c r="AI213" s="348"/>
      <c r="AJ213" s="348"/>
      <c r="AK213" s="348"/>
      <c r="AL213" s="348"/>
      <c r="AM213" s="348"/>
      <c r="AN213" s="348"/>
      <c r="AO213" s="348"/>
      <c r="AP213" s="348"/>
      <c r="AQ213" s="348"/>
      <c r="AX213" s="348"/>
      <c r="AY213" s="348"/>
      <c r="AZ213" s="348"/>
    </row>
    <row r="214" spans="1:52" s="347" customFormat="1" ht="12.95" customHeight="1" x14ac:dyDescent="0.25">
      <c r="A214" s="434"/>
      <c r="B214" s="283"/>
      <c r="C214" s="283"/>
      <c r="D214" s="283"/>
      <c r="E214" s="283"/>
      <c r="F214" s="342"/>
      <c r="G214" s="283"/>
      <c r="H214" s="435"/>
      <c r="O214" s="348"/>
      <c r="P214" s="348"/>
      <c r="Q214" s="348"/>
      <c r="AH214" s="348"/>
      <c r="AI214" s="348"/>
      <c r="AJ214" s="348"/>
      <c r="AK214" s="348"/>
      <c r="AL214" s="348"/>
      <c r="AM214" s="348"/>
      <c r="AN214" s="348"/>
      <c r="AO214" s="348"/>
      <c r="AP214" s="348"/>
      <c r="AQ214" s="348"/>
      <c r="AX214" s="348"/>
      <c r="AY214" s="348"/>
      <c r="AZ214" s="348"/>
    </row>
    <row r="215" spans="1:52" s="347" customFormat="1" x14ac:dyDescent="0.25">
      <c r="A215" s="434"/>
      <c r="B215" s="283"/>
      <c r="C215" s="283"/>
      <c r="D215" s="283"/>
      <c r="E215" s="283"/>
      <c r="F215" s="342"/>
      <c r="G215" s="283"/>
      <c r="H215" s="435"/>
      <c r="O215" s="348"/>
      <c r="P215" s="348"/>
      <c r="Q215" s="348"/>
      <c r="AH215" s="348"/>
      <c r="AI215" s="348"/>
      <c r="AJ215" s="348"/>
      <c r="AK215" s="348"/>
      <c r="AL215" s="348"/>
      <c r="AM215" s="348"/>
      <c r="AN215" s="348"/>
      <c r="AO215" s="348"/>
      <c r="AP215" s="348"/>
      <c r="AQ215" s="348"/>
      <c r="AX215" s="348"/>
      <c r="AY215" s="348"/>
      <c r="AZ215" s="348"/>
    </row>
    <row r="216" spans="1:52" s="347" customFormat="1" x14ac:dyDescent="0.25">
      <c r="A216" s="434"/>
      <c r="B216" s="283"/>
      <c r="C216" s="283"/>
      <c r="D216" s="283"/>
      <c r="E216" s="283"/>
      <c r="F216" s="342"/>
      <c r="G216" s="283"/>
      <c r="H216" s="435"/>
      <c r="O216" s="348"/>
      <c r="P216" s="348"/>
      <c r="Q216" s="348"/>
      <c r="AH216" s="348"/>
      <c r="AI216" s="348"/>
      <c r="AJ216" s="348"/>
      <c r="AK216" s="348"/>
      <c r="AL216" s="348"/>
      <c r="AM216" s="348"/>
      <c r="AN216" s="348"/>
      <c r="AO216" s="348"/>
      <c r="AP216" s="348"/>
      <c r="AQ216" s="348"/>
      <c r="AX216" s="348"/>
      <c r="AY216" s="348"/>
      <c r="AZ216" s="348"/>
    </row>
    <row r="217" spans="1:52" s="347" customFormat="1" x14ac:dyDescent="0.25">
      <c r="A217" s="434"/>
      <c r="B217" s="283"/>
      <c r="C217" s="283"/>
      <c r="D217" s="283"/>
      <c r="E217" s="283"/>
      <c r="F217" s="342"/>
      <c r="G217" s="283"/>
      <c r="H217" s="435"/>
      <c r="O217" s="348"/>
      <c r="P217" s="348"/>
      <c r="Q217" s="348"/>
      <c r="AH217" s="348"/>
      <c r="AI217" s="348"/>
      <c r="AJ217" s="348"/>
      <c r="AK217" s="348"/>
      <c r="AL217" s="348"/>
      <c r="AM217" s="348"/>
      <c r="AN217" s="348"/>
      <c r="AO217" s="348"/>
      <c r="AP217" s="348"/>
      <c r="AQ217" s="348"/>
      <c r="AX217" s="348"/>
      <c r="AY217" s="348"/>
      <c r="AZ217" s="348"/>
    </row>
    <row r="218" spans="1:52" s="347" customFormat="1" x14ac:dyDescent="0.25">
      <c r="A218" s="434"/>
      <c r="B218" s="283"/>
      <c r="C218" s="283"/>
      <c r="D218" s="283"/>
      <c r="E218" s="283"/>
      <c r="F218" s="342"/>
      <c r="G218" s="283"/>
      <c r="H218" s="435"/>
      <c r="O218" s="348"/>
      <c r="P218" s="348"/>
      <c r="Q218" s="348"/>
      <c r="AH218" s="348"/>
      <c r="AI218" s="348"/>
      <c r="AJ218" s="348"/>
      <c r="AK218" s="348"/>
      <c r="AL218" s="348"/>
      <c r="AM218" s="348"/>
      <c r="AN218" s="348"/>
      <c r="AO218" s="348"/>
      <c r="AP218" s="348"/>
      <c r="AQ218" s="348"/>
      <c r="AX218" s="348"/>
      <c r="AY218" s="348"/>
      <c r="AZ218" s="348"/>
    </row>
    <row r="219" spans="1:52" s="347" customFormat="1" x14ac:dyDescent="0.25">
      <c r="A219" s="434"/>
      <c r="B219" s="283"/>
      <c r="C219" s="283"/>
      <c r="D219" s="283"/>
      <c r="E219" s="283"/>
      <c r="F219" s="342"/>
      <c r="G219" s="283"/>
      <c r="H219" s="435"/>
      <c r="O219" s="348"/>
      <c r="P219" s="348"/>
      <c r="Q219" s="348"/>
      <c r="AH219" s="348"/>
      <c r="AI219" s="348"/>
      <c r="AJ219" s="348"/>
      <c r="AK219" s="348"/>
      <c r="AL219" s="348"/>
      <c r="AM219" s="348"/>
      <c r="AN219" s="348"/>
      <c r="AO219" s="348"/>
      <c r="AP219" s="348"/>
      <c r="AQ219" s="348"/>
      <c r="AX219" s="348"/>
      <c r="AY219" s="348"/>
      <c r="AZ219" s="348"/>
    </row>
  </sheetData>
  <mergeCells count="25">
    <mergeCell ref="A3:E3"/>
    <mergeCell ref="AC7:AC10"/>
    <mergeCell ref="AK8:AL9"/>
    <mergeCell ref="I6:Q7"/>
    <mergeCell ref="I8:I10"/>
    <mergeCell ref="J8:N9"/>
    <mergeCell ref="O8:O10"/>
    <mergeCell ref="P8:Q9"/>
    <mergeCell ref="R6:AQ6"/>
    <mergeCell ref="AH7:AQ7"/>
    <mergeCell ref="AM8:AN9"/>
    <mergeCell ref="AO8:AQ9"/>
    <mergeCell ref="AG7:AG10"/>
    <mergeCell ref="AH8:AI9"/>
    <mergeCell ref="AJ8:AJ9"/>
    <mergeCell ref="AR6:AZ7"/>
    <mergeCell ref="R7:V9"/>
    <mergeCell ref="W7:Z9"/>
    <mergeCell ref="AA7:AA10"/>
    <mergeCell ref="AB7:AB10"/>
    <mergeCell ref="AD7:AF9"/>
    <mergeCell ref="AR8:AR10"/>
    <mergeCell ref="AS8:AW9"/>
    <mergeCell ref="AX8:AX10"/>
    <mergeCell ref="AY8:AZ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145"/>
  <sheetViews>
    <sheetView workbookViewId="0">
      <pane xSplit="1" ySplit="12" topLeftCell="T13" activePane="bottomRight" state="frozen"/>
      <selection pane="topRight" activeCell="B1" sqref="B1"/>
      <selection pane="bottomLeft" activeCell="A13" sqref="A13"/>
      <selection pane="bottomRight" activeCell="AL23" sqref="AL23:AQ23"/>
    </sheetView>
  </sheetViews>
  <sheetFormatPr defaultRowHeight="12.75" x14ac:dyDescent="0.2"/>
  <cols>
    <col min="1" max="1" width="7.85546875" style="25" customWidth="1"/>
    <col min="2" max="2" width="12.28515625" style="9" customWidth="1"/>
    <col min="3" max="7" width="11.85546875" style="9" customWidth="1"/>
    <col min="8" max="8" width="11.28515625" style="8" customWidth="1"/>
    <col min="9" max="10" width="10" style="8" customWidth="1"/>
    <col min="11" max="12" width="9.5703125" style="9" customWidth="1"/>
    <col min="13" max="13" width="10.140625" style="9" customWidth="1"/>
    <col min="14" max="14" width="9.7109375" style="16" customWidth="1"/>
    <col min="15" max="15" width="9.5703125" style="9" bestFit="1" customWidth="1"/>
    <col min="16" max="17" width="9.7109375" style="9" customWidth="1"/>
    <col min="18" max="18" width="9.5703125" style="9" bestFit="1" customWidth="1"/>
    <col min="19" max="19" width="9.140625" style="9"/>
    <col min="20" max="20" width="9.7109375" style="9" customWidth="1"/>
    <col min="21" max="22" width="9.140625" style="9"/>
    <col min="23" max="23" width="9.85546875" style="9" customWidth="1"/>
    <col min="24" max="24" width="9.140625" style="9"/>
    <col min="25" max="25" width="10.85546875" style="9" bestFit="1" customWidth="1"/>
    <col min="26" max="26" width="10.140625" style="9" customWidth="1"/>
    <col min="27" max="28" width="9.140625" style="8"/>
    <col min="29" max="32" width="9.140625" style="8" customWidth="1"/>
    <col min="33" max="36" width="9.140625" style="8"/>
    <col min="37" max="39" width="10.85546875" style="9" bestFit="1" customWidth="1"/>
    <col min="40" max="40" width="12.42578125" style="9" bestFit="1" customWidth="1"/>
    <col min="41" max="42" width="10.85546875" style="9" bestFit="1" customWidth="1"/>
    <col min="43" max="43" width="11.85546875" style="8" customWidth="1"/>
    <col min="44" max="45" width="10.85546875" style="8" bestFit="1" customWidth="1"/>
    <col min="203" max="203" width="7.42578125" customWidth="1"/>
    <col min="204" max="205" width="10.85546875" bestFit="1" customWidth="1"/>
    <col min="206" max="207" width="10.85546875" customWidth="1"/>
    <col min="208" max="212" width="10" customWidth="1"/>
    <col min="216" max="217" width="10.85546875" bestFit="1" customWidth="1"/>
    <col min="218" max="218" width="10" bestFit="1" customWidth="1"/>
    <col min="219" max="220" width="9.28515625" bestFit="1" customWidth="1"/>
    <col min="459" max="459" width="7.42578125" customWidth="1"/>
    <col min="460" max="461" width="10.85546875" bestFit="1" customWidth="1"/>
    <col min="462" max="463" width="10.85546875" customWidth="1"/>
    <col min="464" max="468" width="10" customWidth="1"/>
    <col min="472" max="473" width="10.85546875" bestFit="1" customWidth="1"/>
    <col min="474" max="474" width="10" bestFit="1" customWidth="1"/>
    <col min="475" max="476" width="9.28515625" bestFit="1" customWidth="1"/>
    <col min="715" max="715" width="7.42578125" customWidth="1"/>
    <col min="716" max="717" width="10.85546875" bestFit="1" customWidth="1"/>
    <col min="718" max="719" width="10.85546875" customWidth="1"/>
    <col min="720" max="724" width="10" customWidth="1"/>
    <col min="728" max="729" width="10.85546875" bestFit="1" customWidth="1"/>
    <col min="730" max="730" width="10" bestFit="1" customWidth="1"/>
    <col min="731" max="732" width="9.28515625" bestFit="1" customWidth="1"/>
    <col min="971" max="971" width="7.42578125" customWidth="1"/>
    <col min="972" max="973" width="10.85546875" bestFit="1" customWidth="1"/>
    <col min="974" max="975" width="10.85546875" customWidth="1"/>
    <col min="976" max="980" width="10" customWidth="1"/>
    <col min="984" max="985" width="10.85546875" bestFit="1" customWidth="1"/>
    <col min="986" max="986" width="10" bestFit="1" customWidth="1"/>
    <col min="987" max="988" width="9.28515625" bestFit="1" customWidth="1"/>
    <col min="1227" max="1227" width="7.42578125" customWidth="1"/>
    <col min="1228" max="1229" width="10.85546875" bestFit="1" customWidth="1"/>
    <col min="1230" max="1231" width="10.85546875" customWidth="1"/>
    <col min="1232" max="1236" width="10" customWidth="1"/>
    <col min="1240" max="1241" width="10.85546875" bestFit="1" customWidth="1"/>
    <col min="1242" max="1242" width="10" bestFit="1" customWidth="1"/>
    <col min="1243" max="1244" width="9.28515625" bestFit="1" customWidth="1"/>
    <col min="1483" max="1483" width="7.42578125" customWidth="1"/>
    <col min="1484" max="1485" width="10.85546875" bestFit="1" customWidth="1"/>
    <col min="1486" max="1487" width="10.85546875" customWidth="1"/>
    <col min="1488" max="1492" width="10" customWidth="1"/>
    <col min="1496" max="1497" width="10.85546875" bestFit="1" customWidth="1"/>
    <col min="1498" max="1498" width="10" bestFit="1" customWidth="1"/>
    <col min="1499" max="1500" width="9.28515625" bestFit="1" customWidth="1"/>
    <col min="1739" max="1739" width="7.42578125" customWidth="1"/>
    <col min="1740" max="1741" width="10.85546875" bestFit="1" customWidth="1"/>
    <col min="1742" max="1743" width="10.85546875" customWidth="1"/>
    <col min="1744" max="1748" width="10" customWidth="1"/>
    <col min="1752" max="1753" width="10.85546875" bestFit="1" customWidth="1"/>
    <col min="1754" max="1754" width="10" bestFit="1" customWidth="1"/>
    <col min="1755" max="1756" width="9.28515625" bestFit="1" customWidth="1"/>
    <col min="1995" max="1995" width="7.42578125" customWidth="1"/>
    <col min="1996" max="1997" width="10.85546875" bestFit="1" customWidth="1"/>
    <col min="1998" max="1999" width="10.85546875" customWidth="1"/>
    <col min="2000" max="2004" width="10" customWidth="1"/>
    <col min="2008" max="2009" width="10.85546875" bestFit="1" customWidth="1"/>
    <col min="2010" max="2010" width="10" bestFit="1" customWidth="1"/>
    <col min="2011" max="2012" width="9.28515625" bestFit="1" customWidth="1"/>
    <col min="2251" max="2251" width="7.42578125" customWidth="1"/>
    <col min="2252" max="2253" width="10.85546875" bestFit="1" customWidth="1"/>
    <col min="2254" max="2255" width="10.85546875" customWidth="1"/>
    <col min="2256" max="2260" width="10" customWidth="1"/>
    <col min="2264" max="2265" width="10.85546875" bestFit="1" customWidth="1"/>
    <col min="2266" max="2266" width="10" bestFit="1" customWidth="1"/>
    <col min="2267" max="2268" width="9.28515625" bestFit="1" customWidth="1"/>
    <col min="2507" max="2507" width="7.42578125" customWidth="1"/>
    <col min="2508" max="2509" width="10.85546875" bestFit="1" customWidth="1"/>
    <col min="2510" max="2511" width="10.85546875" customWidth="1"/>
    <col min="2512" max="2516" width="10" customWidth="1"/>
    <col min="2520" max="2521" width="10.85546875" bestFit="1" customWidth="1"/>
    <col min="2522" max="2522" width="10" bestFit="1" customWidth="1"/>
    <col min="2523" max="2524" width="9.28515625" bestFit="1" customWidth="1"/>
    <col min="2763" max="2763" width="7.42578125" customWidth="1"/>
    <col min="2764" max="2765" width="10.85546875" bestFit="1" customWidth="1"/>
    <col min="2766" max="2767" width="10.85546875" customWidth="1"/>
    <col min="2768" max="2772" width="10" customWidth="1"/>
    <col min="2776" max="2777" width="10.85546875" bestFit="1" customWidth="1"/>
    <col min="2778" max="2778" width="10" bestFit="1" customWidth="1"/>
    <col min="2779" max="2780" width="9.28515625" bestFit="1" customWidth="1"/>
    <col min="3019" max="3019" width="7.42578125" customWidth="1"/>
    <col min="3020" max="3021" width="10.85546875" bestFit="1" customWidth="1"/>
    <col min="3022" max="3023" width="10.85546875" customWidth="1"/>
    <col min="3024" max="3028" width="10" customWidth="1"/>
    <col min="3032" max="3033" width="10.85546875" bestFit="1" customWidth="1"/>
    <col min="3034" max="3034" width="10" bestFit="1" customWidth="1"/>
    <col min="3035" max="3036" width="9.28515625" bestFit="1" customWidth="1"/>
    <col min="3275" max="3275" width="7.42578125" customWidth="1"/>
    <col min="3276" max="3277" width="10.85546875" bestFit="1" customWidth="1"/>
    <col min="3278" max="3279" width="10.85546875" customWidth="1"/>
    <col min="3280" max="3284" width="10" customWidth="1"/>
    <col min="3288" max="3289" width="10.85546875" bestFit="1" customWidth="1"/>
    <col min="3290" max="3290" width="10" bestFit="1" customWidth="1"/>
    <col min="3291" max="3292" width="9.28515625" bestFit="1" customWidth="1"/>
    <col min="3531" max="3531" width="7.42578125" customWidth="1"/>
    <col min="3532" max="3533" width="10.85546875" bestFit="1" customWidth="1"/>
    <col min="3534" max="3535" width="10.85546875" customWidth="1"/>
    <col min="3536" max="3540" width="10" customWidth="1"/>
    <col min="3544" max="3545" width="10.85546875" bestFit="1" customWidth="1"/>
    <col min="3546" max="3546" width="10" bestFit="1" customWidth="1"/>
    <col min="3547" max="3548" width="9.28515625" bestFit="1" customWidth="1"/>
    <col min="3787" max="3787" width="7.42578125" customWidth="1"/>
    <col min="3788" max="3789" width="10.85546875" bestFit="1" customWidth="1"/>
    <col min="3790" max="3791" width="10.85546875" customWidth="1"/>
    <col min="3792" max="3796" width="10" customWidth="1"/>
    <col min="3800" max="3801" width="10.85546875" bestFit="1" customWidth="1"/>
    <col min="3802" max="3802" width="10" bestFit="1" customWidth="1"/>
    <col min="3803" max="3804" width="9.28515625" bestFit="1" customWidth="1"/>
    <col min="4043" max="4043" width="7.42578125" customWidth="1"/>
    <col min="4044" max="4045" width="10.85546875" bestFit="1" customWidth="1"/>
    <col min="4046" max="4047" width="10.85546875" customWidth="1"/>
    <col min="4048" max="4052" width="10" customWidth="1"/>
    <col min="4056" max="4057" width="10.85546875" bestFit="1" customWidth="1"/>
    <col min="4058" max="4058" width="10" bestFit="1" customWidth="1"/>
    <col min="4059" max="4060" width="9.28515625" bestFit="1" customWidth="1"/>
    <col min="4299" max="4299" width="7.42578125" customWidth="1"/>
    <col min="4300" max="4301" width="10.85546875" bestFit="1" customWidth="1"/>
    <col min="4302" max="4303" width="10.85546875" customWidth="1"/>
    <col min="4304" max="4308" width="10" customWidth="1"/>
    <col min="4312" max="4313" width="10.85546875" bestFit="1" customWidth="1"/>
    <col min="4314" max="4314" width="10" bestFit="1" customWidth="1"/>
    <col min="4315" max="4316" width="9.28515625" bestFit="1" customWidth="1"/>
    <col min="4555" max="4555" width="7.42578125" customWidth="1"/>
    <col min="4556" max="4557" width="10.85546875" bestFit="1" customWidth="1"/>
    <col min="4558" max="4559" width="10.85546875" customWidth="1"/>
    <col min="4560" max="4564" width="10" customWidth="1"/>
    <col min="4568" max="4569" width="10.85546875" bestFit="1" customWidth="1"/>
    <col min="4570" max="4570" width="10" bestFit="1" customWidth="1"/>
    <col min="4571" max="4572" width="9.28515625" bestFit="1" customWidth="1"/>
    <col min="4811" max="4811" width="7.42578125" customWidth="1"/>
    <col min="4812" max="4813" width="10.85546875" bestFit="1" customWidth="1"/>
    <col min="4814" max="4815" width="10.85546875" customWidth="1"/>
    <col min="4816" max="4820" width="10" customWidth="1"/>
    <col min="4824" max="4825" width="10.85546875" bestFit="1" customWidth="1"/>
    <col min="4826" max="4826" width="10" bestFit="1" customWidth="1"/>
    <col min="4827" max="4828" width="9.28515625" bestFit="1" customWidth="1"/>
    <col min="5067" max="5067" width="7.42578125" customWidth="1"/>
    <col min="5068" max="5069" width="10.85546875" bestFit="1" customWidth="1"/>
    <col min="5070" max="5071" width="10.85546875" customWidth="1"/>
    <col min="5072" max="5076" width="10" customWidth="1"/>
    <col min="5080" max="5081" width="10.85546875" bestFit="1" customWidth="1"/>
    <col min="5082" max="5082" width="10" bestFit="1" customWidth="1"/>
    <col min="5083" max="5084" width="9.28515625" bestFit="1" customWidth="1"/>
    <col min="5323" max="5323" width="7.42578125" customWidth="1"/>
    <col min="5324" max="5325" width="10.85546875" bestFit="1" customWidth="1"/>
    <col min="5326" max="5327" width="10.85546875" customWidth="1"/>
    <col min="5328" max="5332" width="10" customWidth="1"/>
    <col min="5336" max="5337" width="10.85546875" bestFit="1" customWidth="1"/>
    <col min="5338" max="5338" width="10" bestFit="1" customWidth="1"/>
    <col min="5339" max="5340" width="9.28515625" bestFit="1" customWidth="1"/>
    <col min="5579" max="5579" width="7.42578125" customWidth="1"/>
    <col min="5580" max="5581" width="10.85546875" bestFit="1" customWidth="1"/>
    <col min="5582" max="5583" width="10.85546875" customWidth="1"/>
    <col min="5584" max="5588" width="10" customWidth="1"/>
    <col min="5592" max="5593" width="10.85546875" bestFit="1" customWidth="1"/>
    <col min="5594" max="5594" width="10" bestFit="1" customWidth="1"/>
    <col min="5595" max="5596" width="9.28515625" bestFit="1" customWidth="1"/>
    <col min="5835" max="5835" width="7.42578125" customWidth="1"/>
    <col min="5836" max="5837" width="10.85546875" bestFit="1" customWidth="1"/>
    <col min="5838" max="5839" width="10.85546875" customWidth="1"/>
    <col min="5840" max="5844" width="10" customWidth="1"/>
    <col min="5848" max="5849" width="10.85546875" bestFit="1" customWidth="1"/>
    <col min="5850" max="5850" width="10" bestFit="1" customWidth="1"/>
    <col min="5851" max="5852" width="9.28515625" bestFit="1" customWidth="1"/>
    <col min="6091" max="6091" width="7.42578125" customWidth="1"/>
    <col min="6092" max="6093" width="10.85546875" bestFit="1" customWidth="1"/>
    <col min="6094" max="6095" width="10.85546875" customWidth="1"/>
    <col min="6096" max="6100" width="10" customWidth="1"/>
    <col min="6104" max="6105" width="10.85546875" bestFit="1" customWidth="1"/>
    <col min="6106" max="6106" width="10" bestFit="1" customWidth="1"/>
    <col min="6107" max="6108" width="9.28515625" bestFit="1" customWidth="1"/>
    <col min="6347" max="6347" width="7.42578125" customWidth="1"/>
    <col min="6348" max="6349" width="10.85546875" bestFit="1" customWidth="1"/>
    <col min="6350" max="6351" width="10.85546875" customWidth="1"/>
    <col min="6352" max="6356" width="10" customWidth="1"/>
    <col min="6360" max="6361" width="10.85546875" bestFit="1" customWidth="1"/>
    <col min="6362" max="6362" width="10" bestFit="1" customWidth="1"/>
    <col min="6363" max="6364" width="9.28515625" bestFit="1" customWidth="1"/>
    <col min="6603" max="6603" width="7.42578125" customWidth="1"/>
    <col min="6604" max="6605" width="10.85546875" bestFit="1" customWidth="1"/>
    <col min="6606" max="6607" width="10.85546875" customWidth="1"/>
    <col min="6608" max="6612" width="10" customWidth="1"/>
    <col min="6616" max="6617" width="10.85546875" bestFit="1" customWidth="1"/>
    <col min="6618" max="6618" width="10" bestFit="1" customWidth="1"/>
    <col min="6619" max="6620" width="9.28515625" bestFit="1" customWidth="1"/>
    <col min="6859" max="6859" width="7.42578125" customWidth="1"/>
    <col min="6860" max="6861" width="10.85546875" bestFit="1" customWidth="1"/>
    <col min="6862" max="6863" width="10.85546875" customWidth="1"/>
    <col min="6864" max="6868" width="10" customWidth="1"/>
    <col min="6872" max="6873" width="10.85546875" bestFit="1" customWidth="1"/>
    <col min="6874" max="6874" width="10" bestFit="1" customWidth="1"/>
    <col min="6875" max="6876" width="9.28515625" bestFit="1" customWidth="1"/>
    <col min="7115" max="7115" width="7.42578125" customWidth="1"/>
    <col min="7116" max="7117" width="10.85546875" bestFit="1" customWidth="1"/>
    <col min="7118" max="7119" width="10.85546875" customWidth="1"/>
    <col min="7120" max="7124" width="10" customWidth="1"/>
    <col min="7128" max="7129" width="10.85546875" bestFit="1" customWidth="1"/>
    <col min="7130" max="7130" width="10" bestFit="1" customWidth="1"/>
    <col min="7131" max="7132" width="9.28515625" bestFit="1" customWidth="1"/>
    <col min="7371" max="7371" width="7.42578125" customWidth="1"/>
    <col min="7372" max="7373" width="10.85546875" bestFit="1" customWidth="1"/>
    <col min="7374" max="7375" width="10.85546875" customWidth="1"/>
    <col min="7376" max="7380" width="10" customWidth="1"/>
    <col min="7384" max="7385" width="10.85546875" bestFit="1" customWidth="1"/>
    <col min="7386" max="7386" width="10" bestFit="1" customWidth="1"/>
    <col min="7387" max="7388" width="9.28515625" bestFit="1" customWidth="1"/>
    <col min="7627" max="7627" width="7.42578125" customWidth="1"/>
    <col min="7628" max="7629" width="10.85546875" bestFit="1" customWidth="1"/>
    <col min="7630" max="7631" width="10.85546875" customWidth="1"/>
    <col min="7632" max="7636" width="10" customWidth="1"/>
    <col min="7640" max="7641" width="10.85546875" bestFit="1" customWidth="1"/>
    <col min="7642" max="7642" width="10" bestFit="1" customWidth="1"/>
    <col min="7643" max="7644" width="9.28515625" bestFit="1" customWidth="1"/>
    <col min="7883" max="7883" width="7.42578125" customWidth="1"/>
    <col min="7884" max="7885" width="10.85546875" bestFit="1" customWidth="1"/>
    <col min="7886" max="7887" width="10.85546875" customWidth="1"/>
    <col min="7888" max="7892" width="10" customWidth="1"/>
    <col min="7896" max="7897" width="10.85546875" bestFit="1" customWidth="1"/>
    <col min="7898" max="7898" width="10" bestFit="1" customWidth="1"/>
    <col min="7899" max="7900" width="9.28515625" bestFit="1" customWidth="1"/>
    <col min="8139" max="8139" width="7.42578125" customWidth="1"/>
    <col min="8140" max="8141" width="10.85546875" bestFit="1" customWidth="1"/>
    <col min="8142" max="8143" width="10.85546875" customWidth="1"/>
    <col min="8144" max="8148" width="10" customWidth="1"/>
    <col min="8152" max="8153" width="10.85546875" bestFit="1" customWidth="1"/>
    <col min="8154" max="8154" width="10" bestFit="1" customWidth="1"/>
    <col min="8155" max="8156" width="9.28515625" bestFit="1" customWidth="1"/>
    <col min="8395" max="8395" width="7.42578125" customWidth="1"/>
    <col min="8396" max="8397" width="10.85546875" bestFit="1" customWidth="1"/>
    <col min="8398" max="8399" width="10.85546875" customWidth="1"/>
    <col min="8400" max="8404" width="10" customWidth="1"/>
    <col min="8408" max="8409" width="10.85546875" bestFit="1" customWidth="1"/>
    <col min="8410" max="8410" width="10" bestFit="1" customWidth="1"/>
    <col min="8411" max="8412" width="9.28515625" bestFit="1" customWidth="1"/>
    <col min="8651" max="8651" width="7.42578125" customWidth="1"/>
    <col min="8652" max="8653" width="10.85546875" bestFit="1" customWidth="1"/>
    <col min="8654" max="8655" width="10.85546875" customWidth="1"/>
    <col min="8656" max="8660" width="10" customWidth="1"/>
    <col min="8664" max="8665" width="10.85546875" bestFit="1" customWidth="1"/>
    <col min="8666" max="8666" width="10" bestFit="1" customWidth="1"/>
    <col min="8667" max="8668" width="9.28515625" bestFit="1" customWidth="1"/>
    <col min="8907" max="8907" width="7.42578125" customWidth="1"/>
    <col min="8908" max="8909" width="10.85546875" bestFit="1" customWidth="1"/>
    <col min="8910" max="8911" width="10.85546875" customWidth="1"/>
    <col min="8912" max="8916" width="10" customWidth="1"/>
    <col min="8920" max="8921" width="10.85546875" bestFit="1" customWidth="1"/>
    <col min="8922" max="8922" width="10" bestFit="1" customWidth="1"/>
    <col min="8923" max="8924" width="9.28515625" bestFit="1" customWidth="1"/>
    <col min="9163" max="9163" width="7.42578125" customWidth="1"/>
    <col min="9164" max="9165" width="10.85546875" bestFit="1" customWidth="1"/>
    <col min="9166" max="9167" width="10.85546875" customWidth="1"/>
    <col min="9168" max="9172" width="10" customWidth="1"/>
    <col min="9176" max="9177" width="10.85546875" bestFit="1" customWidth="1"/>
    <col min="9178" max="9178" width="10" bestFit="1" customWidth="1"/>
    <col min="9179" max="9180" width="9.28515625" bestFit="1" customWidth="1"/>
    <col min="9419" max="9419" width="7.42578125" customWidth="1"/>
    <col min="9420" max="9421" width="10.85546875" bestFit="1" customWidth="1"/>
    <col min="9422" max="9423" width="10.85546875" customWidth="1"/>
    <col min="9424" max="9428" width="10" customWidth="1"/>
    <col min="9432" max="9433" width="10.85546875" bestFit="1" customWidth="1"/>
    <col min="9434" max="9434" width="10" bestFit="1" customWidth="1"/>
    <col min="9435" max="9436" width="9.28515625" bestFit="1" customWidth="1"/>
    <col min="9675" max="9675" width="7.42578125" customWidth="1"/>
    <col min="9676" max="9677" width="10.85546875" bestFit="1" customWidth="1"/>
    <col min="9678" max="9679" width="10.85546875" customWidth="1"/>
    <col min="9680" max="9684" width="10" customWidth="1"/>
    <col min="9688" max="9689" width="10.85546875" bestFit="1" customWidth="1"/>
    <col min="9690" max="9690" width="10" bestFit="1" customWidth="1"/>
    <col min="9691" max="9692" width="9.28515625" bestFit="1" customWidth="1"/>
    <col min="9931" max="9931" width="7.42578125" customWidth="1"/>
    <col min="9932" max="9933" width="10.85546875" bestFit="1" customWidth="1"/>
    <col min="9934" max="9935" width="10.85546875" customWidth="1"/>
    <col min="9936" max="9940" width="10" customWidth="1"/>
    <col min="9944" max="9945" width="10.85546875" bestFit="1" customWidth="1"/>
    <col min="9946" max="9946" width="10" bestFit="1" customWidth="1"/>
    <col min="9947" max="9948" width="9.28515625" bestFit="1" customWidth="1"/>
    <col min="10187" max="10187" width="7.42578125" customWidth="1"/>
    <col min="10188" max="10189" width="10.85546875" bestFit="1" customWidth="1"/>
    <col min="10190" max="10191" width="10.85546875" customWidth="1"/>
    <col min="10192" max="10196" width="10" customWidth="1"/>
    <col min="10200" max="10201" width="10.85546875" bestFit="1" customWidth="1"/>
    <col min="10202" max="10202" width="10" bestFit="1" customWidth="1"/>
    <col min="10203" max="10204" width="9.28515625" bestFit="1" customWidth="1"/>
    <col min="10443" max="10443" width="7.42578125" customWidth="1"/>
    <col min="10444" max="10445" width="10.85546875" bestFit="1" customWidth="1"/>
    <col min="10446" max="10447" width="10.85546875" customWidth="1"/>
    <col min="10448" max="10452" width="10" customWidth="1"/>
    <col min="10456" max="10457" width="10.85546875" bestFit="1" customWidth="1"/>
    <col min="10458" max="10458" width="10" bestFit="1" customWidth="1"/>
    <col min="10459" max="10460" width="9.28515625" bestFit="1" customWidth="1"/>
    <col min="10699" max="10699" width="7.42578125" customWidth="1"/>
    <col min="10700" max="10701" width="10.85546875" bestFit="1" customWidth="1"/>
    <col min="10702" max="10703" width="10.85546875" customWidth="1"/>
    <col min="10704" max="10708" width="10" customWidth="1"/>
    <col min="10712" max="10713" width="10.85546875" bestFit="1" customWidth="1"/>
    <col min="10714" max="10714" width="10" bestFit="1" customWidth="1"/>
    <col min="10715" max="10716" width="9.28515625" bestFit="1" customWidth="1"/>
    <col min="10955" max="10955" width="7.42578125" customWidth="1"/>
    <col min="10956" max="10957" width="10.85546875" bestFit="1" customWidth="1"/>
    <col min="10958" max="10959" width="10.85546875" customWidth="1"/>
    <col min="10960" max="10964" width="10" customWidth="1"/>
    <col min="10968" max="10969" width="10.85546875" bestFit="1" customWidth="1"/>
    <col min="10970" max="10970" width="10" bestFit="1" customWidth="1"/>
    <col min="10971" max="10972" width="9.28515625" bestFit="1" customWidth="1"/>
    <col min="11211" max="11211" width="7.42578125" customWidth="1"/>
    <col min="11212" max="11213" width="10.85546875" bestFit="1" customWidth="1"/>
    <col min="11214" max="11215" width="10.85546875" customWidth="1"/>
    <col min="11216" max="11220" width="10" customWidth="1"/>
    <col min="11224" max="11225" width="10.85546875" bestFit="1" customWidth="1"/>
    <col min="11226" max="11226" width="10" bestFit="1" customWidth="1"/>
    <col min="11227" max="11228" width="9.28515625" bestFit="1" customWidth="1"/>
    <col min="11467" max="11467" width="7.42578125" customWidth="1"/>
    <col min="11468" max="11469" width="10.85546875" bestFit="1" customWidth="1"/>
    <col min="11470" max="11471" width="10.85546875" customWidth="1"/>
    <col min="11472" max="11476" width="10" customWidth="1"/>
    <col min="11480" max="11481" width="10.85546875" bestFit="1" customWidth="1"/>
    <col min="11482" max="11482" width="10" bestFit="1" customWidth="1"/>
    <col min="11483" max="11484" width="9.28515625" bestFit="1" customWidth="1"/>
    <col min="11723" max="11723" width="7.42578125" customWidth="1"/>
    <col min="11724" max="11725" width="10.85546875" bestFit="1" customWidth="1"/>
    <col min="11726" max="11727" width="10.85546875" customWidth="1"/>
    <col min="11728" max="11732" width="10" customWidth="1"/>
    <col min="11736" max="11737" width="10.85546875" bestFit="1" customWidth="1"/>
    <col min="11738" max="11738" width="10" bestFit="1" customWidth="1"/>
    <col min="11739" max="11740" width="9.28515625" bestFit="1" customWidth="1"/>
    <col min="11979" max="11979" width="7.42578125" customWidth="1"/>
    <col min="11980" max="11981" width="10.85546875" bestFit="1" customWidth="1"/>
    <col min="11982" max="11983" width="10.85546875" customWidth="1"/>
    <col min="11984" max="11988" width="10" customWidth="1"/>
    <col min="11992" max="11993" width="10.85546875" bestFit="1" customWidth="1"/>
    <col min="11994" max="11994" width="10" bestFit="1" customWidth="1"/>
    <col min="11995" max="11996" width="9.28515625" bestFit="1" customWidth="1"/>
    <col min="12235" max="12235" width="7.42578125" customWidth="1"/>
    <col min="12236" max="12237" width="10.85546875" bestFit="1" customWidth="1"/>
    <col min="12238" max="12239" width="10.85546875" customWidth="1"/>
    <col min="12240" max="12244" width="10" customWidth="1"/>
    <col min="12248" max="12249" width="10.85546875" bestFit="1" customWidth="1"/>
    <col min="12250" max="12250" width="10" bestFit="1" customWidth="1"/>
    <col min="12251" max="12252" width="9.28515625" bestFit="1" customWidth="1"/>
    <col min="12491" max="12491" width="7.42578125" customWidth="1"/>
    <col min="12492" max="12493" width="10.85546875" bestFit="1" customWidth="1"/>
    <col min="12494" max="12495" width="10.85546875" customWidth="1"/>
    <col min="12496" max="12500" width="10" customWidth="1"/>
    <col min="12504" max="12505" width="10.85546875" bestFit="1" customWidth="1"/>
    <col min="12506" max="12506" width="10" bestFit="1" customWidth="1"/>
    <col min="12507" max="12508" width="9.28515625" bestFit="1" customWidth="1"/>
    <col min="12747" max="12747" width="7.42578125" customWidth="1"/>
    <col min="12748" max="12749" width="10.85546875" bestFit="1" customWidth="1"/>
    <col min="12750" max="12751" width="10.85546875" customWidth="1"/>
    <col min="12752" max="12756" width="10" customWidth="1"/>
    <col min="12760" max="12761" width="10.85546875" bestFit="1" customWidth="1"/>
    <col min="12762" max="12762" width="10" bestFit="1" customWidth="1"/>
    <col min="12763" max="12764" width="9.28515625" bestFit="1" customWidth="1"/>
    <col min="13003" max="13003" width="7.42578125" customWidth="1"/>
    <col min="13004" max="13005" width="10.85546875" bestFit="1" customWidth="1"/>
    <col min="13006" max="13007" width="10.85546875" customWidth="1"/>
    <col min="13008" max="13012" width="10" customWidth="1"/>
    <col min="13016" max="13017" width="10.85546875" bestFit="1" customWidth="1"/>
    <col min="13018" max="13018" width="10" bestFit="1" customWidth="1"/>
    <col min="13019" max="13020" width="9.28515625" bestFit="1" customWidth="1"/>
    <col min="13259" max="13259" width="7.42578125" customWidth="1"/>
    <col min="13260" max="13261" width="10.85546875" bestFit="1" customWidth="1"/>
    <col min="13262" max="13263" width="10.85546875" customWidth="1"/>
    <col min="13264" max="13268" width="10" customWidth="1"/>
    <col min="13272" max="13273" width="10.85546875" bestFit="1" customWidth="1"/>
    <col min="13274" max="13274" width="10" bestFit="1" customWidth="1"/>
    <col min="13275" max="13276" width="9.28515625" bestFit="1" customWidth="1"/>
    <col min="13515" max="13515" width="7.42578125" customWidth="1"/>
    <col min="13516" max="13517" width="10.85546875" bestFit="1" customWidth="1"/>
    <col min="13518" max="13519" width="10.85546875" customWidth="1"/>
    <col min="13520" max="13524" width="10" customWidth="1"/>
    <col min="13528" max="13529" width="10.85546875" bestFit="1" customWidth="1"/>
    <col min="13530" max="13530" width="10" bestFit="1" customWidth="1"/>
    <col min="13531" max="13532" width="9.28515625" bestFit="1" customWidth="1"/>
    <col min="13771" max="13771" width="7.42578125" customWidth="1"/>
    <col min="13772" max="13773" width="10.85546875" bestFit="1" customWidth="1"/>
    <col min="13774" max="13775" width="10.85546875" customWidth="1"/>
    <col min="13776" max="13780" width="10" customWidth="1"/>
    <col min="13784" max="13785" width="10.85546875" bestFit="1" customWidth="1"/>
    <col min="13786" max="13786" width="10" bestFit="1" customWidth="1"/>
    <col min="13787" max="13788" width="9.28515625" bestFit="1" customWidth="1"/>
    <col min="14027" max="14027" width="7.42578125" customWidth="1"/>
    <col min="14028" max="14029" width="10.85546875" bestFit="1" customWidth="1"/>
    <col min="14030" max="14031" width="10.85546875" customWidth="1"/>
    <col min="14032" max="14036" width="10" customWidth="1"/>
    <col min="14040" max="14041" width="10.85546875" bestFit="1" customWidth="1"/>
    <col min="14042" max="14042" width="10" bestFit="1" customWidth="1"/>
    <col min="14043" max="14044" width="9.28515625" bestFit="1" customWidth="1"/>
    <col min="14283" max="14283" width="7.42578125" customWidth="1"/>
    <col min="14284" max="14285" width="10.85546875" bestFit="1" customWidth="1"/>
    <col min="14286" max="14287" width="10.85546875" customWidth="1"/>
    <col min="14288" max="14292" width="10" customWidth="1"/>
    <col min="14296" max="14297" width="10.85546875" bestFit="1" customWidth="1"/>
    <col min="14298" max="14298" width="10" bestFit="1" customWidth="1"/>
    <col min="14299" max="14300" width="9.28515625" bestFit="1" customWidth="1"/>
    <col min="14539" max="14539" width="7.42578125" customWidth="1"/>
    <col min="14540" max="14541" width="10.85546875" bestFit="1" customWidth="1"/>
    <col min="14542" max="14543" width="10.85546875" customWidth="1"/>
    <col min="14544" max="14548" width="10" customWidth="1"/>
    <col min="14552" max="14553" width="10.85546875" bestFit="1" customWidth="1"/>
    <col min="14554" max="14554" width="10" bestFit="1" customWidth="1"/>
    <col min="14555" max="14556" width="9.28515625" bestFit="1" customWidth="1"/>
    <col min="14795" max="14795" width="7.42578125" customWidth="1"/>
    <col min="14796" max="14797" width="10.85546875" bestFit="1" customWidth="1"/>
    <col min="14798" max="14799" width="10.85546875" customWidth="1"/>
    <col min="14800" max="14804" width="10" customWidth="1"/>
    <col min="14808" max="14809" width="10.85546875" bestFit="1" customWidth="1"/>
    <col min="14810" max="14810" width="10" bestFit="1" customWidth="1"/>
    <col min="14811" max="14812" width="9.28515625" bestFit="1" customWidth="1"/>
    <col min="15051" max="15051" width="7.42578125" customWidth="1"/>
    <col min="15052" max="15053" width="10.85546875" bestFit="1" customWidth="1"/>
    <col min="15054" max="15055" width="10.85546875" customWidth="1"/>
    <col min="15056" max="15060" width="10" customWidth="1"/>
    <col min="15064" max="15065" width="10.85546875" bestFit="1" customWidth="1"/>
    <col min="15066" max="15066" width="10" bestFit="1" customWidth="1"/>
    <col min="15067" max="15068" width="9.28515625" bestFit="1" customWidth="1"/>
    <col min="15307" max="15307" width="7.42578125" customWidth="1"/>
    <col min="15308" max="15309" width="10.85546875" bestFit="1" customWidth="1"/>
    <col min="15310" max="15311" width="10.85546875" customWidth="1"/>
    <col min="15312" max="15316" width="10" customWidth="1"/>
    <col min="15320" max="15321" width="10.85546875" bestFit="1" customWidth="1"/>
    <col min="15322" max="15322" width="10" bestFit="1" customWidth="1"/>
    <col min="15323" max="15324" width="9.28515625" bestFit="1" customWidth="1"/>
    <col min="15563" max="15563" width="7.42578125" customWidth="1"/>
    <col min="15564" max="15565" width="10.85546875" bestFit="1" customWidth="1"/>
    <col min="15566" max="15567" width="10.85546875" customWidth="1"/>
    <col min="15568" max="15572" width="10" customWidth="1"/>
    <col min="15576" max="15577" width="10.85546875" bestFit="1" customWidth="1"/>
    <col min="15578" max="15578" width="10" bestFit="1" customWidth="1"/>
    <col min="15579" max="15580" width="9.28515625" bestFit="1" customWidth="1"/>
    <col min="15819" max="15819" width="7.42578125" customWidth="1"/>
    <col min="15820" max="15821" width="10.85546875" bestFit="1" customWidth="1"/>
    <col min="15822" max="15823" width="10.85546875" customWidth="1"/>
    <col min="15824" max="15828" width="10" customWidth="1"/>
    <col min="15832" max="15833" width="10.85546875" bestFit="1" customWidth="1"/>
    <col min="15834" max="15834" width="10" bestFit="1" customWidth="1"/>
    <col min="15835" max="15836" width="9.28515625" bestFit="1" customWidth="1"/>
  </cols>
  <sheetData>
    <row r="1" spans="1:45" x14ac:dyDescent="0.2">
      <c r="A1" s="49" t="s">
        <v>2</v>
      </c>
    </row>
    <row r="2" spans="1:45" x14ac:dyDescent="0.2">
      <c r="A2" s="49" t="s">
        <v>3</v>
      </c>
    </row>
    <row r="3" spans="1:45" x14ac:dyDescent="0.2">
      <c r="A3" s="812" t="s">
        <v>4</v>
      </c>
      <c r="B3" s="812"/>
      <c r="C3" s="812"/>
      <c r="D3" s="812"/>
      <c r="E3" s="812"/>
      <c r="F3" s="812"/>
      <c r="G3" s="812"/>
      <c r="H3" s="812"/>
      <c r="I3" s="812"/>
      <c r="J3" s="812"/>
    </row>
    <row r="4" spans="1:45" x14ac:dyDescent="0.2">
      <c r="A4" s="7"/>
    </row>
    <row r="5" spans="1:45" ht="16.5" customHeight="1" x14ac:dyDescent="0.25">
      <c r="A5" s="193" t="s">
        <v>838</v>
      </c>
      <c r="B5" s="57"/>
      <c r="C5" s="57"/>
      <c r="D5" s="57"/>
      <c r="E5" s="58"/>
      <c r="F5" s="442"/>
      <c r="H5" s="646"/>
      <c r="I5" s="192"/>
      <c r="J5" s="192"/>
      <c r="K5" s="125"/>
      <c r="L5" s="125"/>
      <c r="M5" s="125"/>
      <c r="N5" s="125"/>
    </row>
    <row r="6" spans="1:45" ht="16.5" customHeight="1" thickBot="1" x14ac:dyDescent="0.3">
      <c r="A6" s="55"/>
      <c r="B6" s="645"/>
      <c r="C6" s="16"/>
      <c r="D6" s="16"/>
      <c r="G6" s="675"/>
      <c r="H6" s="647"/>
      <c r="I6" s="12"/>
      <c r="J6" s="12"/>
    </row>
    <row r="7" spans="1:45" ht="16.5" customHeight="1" x14ac:dyDescent="0.25">
      <c r="A7" s="11"/>
      <c r="B7" s="775" t="s">
        <v>836</v>
      </c>
      <c r="C7" s="776"/>
      <c r="D7" s="776"/>
      <c r="E7" s="776"/>
      <c r="F7" s="776"/>
      <c r="G7" s="776"/>
      <c r="H7" s="776"/>
      <c r="I7" s="776"/>
      <c r="J7" s="777"/>
      <c r="K7" s="781" t="s">
        <v>837</v>
      </c>
      <c r="L7" s="782"/>
      <c r="M7" s="782"/>
      <c r="N7" s="782"/>
      <c r="O7" s="782"/>
      <c r="P7" s="782"/>
      <c r="Q7" s="782"/>
      <c r="R7" s="782"/>
      <c r="S7" s="782"/>
      <c r="T7" s="782"/>
      <c r="U7" s="782"/>
      <c r="V7" s="782"/>
      <c r="W7" s="782"/>
      <c r="X7" s="782"/>
      <c r="Y7" s="782"/>
      <c r="Z7" s="782"/>
      <c r="AA7" s="782"/>
      <c r="AB7" s="782"/>
      <c r="AC7" s="782"/>
      <c r="AD7" s="782"/>
      <c r="AE7" s="782"/>
      <c r="AF7" s="782"/>
      <c r="AG7" s="782"/>
      <c r="AH7" s="782"/>
      <c r="AI7" s="782"/>
      <c r="AJ7" s="783"/>
      <c r="AK7" s="784" t="s">
        <v>839</v>
      </c>
      <c r="AL7" s="785"/>
      <c r="AM7" s="785"/>
      <c r="AN7" s="785"/>
      <c r="AO7" s="785"/>
      <c r="AP7" s="785"/>
      <c r="AQ7" s="785"/>
      <c r="AR7" s="785"/>
      <c r="AS7" s="786"/>
    </row>
    <row r="8" spans="1:45" ht="13.5" customHeight="1" thickBot="1" x14ac:dyDescent="0.25">
      <c r="B8" s="778"/>
      <c r="C8" s="779"/>
      <c r="D8" s="779"/>
      <c r="E8" s="779"/>
      <c r="F8" s="779"/>
      <c r="G8" s="779"/>
      <c r="H8" s="779"/>
      <c r="I8" s="779"/>
      <c r="J8" s="780"/>
      <c r="K8" s="790" t="s">
        <v>284</v>
      </c>
      <c r="L8" s="791"/>
      <c r="M8" s="791"/>
      <c r="N8" s="791"/>
      <c r="O8" s="792"/>
      <c r="P8" s="799" t="s">
        <v>285</v>
      </c>
      <c r="Q8" s="791"/>
      <c r="R8" s="791"/>
      <c r="S8" s="792"/>
      <c r="T8" s="740" t="s">
        <v>286</v>
      </c>
      <c r="U8" s="740" t="s">
        <v>5</v>
      </c>
      <c r="V8" s="740" t="s">
        <v>287</v>
      </c>
      <c r="W8" s="802" t="s">
        <v>288</v>
      </c>
      <c r="X8" s="803"/>
      <c r="Y8" s="804"/>
      <c r="Z8" s="740" t="s">
        <v>310</v>
      </c>
      <c r="AA8" s="743" t="s">
        <v>289</v>
      </c>
      <c r="AB8" s="744"/>
      <c r="AC8" s="744"/>
      <c r="AD8" s="744"/>
      <c r="AE8" s="744"/>
      <c r="AF8" s="744"/>
      <c r="AG8" s="744"/>
      <c r="AH8" s="744"/>
      <c r="AI8" s="744"/>
      <c r="AJ8" s="745"/>
      <c r="AK8" s="787"/>
      <c r="AL8" s="788"/>
      <c r="AM8" s="788"/>
      <c r="AN8" s="788"/>
      <c r="AO8" s="788"/>
      <c r="AP8" s="788"/>
      <c r="AQ8" s="788"/>
      <c r="AR8" s="788"/>
      <c r="AS8" s="789"/>
    </row>
    <row r="9" spans="1:45" ht="12.75" customHeight="1" x14ac:dyDescent="0.2">
      <c r="B9" s="746" t="s">
        <v>6</v>
      </c>
      <c r="C9" s="749" t="s">
        <v>820</v>
      </c>
      <c r="D9" s="750"/>
      <c r="E9" s="750"/>
      <c r="F9" s="750"/>
      <c r="G9" s="751"/>
      <c r="H9" s="755" t="s">
        <v>281</v>
      </c>
      <c r="I9" s="758" t="s">
        <v>821</v>
      </c>
      <c r="J9" s="759"/>
      <c r="K9" s="793"/>
      <c r="L9" s="794"/>
      <c r="M9" s="794"/>
      <c r="N9" s="794"/>
      <c r="O9" s="795"/>
      <c r="P9" s="800"/>
      <c r="Q9" s="794"/>
      <c r="R9" s="794"/>
      <c r="S9" s="795"/>
      <c r="T9" s="741"/>
      <c r="U9" s="741"/>
      <c r="V9" s="741"/>
      <c r="W9" s="805"/>
      <c r="X9" s="806"/>
      <c r="Y9" s="807"/>
      <c r="Z9" s="741"/>
      <c r="AA9" s="762" t="s">
        <v>290</v>
      </c>
      <c r="AB9" s="763"/>
      <c r="AC9" s="766" t="s">
        <v>291</v>
      </c>
      <c r="AD9" s="762" t="s">
        <v>835</v>
      </c>
      <c r="AE9" s="763"/>
      <c r="AF9" s="762" t="s">
        <v>292</v>
      </c>
      <c r="AG9" s="763"/>
      <c r="AH9" s="769" t="s">
        <v>293</v>
      </c>
      <c r="AI9" s="770"/>
      <c r="AJ9" s="771"/>
      <c r="AK9" s="746" t="s">
        <v>6</v>
      </c>
      <c r="AL9" s="749" t="s">
        <v>820</v>
      </c>
      <c r="AM9" s="750"/>
      <c r="AN9" s="750"/>
      <c r="AO9" s="750"/>
      <c r="AP9" s="751"/>
      <c r="AQ9" s="755" t="s">
        <v>281</v>
      </c>
      <c r="AR9" s="758" t="s">
        <v>822</v>
      </c>
      <c r="AS9" s="759"/>
    </row>
    <row r="10" spans="1:45" ht="20.25" customHeight="1" x14ac:dyDescent="0.2">
      <c r="A10"/>
      <c r="B10" s="747"/>
      <c r="C10" s="752"/>
      <c r="D10" s="753"/>
      <c r="E10" s="753"/>
      <c r="F10" s="753"/>
      <c r="G10" s="754"/>
      <c r="H10" s="756"/>
      <c r="I10" s="760"/>
      <c r="J10" s="761"/>
      <c r="K10" s="796"/>
      <c r="L10" s="797"/>
      <c r="M10" s="797"/>
      <c r="N10" s="797"/>
      <c r="O10" s="798"/>
      <c r="P10" s="801"/>
      <c r="Q10" s="797"/>
      <c r="R10" s="797"/>
      <c r="S10" s="798"/>
      <c r="T10" s="741"/>
      <c r="U10" s="741"/>
      <c r="V10" s="741"/>
      <c r="W10" s="808"/>
      <c r="X10" s="809"/>
      <c r="Y10" s="810"/>
      <c r="Z10" s="741"/>
      <c r="AA10" s="764"/>
      <c r="AB10" s="765"/>
      <c r="AC10" s="767"/>
      <c r="AD10" s="764"/>
      <c r="AE10" s="765"/>
      <c r="AF10" s="764"/>
      <c r="AG10" s="765"/>
      <c r="AH10" s="772"/>
      <c r="AI10" s="773"/>
      <c r="AJ10" s="774"/>
      <c r="AK10" s="747"/>
      <c r="AL10" s="752"/>
      <c r="AM10" s="753"/>
      <c r="AN10" s="753"/>
      <c r="AO10" s="753"/>
      <c r="AP10" s="754"/>
      <c r="AQ10" s="756"/>
      <c r="AR10" s="760"/>
      <c r="AS10" s="761"/>
    </row>
    <row r="11" spans="1:45" s="6" customFormat="1" ht="34.5" thickBot="1" x14ac:dyDescent="0.25">
      <c r="A11" s="13" t="s">
        <v>251</v>
      </c>
      <c r="B11" s="748"/>
      <c r="C11" s="469" t="s">
        <v>275</v>
      </c>
      <c r="D11" s="469" t="s">
        <v>285</v>
      </c>
      <c r="E11" s="460" t="s">
        <v>5</v>
      </c>
      <c r="F11" s="460" t="s">
        <v>1</v>
      </c>
      <c r="G11" s="460" t="s">
        <v>7</v>
      </c>
      <c r="H11" s="757"/>
      <c r="I11" s="463" t="s">
        <v>282</v>
      </c>
      <c r="J11" s="464" t="s">
        <v>283</v>
      </c>
      <c r="K11" s="465" t="s">
        <v>294</v>
      </c>
      <c r="L11" s="462" t="s">
        <v>291</v>
      </c>
      <c r="M11" s="462" t="s">
        <v>835</v>
      </c>
      <c r="N11" s="462" t="s">
        <v>292</v>
      </c>
      <c r="O11" s="462" t="s">
        <v>785</v>
      </c>
      <c r="P11" s="461" t="s">
        <v>295</v>
      </c>
      <c r="Q11" s="462" t="s">
        <v>819</v>
      </c>
      <c r="R11" s="461" t="s">
        <v>296</v>
      </c>
      <c r="S11" s="462" t="s">
        <v>786</v>
      </c>
      <c r="T11" s="742"/>
      <c r="U11" s="742"/>
      <c r="V11" s="742"/>
      <c r="W11" s="462" t="s">
        <v>291</v>
      </c>
      <c r="X11" s="462" t="s">
        <v>297</v>
      </c>
      <c r="Y11" s="462" t="s">
        <v>787</v>
      </c>
      <c r="Z11" s="742"/>
      <c r="AA11" s="466" t="s">
        <v>282</v>
      </c>
      <c r="AB11" s="467" t="s">
        <v>283</v>
      </c>
      <c r="AC11" s="466" t="s">
        <v>282</v>
      </c>
      <c r="AD11" s="466" t="s">
        <v>282</v>
      </c>
      <c r="AE11" s="467" t="s">
        <v>283</v>
      </c>
      <c r="AF11" s="466" t="s">
        <v>282</v>
      </c>
      <c r="AG11" s="467" t="s">
        <v>283</v>
      </c>
      <c r="AH11" s="466" t="s">
        <v>282</v>
      </c>
      <c r="AI11" s="467" t="s">
        <v>283</v>
      </c>
      <c r="AJ11" s="468" t="s">
        <v>306</v>
      </c>
      <c r="AK11" s="748"/>
      <c r="AL11" s="42" t="s">
        <v>275</v>
      </c>
      <c r="AM11" s="469" t="s">
        <v>285</v>
      </c>
      <c r="AN11" s="460" t="s">
        <v>5</v>
      </c>
      <c r="AO11" s="460" t="s">
        <v>1</v>
      </c>
      <c r="AP11" s="460" t="s">
        <v>7</v>
      </c>
      <c r="AQ11" s="757"/>
      <c r="AR11" s="463" t="s">
        <v>282</v>
      </c>
      <c r="AS11" s="464" t="s">
        <v>283</v>
      </c>
    </row>
    <row r="12" spans="1:45" s="6" customFormat="1" ht="12" customHeight="1" thickBot="1" x14ac:dyDescent="0.25">
      <c r="A12" s="479" t="s">
        <v>252</v>
      </c>
      <c r="B12" s="151" t="s">
        <v>269</v>
      </c>
      <c r="C12" s="152" t="s">
        <v>270</v>
      </c>
      <c r="D12" s="152" t="s">
        <v>276</v>
      </c>
      <c r="E12" s="152" t="s">
        <v>271</v>
      </c>
      <c r="F12" s="152" t="s">
        <v>272</v>
      </c>
      <c r="G12" s="152" t="s">
        <v>273</v>
      </c>
      <c r="H12" s="458" t="s">
        <v>274</v>
      </c>
      <c r="I12" s="153" t="s">
        <v>566</v>
      </c>
      <c r="J12" s="154" t="s">
        <v>567</v>
      </c>
      <c r="K12" s="151" t="s">
        <v>298</v>
      </c>
      <c r="L12" s="152" t="s">
        <v>298</v>
      </c>
      <c r="M12" s="152" t="s">
        <v>298</v>
      </c>
      <c r="N12" s="152" t="s">
        <v>298</v>
      </c>
      <c r="O12" s="152" t="s">
        <v>298</v>
      </c>
      <c r="P12" s="729" t="s">
        <v>299</v>
      </c>
      <c r="Q12" s="152" t="s">
        <v>299</v>
      </c>
      <c r="R12" s="152" t="s">
        <v>300</v>
      </c>
      <c r="S12" s="152" t="s">
        <v>299</v>
      </c>
      <c r="T12" s="152" t="s">
        <v>301</v>
      </c>
      <c r="U12" s="152" t="s">
        <v>302</v>
      </c>
      <c r="V12" s="152" t="s">
        <v>303</v>
      </c>
      <c r="W12" s="152" t="s">
        <v>305</v>
      </c>
      <c r="X12" s="152" t="s">
        <v>304</v>
      </c>
      <c r="Y12" s="152" t="s">
        <v>304</v>
      </c>
      <c r="Z12" s="152" t="s">
        <v>311</v>
      </c>
      <c r="AA12" s="153" t="s">
        <v>307</v>
      </c>
      <c r="AB12" s="153" t="s">
        <v>308</v>
      </c>
      <c r="AC12" s="153" t="s">
        <v>307</v>
      </c>
      <c r="AD12" s="153" t="s">
        <v>307</v>
      </c>
      <c r="AE12" s="153" t="s">
        <v>308</v>
      </c>
      <c r="AF12" s="153" t="s">
        <v>307</v>
      </c>
      <c r="AG12" s="153" t="s">
        <v>308</v>
      </c>
      <c r="AH12" s="153" t="s">
        <v>307</v>
      </c>
      <c r="AI12" s="153" t="s">
        <v>308</v>
      </c>
      <c r="AJ12" s="154" t="s">
        <v>309</v>
      </c>
      <c r="AK12" s="151" t="s">
        <v>269</v>
      </c>
      <c r="AL12" s="152" t="s">
        <v>270</v>
      </c>
      <c r="AM12" s="152" t="s">
        <v>276</v>
      </c>
      <c r="AN12" s="152" t="s">
        <v>271</v>
      </c>
      <c r="AO12" s="152" t="s">
        <v>272</v>
      </c>
      <c r="AP12" s="152" t="s">
        <v>273</v>
      </c>
      <c r="AQ12" s="153" t="s">
        <v>274</v>
      </c>
      <c r="AR12" s="153" t="s">
        <v>566</v>
      </c>
      <c r="AS12" s="191" t="s">
        <v>567</v>
      </c>
    </row>
    <row r="13" spans="1:45" x14ac:dyDescent="0.2">
      <c r="A13" s="188" t="s">
        <v>253</v>
      </c>
      <c r="B13" s="470">
        <f>LB!I465</f>
        <v>1820739516</v>
      </c>
      <c r="C13" s="471">
        <f>LB!J465</f>
        <v>1316440676</v>
      </c>
      <c r="D13" s="471">
        <f>LB!K465</f>
        <v>6178141</v>
      </c>
      <c r="E13" s="471">
        <f>LB!L465</f>
        <v>446963031</v>
      </c>
      <c r="F13" s="471">
        <f>LB!M465</f>
        <v>26328810</v>
      </c>
      <c r="G13" s="471">
        <f>LB!N465</f>
        <v>24828858</v>
      </c>
      <c r="H13" s="472">
        <f>LB!O465</f>
        <v>2713.0620999999996</v>
      </c>
      <c r="I13" s="472">
        <f>LB!P465</f>
        <v>1964.2591000000002</v>
      </c>
      <c r="J13" s="499">
        <f>LB!Q465</f>
        <v>748.80300000000057</v>
      </c>
      <c r="K13" s="470">
        <f>LB!R465</f>
        <v>0</v>
      </c>
      <c r="L13" s="471">
        <f>LB!S465</f>
        <v>981501</v>
      </c>
      <c r="M13" s="471">
        <f>LB!T465</f>
        <v>613651</v>
      </c>
      <c r="N13" s="471">
        <f>LB!U465</f>
        <v>-30839</v>
      </c>
      <c r="O13" s="471">
        <f>LB!V465</f>
        <v>1564313</v>
      </c>
      <c r="P13" s="641">
        <f>LB!W465</f>
        <v>0</v>
      </c>
      <c r="Q13" s="471">
        <f>LB!X465</f>
        <v>0</v>
      </c>
      <c r="R13" s="471">
        <f>LB!Y465</f>
        <v>0</v>
      </c>
      <c r="S13" s="471">
        <f>LB!Z465</f>
        <v>0</v>
      </c>
      <c r="T13" s="471">
        <f>LB!AA465</f>
        <v>1564313</v>
      </c>
      <c r="U13" s="471">
        <f>LB!AB465</f>
        <v>528737</v>
      </c>
      <c r="V13" s="471">
        <f>LB!AC465</f>
        <v>31285</v>
      </c>
      <c r="W13" s="471">
        <f>LB!AD465</f>
        <v>8750</v>
      </c>
      <c r="X13" s="471">
        <f>LB!AE465</f>
        <v>106878</v>
      </c>
      <c r="Y13" s="471">
        <f>LB!AF465</f>
        <v>115628</v>
      </c>
      <c r="Z13" s="471">
        <f>LB!AG465</f>
        <v>2239963</v>
      </c>
      <c r="AA13" s="472">
        <f>LB!AH465</f>
        <v>0</v>
      </c>
      <c r="AB13" s="472">
        <f>LB!AI465</f>
        <v>0</v>
      </c>
      <c r="AC13" s="472">
        <f>LB!AJ465</f>
        <v>2.68</v>
      </c>
      <c r="AD13" s="472">
        <f>LB!AK465</f>
        <v>0.61</v>
      </c>
      <c r="AE13" s="472">
        <f>LB!AL465</f>
        <v>-0.26</v>
      </c>
      <c r="AF13" s="472">
        <f>LB!AM465</f>
        <v>0</v>
      </c>
      <c r="AG13" s="472">
        <f>LB!AN465</f>
        <v>0</v>
      </c>
      <c r="AH13" s="472">
        <f>LB!AO465</f>
        <v>3.29</v>
      </c>
      <c r="AI13" s="472">
        <f>LB!AP465</f>
        <v>-0.26</v>
      </c>
      <c r="AJ13" s="499">
        <f>LB!AQ465</f>
        <v>3.0300000000000007</v>
      </c>
      <c r="AK13" s="470">
        <f>LB!AR465</f>
        <v>1822979479</v>
      </c>
      <c r="AL13" s="471">
        <f>LB!AS465</f>
        <v>1318004989</v>
      </c>
      <c r="AM13" s="471">
        <f>LB!AT465</f>
        <v>6178141</v>
      </c>
      <c r="AN13" s="471">
        <f>LB!AU465</f>
        <v>447491768</v>
      </c>
      <c r="AO13" s="471">
        <f>LB!AV465</f>
        <v>26360095</v>
      </c>
      <c r="AP13" s="471">
        <f>LB!AW465</f>
        <v>24944486</v>
      </c>
      <c r="AQ13" s="472">
        <f>LB!AX465</f>
        <v>2716.0921000000003</v>
      </c>
      <c r="AR13" s="472">
        <f>LB!AY465</f>
        <v>1967.5491000000004</v>
      </c>
      <c r="AS13" s="650">
        <f>LB!AZ465</f>
        <v>748.54300000000057</v>
      </c>
    </row>
    <row r="14" spans="1:45" x14ac:dyDescent="0.2">
      <c r="A14" s="189" t="s">
        <v>254</v>
      </c>
      <c r="B14" s="4">
        <f>FR!I131</f>
        <v>332803389</v>
      </c>
      <c r="C14" s="443">
        <f>FR!J131</f>
        <v>240667641</v>
      </c>
      <c r="D14" s="443">
        <f>FR!K131</f>
        <v>1403210</v>
      </c>
      <c r="E14" s="443">
        <f>FR!L131</f>
        <v>81772629</v>
      </c>
      <c r="F14" s="443">
        <f>FR!M131</f>
        <v>4813355</v>
      </c>
      <c r="G14" s="443">
        <f>FR!N131</f>
        <v>4146554</v>
      </c>
      <c r="H14" s="447">
        <f>FR!O131</f>
        <v>515.00559999999996</v>
      </c>
      <c r="I14" s="447">
        <f>FR!P131</f>
        <v>374.2577</v>
      </c>
      <c r="J14" s="449">
        <f>FR!Q131</f>
        <v>140.74790000000002</v>
      </c>
      <c r="K14" s="4">
        <f>FR!R131</f>
        <v>0</v>
      </c>
      <c r="L14" s="443">
        <f>FR!S131</f>
        <v>226456</v>
      </c>
      <c r="M14" s="443">
        <f>FR!T131</f>
        <v>0</v>
      </c>
      <c r="N14" s="443">
        <f>FR!U131</f>
        <v>-1079250</v>
      </c>
      <c r="O14" s="443">
        <f>FR!V131</f>
        <v>-852794</v>
      </c>
      <c r="P14" s="445">
        <f>FR!W131</f>
        <v>0</v>
      </c>
      <c r="Q14" s="443">
        <f>FR!X131</f>
        <v>0</v>
      </c>
      <c r="R14" s="443">
        <f>FR!Y131</f>
        <v>0</v>
      </c>
      <c r="S14" s="443">
        <f>FR!Z131</f>
        <v>0</v>
      </c>
      <c r="T14" s="443">
        <f>FR!AA131</f>
        <v>-852794</v>
      </c>
      <c r="U14" s="443">
        <f>FR!AB131</f>
        <v>-288244</v>
      </c>
      <c r="V14" s="443">
        <f>FR!AC131</f>
        <v>-17057</v>
      </c>
      <c r="W14" s="443">
        <f>FR!AD131</f>
        <v>1750</v>
      </c>
      <c r="X14" s="443">
        <f>FR!AE131</f>
        <v>25239</v>
      </c>
      <c r="Y14" s="443">
        <f>FR!AF131</f>
        <v>26989</v>
      </c>
      <c r="Z14" s="443">
        <f>FR!AG131</f>
        <v>-1131106</v>
      </c>
      <c r="AA14" s="447">
        <f>FR!AH131</f>
        <v>0</v>
      </c>
      <c r="AB14" s="447">
        <f>FR!AI131</f>
        <v>0</v>
      </c>
      <c r="AC14" s="447">
        <f>FR!AJ131</f>
        <v>0.66999999999999993</v>
      </c>
      <c r="AD14" s="447">
        <f>FR!AK131</f>
        <v>0</v>
      </c>
      <c r="AE14" s="447">
        <f>FR!AL131</f>
        <v>0</v>
      </c>
      <c r="AF14" s="447">
        <f>FR!AM131</f>
        <v>-1.79</v>
      </c>
      <c r="AG14" s="447">
        <f>FR!AN131</f>
        <v>-0.25</v>
      </c>
      <c r="AH14" s="447">
        <f>FR!AO131</f>
        <v>-1.1200000000000001</v>
      </c>
      <c r="AI14" s="447">
        <f>FR!AP131</f>
        <v>-0.25</v>
      </c>
      <c r="AJ14" s="449">
        <f>FR!AQ131</f>
        <v>-1.37</v>
      </c>
      <c r="AK14" s="4">
        <f>FR!AR131</f>
        <v>331672283</v>
      </c>
      <c r="AL14" s="443">
        <f>FR!AS131</f>
        <v>239814847</v>
      </c>
      <c r="AM14" s="443">
        <f>FR!AT131</f>
        <v>1403210</v>
      </c>
      <c r="AN14" s="443">
        <f>FR!AU131</f>
        <v>81484385</v>
      </c>
      <c r="AO14" s="443">
        <f>FR!AV131</f>
        <v>4796298</v>
      </c>
      <c r="AP14" s="443">
        <f>FR!AW131</f>
        <v>4173543</v>
      </c>
      <c r="AQ14" s="447">
        <f>FR!AX131</f>
        <v>513.63559999999995</v>
      </c>
      <c r="AR14" s="447">
        <f>FR!AY131</f>
        <v>373.1377</v>
      </c>
      <c r="AS14" s="455">
        <f>FR!AZ131</f>
        <v>140.49790000000002</v>
      </c>
    </row>
    <row r="15" spans="1:45" s="3" customFormat="1" x14ac:dyDescent="0.2">
      <c r="A15" s="189" t="s">
        <v>255</v>
      </c>
      <c r="B15" s="23">
        <f>JN!I188</f>
        <v>667421980</v>
      </c>
      <c r="C15" s="19">
        <f>JN!J188</f>
        <v>483622202</v>
      </c>
      <c r="D15" s="19">
        <f>JN!K188</f>
        <v>1330300</v>
      </c>
      <c r="E15" s="19">
        <f>JN!L188</f>
        <v>163913946</v>
      </c>
      <c r="F15" s="19">
        <f>JN!M188</f>
        <v>9672446</v>
      </c>
      <c r="G15" s="19">
        <f>JN!N188</f>
        <v>8883086</v>
      </c>
      <c r="H15" s="266">
        <f>JN!O188</f>
        <v>1018.6301999999999</v>
      </c>
      <c r="I15" s="266">
        <f>JN!P188</f>
        <v>710.04259999999988</v>
      </c>
      <c r="J15" s="22">
        <f>JN!Q188</f>
        <v>308.58759999999995</v>
      </c>
      <c r="K15" s="23">
        <f>JN!R188</f>
        <v>0</v>
      </c>
      <c r="L15" s="19">
        <f>JN!S188</f>
        <v>34704</v>
      </c>
      <c r="M15" s="19">
        <f>JN!T188</f>
        <v>498944</v>
      </c>
      <c r="N15" s="19">
        <f>JN!U188</f>
        <v>45546</v>
      </c>
      <c r="O15" s="19">
        <f>JN!V188</f>
        <v>579194</v>
      </c>
      <c r="P15" s="446">
        <f>JN!W188</f>
        <v>0</v>
      </c>
      <c r="Q15" s="19">
        <f>JN!X188</f>
        <v>0</v>
      </c>
      <c r="R15" s="19">
        <f>JN!Y188</f>
        <v>0</v>
      </c>
      <c r="S15" s="19">
        <f>JN!Z188</f>
        <v>0</v>
      </c>
      <c r="T15" s="19">
        <f>JN!AA188</f>
        <v>579194</v>
      </c>
      <c r="U15" s="19">
        <f>JN!AB188</f>
        <v>195768</v>
      </c>
      <c r="V15" s="19">
        <f>JN!AC188</f>
        <v>11584</v>
      </c>
      <c r="W15" s="19">
        <f>JN!AD188</f>
        <v>27750</v>
      </c>
      <c r="X15" s="19">
        <f>JN!AE188</f>
        <v>78847</v>
      </c>
      <c r="Y15" s="19">
        <f>JN!AF188</f>
        <v>106597</v>
      </c>
      <c r="Z15" s="19">
        <f>JN!AG188</f>
        <v>893143</v>
      </c>
      <c r="AA15" s="266">
        <f>JN!AH188</f>
        <v>0</v>
      </c>
      <c r="AB15" s="266">
        <f>JN!AI188</f>
        <v>0</v>
      </c>
      <c r="AC15" s="266">
        <f>JN!AJ188</f>
        <v>9.0000000000000024E-2</v>
      </c>
      <c r="AD15" s="266">
        <f>JN!AK188</f>
        <v>0.8468</v>
      </c>
      <c r="AE15" s="266">
        <f>JN!AL188</f>
        <v>0.4</v>
      </c>
      <c r="AF15" s="266">
        <f>JN!AM188</f>
        <v>-0.01</v>
      </c>
      <c r="AG15" s="266">
        <f>JN!AN188</f>
        <v>0.16</v>
      </c>
      <c r="AH15" s="266">
        <f>JN!AO188</f>
        <v>0.92680000000000007</v>
      </c>
      <c r="AI15" s="266">
        <f>JN!AP188</f>
        <v>0.56000000000000005</v>
      </c>
      <c r="AJ15" s="22">
        <f>JN!AQ188</f>
        <v>1.4868000000000001</v>
      </c>
      <c r="AK15" s="23">
        <f>JN!AR188</f>
        <v>668315123</v>
      </c>
      <c r="AL15" s="19">
        <f>JN!AS188</f>
        <v>484201396</v>
      </c>
      <c r="AM15" s="19">
        <f>JN!AT188</f>
        <v>1330300</v>
      </c>
      <c r="AN15" s="19">
        <f>JN!AU188</f>
        <v>164109714</v>
      </c>
      <c r="AO15" s="19">
        <f>JN!AV188</f>
        <v>9684030</v>
      </c>
      <c r="AP15" s="19">
        <f>JN!AW188</f>
        <v>8989683</v>
      </c>
      <c r="AQ15" s="266">
        <f>JN!AX188</f>
        <v>1020.1170000000001</v>
      </c>
      <c r="AR15" s="266">
        <f>JN!AY188</f>
        <v>710.96940000000006</v>
      </c>
      <c r="AS15" s="448">
        <f>JN!AZ188</f>
        <v>309.14759999999995</v>
      </c>
    </row>
    <row r="16" spans="1:45" x14ac:dyDescent="0.2">
      <c r="A16" s="189" t="s">
        <v>256</v>
      </c>
      <c r="B16" s="4">
        <f>TA!I100</f>
        <v>263265228</v>
      </c>
      <c r="C16" s="443">
        <f>TA!J100</f>
        <v>189933715</v>
      </c>
      <c r="D16" s="443">
        <f>TA!K100</f>
        <v>1327490</v>
      </c>
      <c r="E16" s="443">
        <f>TA!L100</f>
        <v>64646286</v>
      </c>
      <c r="F16" s="443">
        <f>TA!M100</f>
        <v>3798675</v>
      </c>
      <c r="G16" s="443">
        <f>TA!N100</f>
        <v>3559062</v>
      </c>
      <c r="H16" s="447">
        <f>TA!O100</f>
        <v>407.40420000000006</v>
      </c>
      <c r="I16" s="447">
        <f>TA!P100</f>
        <v>299.10300000000001</v>
      </c>
      <c r="J16" s="449">
        <f>TA!Q100</f>
        <v>108.30119999999999</v>
      </c>
      <c r="K16" s="4">
        <f>TA!R100</f>
        <v>0</v>
      </c>
      <c r="L16" s="443">
        <f>TA!S100</f>
        <v>17352</v>
      </c>
      <c r="M16" s="443">
        <f>TA!T100</f>
        <v>0</v>
      </c>
      <c r="N16" s="443">
        <f>TA!U100</f>
        <v>-36819</v>
      </c>
      <c r="O16" s="443">
        <f>TA!V100</f>
        <v>-19467</v>
      </c>
      <c r="P16" s="445">
        <f>TA!W100</f>
        <v>0</v>
      </c>
      <c r="Q16" s="443">
        <f>TA!X100</f>
        <v>0</v>
      </c>
      <c r="R16" s="443">
        <f>TA!Y100</f>
        <v>0</v>
      </c>
      <c r="S16" s="443">
        <f>TA!Z100</f>
        <v>0</v>
      </c>
      <c r="T16" s="443">
        <f>TA!AA100</f>
        <v>-19467</v>
      </c>
      <c r="U16" s="443">
        <f>TA!AB100</f>
        <v>-6580</v>
      </c>
      <c r="V16" s="443">
        <f>TA!AC100</f>
        <v>-389</v>
      </c>
      <c r="W16" s="443">
        <f>TA!AD100</f>
        <v>0</v>
      </c>
      <c r="X16" s="443">
        <f>TA!AE100</f>
        <v>69928</v>
      </c>
      <c r="Y16" s="443">
        <f>TA!AF100</f>
        <v>69928</v>
      </c>
      <c r="Z16" s="443">
        <f>TA!AG100</f>
        <v>43492</v>
      </c>
      <c r="AA16" s="447">
        <f>TA!AH100</f>
        <v>0</v>
      </c>
      <c r="AB16" s="447">
        <f>TA!AI100</f>
        <v>0</v>
      </c>
      <c r="AC16" s="447">
        <f>TA!AJ100</f>
        <v>0.04</v>
      </c>
      <c r="AD16" s="447">
        <f>TA!AK100</f>
        <v>0</v>
      </c>
      <c r="AE16" s="447">
        <f>TA!AL100</f>
        <v>0</v>
      </c>
      <c r="AF16" s="447">
        <f>TA!AM100</f>
        <v>0</v>
      </c>
      <c r="AG16" s="447">
        <f>TA!AN100</f>
        <v>0</v>
      </c>
      <c r="AH16" s="447">
        <f>TA!AO100</f>
        <v>0.04</v>
      </c>
      <c r="AI16" s="447">
        <f>TA!AP100</f>
        <v>0</v>
      </c>
      <c r="AJ16" s="449">
        <f>TA!AQ100</f>
        <v>0.04</v>
      </c>
      <c r="AK16" s="4">
        <f>TA!AR100</f>
        <v>263308720</v>
      </c>
      <c r="AL16" s="443">
        <f>TA!AS100</f>
        <v>189914248</v>
      </c>
      <c r="AM16" s="443">
        <f>TA!AT100</f>
        <v>1327490</v>
      </c>
      <c r="AN16" s="443">
        <f>TA!AU100</f>
        <v>64639706</v>
      </c>
      <c r="AO16" s="443">
        <f>TA!AV100</f>
        <v>3798286</v>
      </c>
      <c r="AP16" s="443">
        <f>TA!AW100</f>
        <v>3628990</v>
      </c>
      <c r="AQ16" s="447">
        <f>TA!AX100</f>
        <v>407.44420000000002</v>
      </c>
      <c r="AR16" s="447">
        <f>TA!AY100</f>
        <v>299.14300000000003</v>
      </c>
      <c r="AS16" s="455">
        <f>TA!AZ100</f>
        <v>108.30119999999999</v>
      </c>
    </row>
    <row r="17" spans="1:45" x14ac:dyDescent="0.2">
      <c r="A17" s="189" t="s">
        <v>257</v>
      </c>
      <c r="B17" s="4">
        <f>ŽB!I74</f>
        <v>147948592</v>
      </c>
      <c r="C17" s="443">
        <f>ŽB!J74</f>
        <v>107036446</v>
      </c>
      <c r="D17" s="443">
        <f>ŽB!K74</f>
        <v>512441</v>
      </c>
      <c r="E17" s="443">
        <f>ŽB!L74</f>
        <v>36351526</v>
      </c>
      <c r="F17" s="443">
        <f>ŽB!M74</f>
        <v>2140727</v>
      </c>
      <c r="G17" s="443">
        <f>ŽB!N74</f>
        <v>1907452</v>
      </c>
      <c r="H17" s="447">
        <f>ŽB!O74</f>
        <v>223.1618</v>
      </c>
      <c r="I17" s="447">
        <f>ŽB!P74</f>
        <v>154.54920000000001</v>
      </c>
      <c r="J17" s="449">
        <f>ŽB!Q74</f>
        <v>68.6126</v>
      </c>
      <c r="K17" s="4">
        <f>ŽB!R74</f>
        <v>0</v>
      </c>
      <c r="L17" s="443">
        <f>ŽB!S74</f>
        <v>-17352</v>
      </c>
      <c r="M17" s="443">
        <f>ŽB!T74</f>
        <v>546106</v>
      </c>
      <c r="N17" s="443">
        <f>ŽB!U74</f>
        <v>0</v>
      </c>
      <c r="O17" s="443">
        <f>ŽB!V74</f>
        <v>528754</v>
      </c>
      <c r="P17" s="445">
        <f>ŽB!W74</f>
        <v>0</v>
      </c>
      <c r="Q17" s="443">
        <f>ŽB!X74</f>
        <v>0</v>
      </c>
      <c r="R17" s="443">
        <f>ŽB!Y74</f>
        <v>0</v>
      </c>
      <c r="S17" s="443">
        <f>ŽB!Z74</f>
        <v>0</v>
      </c>
      <c r="T17" s="443">
        <f>ŽB!AA74</f>
        <v>528754</v>
      </c>
      <c r="U17" s="443">
        <f>ŽB!AB74</f>
        <v>178719</v>
      </c>
      <c r="V17" s="443">
        <f>ŽB!AC74</f>
        <v>10575</v>
      </c>
      <c r="W17" s="443">
        <f>ŽB!AD74</f>
        <v>0</v>
      </c>
      <c r="X17" s="443">
        <f>ŽB!AE74</f>
        <v>25662</v>
      </c>
      <c r="Y17" s="443">
        <f>ŽB!AF74</f>
        <v>25662</v>
      </c>
      <c r="Z17" s="443">
        <f>ŽB!AG74</f>
        <v>743710</v>
      </c>
      <c r="AA17" s="447">
        <f>ŽB!AH74</f>
        <v>0</v>
      </c>
      <c r="AB17" s="447">
        <f>ŽB!AI74</f>
        <v>0</v>
      </c>
      <c r="AC17" s="447">
        <f>ŽB!AJ74</f>
        <v>-0.04</v>
      </c>
      <c r="AD17" s="447">
        <f>ŽB!AK74</f>
        <v>0.87</v>
      </c>
      <c r="AE17" s="447">
        <f>ŽB!AL74</f>
        <v>0</v>
      </c>
      <c r="AF17" s="447">
        <f>ŽB!AM74</f>
        <v>0</v>
      </c>
      <c r="AG17" s="447">
        <f>ŽB!AN74</f>
        <v>0</v>
      </c>
      <c r="AH17" s="447">
        <f>ŽB!AO74</f>
        <v>0.83</v>
      </c>
      <c r="AI17" s="447">
        <f>ŽB!AP74</f>
        <v>0</v>
      </c>
      <c r="AJ17" s="449">
        <f>ŽB!AQ74</f>
        <v>0.83</v>
      </c>
      <c r="AK17" s="4">
        <f>ŽB!AR74</f>
        <v>148692302</v>
      </c>
      <c r="AL17" s="443">
        <f>ŽB!AS74</f>
        <v>107565200</v>
      </c>
      <c r="AM17" s="443">
        <f>ŽB!AT74</f>
        <v>512441</v>
      </c>
      <c r="AN17" s="443">
        <f>ŽB!AU74</f>
        <v>36530245</v>
      </c>
      <c r="AO17" s="443">
        <f>ŽB!AV74</f>
        <v>2151302</v>
      </c>
      <c r="AP17" s="443">
        <f>ŽB!AW74</f>
        <v>1933114</v>
      </c>
      <c r="AQ17" s="447">
        <f>ŽB!AX74</f>
        <v>223.99180000000001</v>
      </c>
      <c r="AR17" s="447">
        <f>ŽB!AY74</f>
        <v>155.3792</v>
      </c>
      <c r="AS17" s="455">
        <f>ŽB!AZ74</f>
        <v>68.6126</v>
      </c>
    </row>
    <row r="18" spans="1:45" s="3" customFormat="1" x14ac:dyDescent="0.2">
      <c r="A18" s="189" t="s">
        <v>258</v>
      </c>
      <c r="B18" s="23">
        <f>ČL!I299</f>
        <v>1024488123</v>
      </c>
      <c r="C18" s="19">
        <f>ČL!J299</f>
        <v>742329117</v>
      </c>
      <c r="D18" s="19">
        <f>ČL!K299</f>
        <v>2210734</v>
      </c>
      <c r="E18" s="19">
        <f>ČL!L299</f>
        <v>251654471</v>
      </c>
      <c r="F18" s="19">
        <f>ČL!M299</f>
        <v>14846575</v>
      </c>
      <c r="G18" s="19">
        <f>ČL!N299</f>
        <v>13447226</v>
      </c>
      <c r="H18" s="266">
        <f>ČL!O299</f>
        <v>1552.8367999999994</v>
      </c>
      <c r="I18" s="266">
        <f>ČL!P299</f>
        <v>1107.6128000000001</v>
      </c>
      <c r="J18" s="22">
        <f>ČL!Q299</f>
        <v>445.22399999999993</v>
      </c>
      <c r="K18" s="23">
        <f>ČL!R299</f>
        <v>0</v>
      </c>
      <c r="L18" s="19">
        <f>ČL!S299</f>
        <v>-15829</v>
      </c>
      <c r="M18" s="19">
        <f>ČL!T299</f>
        <v>1138305</v>
      </c>
      <c r="N18" s="19">
        <f>ČL!U299</f>
        <v>303654</v>
      </c>
      <c r="O18" s="19">
        <f>ČL!V299</f>
        <v>1426130</v>
      </c>
      <c r="P18" s="446">
        <f>ČL!W299</f>
        <v>0</v>
      </c>
      <c r="Q18" s="19">
        <f>ČL!X299</f>
        <v>0</v>
      </c>
      <c r="R18" s="19">
        <f>ČL!Y299</f>
        <v>0</v>
      </c>
      <c r="S18" s="19">
        <f>ČL!Z299</f>
        <v>0</v>
      </c>
      <c r="T18" s="19">
        <f>ČL!AA299</f>
        <v>1426130</v>
      </c>
      <c r="U18" s="19">
        <f>ČL!AB299</f>
        <v>482033</v>
      </c>
      <c r="V18" s="19">
        <f>ČL!AC299</f>
        <v>28523</v>
      </c>
      <c r="W18" s="19">
        <f>ČL!AD299</f>
        <v>3000</v>
      </c>
      <c r="X18" s="19">
        <f>ČL!AE299</f>
        <v>73702</v>
      </c>
      <c r="Y18" s="19">
        <f>ČL!AF299</f>
        <v>76702</v>
      </c>
      <c r="Z18" s="19">
        <f>ČL!AG299</f>
        <v>2013388</v>
      </c>
      <c r="AA18" s="266">
        <f>ČL!AH299</f>
        <v>0</v>
      </c>
      <c r="AB18" s="266">
        <f>ČL!AI299</f>
        <v>0</v>
      </c>
      <c r="AC18" s="266">
        <f>ČL!AJ299</f>
        <v>0.11999999999999994</v>
      </c>
      <c r="AD18" s="266">
        <f>ČL!AK299</f>
        <v>2.87</v>
      </c>
      <c r="AE18" s="266">
        <f>ČL!AL299</f>
        <v>0</v>
      </c>
      <c r="AF18" s="266">
        <f>ČL!AM299</f>
        <v>2.54</v>
      </c>
      <c r="AG18" s="266">
        <f>ČL!AN299</f>
        <v>0.11</v>
      </c>
      <c r="AH18" s="266">
        <f>ČL!AO299</f>
        <v>5.53</v>
      </c>
      <c r="AI18" s="266">
        <f>ČL!AP299</f>
        <v>0.11</v>
      </c>
      <c r="AJ18" s="22">
        <f>ČL!AQ299</f>
        <v>5.6400000000000006</v>
      </c>
      <c r="AK18" s="23">
        <f>ČL!AR299</f>
        <v>1026501511</v>
      </c>
      <c r="AL18" s="19">
        <f>ČL!AS299</f>
        <v>743755247</v>
      </c>
      <c r="AM18" s="19">
        <f>ČL!AT299</f>
        <v>2210734</v>
      </c>
      <c r="AN18" s="19">
        <f>ČL!AU299</f>
        <v>252136504</v>
      </c>
      <c r="AO18" s="19">
        <f>ČL!AV299</f>
        <v>14875098</v>
      </c>
      <c r="AP18" s="19">
        <f>ČL!AW299</f>
        <v>13523928</v>
      </c>
      <c r="AQ18" s="266">
        <f>ČL!AX299</f>
        <v>1558.4767999999997</v>
      </c>
      <c r="AR18" s="266">
        <f>ČL!AY299</f>
        <v>1113.1428000000003</v>
      </c>
      <c r="AS18" s="448">
        <f>ČL!AZ299</f>
        <v>445.33399999999995</v>
      </c>
    </row>
    <row r="19" spans="1:45" x14ac:dyDescent="0.2">
      <c r="A19" s="189" t="s">
        <v>259</v>
      </c>
      <c r="B19" s="4">
        <f>NB!I123</f>
        <v>339254374</v>
      </c>
      <c r="C19" s="443">
        <f>NB!J123</f>
        <v>245361157</v>
      </c>
      <c r="D19" s="443">
        <f>NB!K123</f>
        <v>1273435</v>
      </c>
      <c r="E19" s="443">
        <f>NB!L123</f>
        <v>83362490</v>
      </c>
      <c r="F19" s="443">
        <f>NB!M123</f>
        <v>4907221</v>
      </c>
      <c r="G19" s="443">
        <f>NB!N123</f>
        <v>4350071</v>
      </c>
      <c r="H19" s="447">
        <f>NB!O123</f>
        <v>516.2174</v>
      </c>
      <c r="I19" s="447">
        <f>NB!P123</f>
        <v>364.13749999999993</v>
      </c>
      <c r="J19" s="449">
        <f>NB!Q123</f>
        <v>152.07990000000004</v>
      </c>
      <c r="K19" s="4">
        <f>NB!R123</f>
        <v>0</v>
      </c>
      <c r="L19" s="443">
        <f>NB!S123</f>
        <v>194875</v>
      </c>
      <c r="M19" s="443">
        <f>NB!T123</f>
        <v>217129</v>
      </c>
      <c r="N19" s="443">
        <f>NB!U123</f>
        <v>411687</v>
      </c>
      <c r="O19" s="443">
        <f>NB!V123</f>
        <v>823691</v>
      </c>
      <c r="P19" s="445">
        <f>NB!W123</f>
        <v>0</v>
      </c>
      <c r="Q19" s="443">
        <f>NB!X123</f>
        <v>0</v>
      </c>
      <c r="R19" s="443">
        <f>NB!Y123</f>
        <v>0</v>
      </c>
      <c r="S19" s="443">
        <f>NB!Z123</f>
        <v>0</v>
      </c>
      <c r="T19" s="443">
        <f>NB!AA123</f>
        <v>823691</v>
      </c>
      <c r="U19" s="443">
        <f>NB!AB123</f>
        <v>278408</v>
      </c>
      <c r="V19" s="443">
        <f>NB!AC123</f>
        <v>16474</v>
      </c>
      <c r="W19" s="443">
        <f>NB!AD123</f>
        <v>500</v>
      </c>
      <c r="X19" s="443">
        <f>NB!AE123</f>
        <v>61053</v>
      </c>
      <c r="Y19" s="443">
        <f>NB!AF123</f>
        <v>61553</v>
      </c>
      <c r="Z19" s="443">
        <f>NB!AG123</f>
        <v>1180126</v>
      </c>
      <c r="AA19" s="447">
        <f>NB!AH123</f>
        <v>0</v>
      </c>
      <c r="AB19" s="447">
        <f>NB!AI123</f>
        <v>0</v>
      </c>
      <c r="AC19" s="447">
        <f>NB!AJ123</f>
        <v>0.57000000000000006</v>
      </c>
      <c r="AD19" s="447">
        <f>NB!AK123</f>
        <v>0.33</v>
      </c>
      <c r="AE19" s="447">
        <f>NB!AL123</f>
        <v>0.13</v>
      </c>
      <c r="AF19" s="447">
        <f>NB!AM123</f>
        <v>1</v>
      </c>
      <c r="AG19" s="447">
        <f>NB!AN123</f>
        <v>0</v>
      </c>
      <c r="AH19" s="447">
        <f>NB!AO123</f>
        <v>1.9</v>
      </c>
      <c r="AI19" s="447">
        <f>NB!AP123</f>
        <v>0.13</v>
      </c>
      <c r="AJ19" s="449">
        <f>NB!AQ123</f>
        <v>2.0299999999999998</v>
      </c>
      <c r="AK19" s="4">
        <f>NB!AR123</f>
        <v>340434500</v>
      </c>
      <c r="AL19" s="443">
        <f>NB!AS123</f>
        <v>246184848</v>
      </c>
      <c r="AM19" s="443">
        <f>NB!AT123</f>
        <v>1273435</v>
      </c>
      <c r="AN19" s="443">
        <f>NB!AU123</f>
        <v>83640898</v>
      </c>
      <c r="AO19" s="443">
        <f>NB!AV123</f>
        <v>4923695</v>
      </c>
      <c r="AP19" s="443">
        <f>NB!AW123</f>
        <v>4411624</v>
      </c>
      <c r="AQ19" s="447">
        <f>NB!AX123</f>
        <v>518.24740000000008</v>
      </c>
      <c r="AR19" s="447">
        <f>NB!AY123</f>
        <v>366.03750000000002</v>
      </c>
      <c r="AS19" s="455">
        <f>NB!AZ123</f>
        <v>152.20990000000003</v>
      </c>
    </row>
    <row r="20" spans="1:45" x14ac:dyDescent="0.2">
      <c r="A20" s="189" t="s">
        <v>260</v>
      </c>
      <c r="B20" s="4">
        <f>SM!I165</f>
        <v>354126615</v>
      </c>
      <c r="C20" s="443">
        <f>SM!J165</f>
        <v>255778966</v>
      </c>
      <c r="D20" s="443">
        <f>SM!K165</f>
        <v>1741420</v>
      </c>
      <c r="E20" s="443">
        <f>SM!L165</f>
        <v>87041892</v>
      </c>
      <c r="F20" s="443">
        <f>SM!M165</f>
        <v>5115577</v>
      </c>
      <c r="G20" s="443">
        <f>SM!N165</f>
        <v>4448760</v>
      </c>
      <c r="H20" s="447">
        <f>SM!O165</f>
        <v>529.9851000000001</v>
      </c>
      <c r="I20" s="447">
        <f>SM!P165</f>
        <v>364.49099999999999</v>
      </c>
      <c r="J20" s="449">
        <f>SM!Q165</f>
        <v>165.4941</v>
      </c>
      <c r="K20" s="4">
        <f>SM!R165</f>
        <v>0</v>
      </c>
      <c r="L20" s="443">
        <f>SM!S165</f>
        <v>134367</v>
      </c>
      <c r="M20" s="443">
        <f>SM!T165</f>
        <v>0</v>
      </c>
      <c r="N20" s="443">
        <f>SM!U165</f>
        <v>-13224</v>
      </c>
      <c r="O20" s="443">
        <f>SM!V165</f>
        <v>121143</v>
      </c>
      <c r="P20" s="445">
        <f>SM!W165</f>
        <v>0</v>
      </c>
      <c r="Q20" s="443">
        <f>SM!X165</f>
        <v>0</v>
      </c>
      <c r="R20" s="443">
        <f>SM!Y165</f>
        <v>0</v>
      </c>
      <c r="S20" s="443">
        <f>SM!Z165</f>
        <v>0</v>
      </c>
      <c r="T20" s="443">
        <f>SM!AA165</f>
        <v>121143</v>
      </c>
      <c r="U20" s="443">
        <f>SM!AB165</f>
        <v>40946</v>
      </c>
      <c r="V20" s="443">
        <f>SM!AC165</f>
        <v>2423</v>
      </c>
      <c r="W20" s="443">
        <f>SM!AD165</f>
        <v>8100</v>
      </c>
      <c r="X20" s="443">
        <f>SM!AE165</f>
        <v>47047</v>
      </c>
      <c r="Y20" s="443">
        <f>SM!AF165</f>
        <v>55147</v>
      </c>
      <c r="Z20" s="443">
        <f>SM!AG165</f>
        <v>219659</v>
      </c>
      <c r="AA20" s="447">
        <f>SM!AH165</f>
        <v>0</v>
      </c>
      <c r="AB20" s="447">
        <f>SM!AI165</f>
        <v>0</v>
      </c>
      <c r="AC20" s="447">
        <f>SM!AJ165</f>
        <v>0.35000000000000003</v>
      </c>
      <c r="AD20" s="447">
        <f>SM!AK165</f>
        <v>0</v>
      </c>
      <c r="AE20" s="447">
        <f>SM!AL165</f>
        <v>0</v>
      </c>
      <c r="AF20" s="447">
        <f>SM!AM165</f>
        <v>-0.04</v>
      </c>
      <c r="AG20" s="447">
        <f>SM!AN165</f>
        <v>0</v>
      </c>
      <c r="AH20" s="447">
        <f>SM!AO165</f>
        <v>0.31</v>
      </c>
      <c r="AI20" s="447">
        <f>SM!AP165</f>
        <v>0</v>
      </c>
      <c r="AJ20" s="449">
        <f>SM!AQ165</f>
        <v>0.31</v>
      </c>
      <c r="AK20" s="4">
        <f>SM!AR165</f>
        <v>354346274</v>
      </c>
      <c r="AL20" s="443">
        <f>SM!AS165</f>
        <v>255900109</v>
      </c>
      <c r="AM20" s="443">
        <f>SM!AT165</f>
        <v>1741420</v>
      </c>
      <c r="AN20" s="443">
        <f>SM!AU165</f>
        <v>87082838</v>
      </c>
      <c r="AO20" s="443">
        <f>SM!AV165</f>
        <v>5118000</v>
      </c>
      <c r="AP20" s="443">
        <f>SM!AW165</f>
        <v>4503907</v>
      </c>
      <c r="AQ20" s="447">
        <f>SM!AX165</f>
        <v>530.29510000000016</v>
      </c>
      <c r="AR20" s="447">
        <f>SM!AY165</f>
        <v>364.80099999999999</v>
      </c>
      <c r="AS20" s="455">
        <f>SM!AZ165</f>
        <v>165.4941</v>
      </c>
    </row>
    <row r="21" spans="1:45" s="3" customFormat="1" x14ac:dyDescent="0.2">
      <c r="A21" s="189" t="s">
        <v>261</v>
      </c>
      <c r="B21" s="23">
        <f>JI!I143</f>
        <v>291420532</v>
      </c>
      <c r="C21" s="19">
        <f>JI!J143</f>
        <v>211265983</v>
      </c>
      <c r="D21" s="19">
        <f>JI!K143</f>
        <v>737620</v>
      </c>
      <c r="E21" s="19">
        <f>JI!L143</f>
        <v>71657221</v>
      </c>
      <c r="F21" s="19">
        <f>JI!M143</f>
        <v>4225320</v>
      </c>
      <c r="G21" s="19">
        <f>JI!N143</f>
        <v>3534388</v>
      </c>
      <c r="H21" s="266">
        <f>JI!O143</f>
        <v>440.47019999999998</v>
      </c>
      <c r="I21" s="266">
        <f>JI!P143</f>
        <v>309.41640000000001</v>
      </c>
      <c r="J21" s="22">
        <f>JI!Q143</f>
        <v>131.0538</v>
      </c>
      <c r="K21" s="23">
        <f>JI!R143</f>
        <v>0</v>
      </c>
      <c r="L21" s="19">
        <f>JI!S143</f>
        <v>-88094</v>
      </c>
      <c r="M21" s="19">
        <f>JI!T143</f>
        <v>0</v>
      </c>
      <c r="N21" s="19">
        <f>JI!U143</f>
        <v>0</v>
      </c>
      <c r="O21" s="19">
        <f>JI!V143</f>
        <v>-88094</v>
      </c>
      <c r="P21" s="446">
        <f>JI!W143</f>
        <v>0</v>
      </c>
      <c r="Q21" s="19">
        <f>JI!X143</f>
        <v>0</v>
      </c>
      <c r="R21" s="19">
        <f>JI!Y143</f>
        <v>0</v>
      </c>
      <c r="S21" s="19">
        <f>JI!Z143</f>
        <v>0</v>
      </c>
      <c r="T21" s="19">
        <f>JI!AA143</f>
        <v>-88094</v>
      </c>
      <c r="U21" s="19">
        <f>JI!AB143</f>
        <v>-29776</v>
      </c>
      <c r="V21" s="19">
        <f>JI!AC143</f>
        <v>-1762</v>
      </c>
      <c r="W21" s="19">
        <f>JI!AD143</f>
        <v>3950</v>
      </c>
      <c r="X21" s="19">
        <f>JI!AE143</f>
        <v>13160</v>
      </c>
      <c r="Y21" s="19">
        <f>JI!AF143</f>
        <v>17110</v>
      </c>
      <c r="Z21" s="19">
        <f>JI!AG143</f>
        <v>-102522</v>
      </c>
      <c r="AA21" s="266">
        <f>JI!AH143</f>
        <v>0</v>
      </c>
      <c r="AB21" s="266">
        <f>JI!AI143</f>
        <v>0</v>
      </c>
      <c r="AC21" s="266">
        <f>JI!AJ143</f>
        <v>-0.22999999999999998</v>
      </c>
      <c r="AD21" s="266">
        <f>JI!AK143</f>
        <v>0</v>
      </c>
      <c r="AE21" s="266">
        <f>JI!AL143</f>
        <v>0</v>
      </c>
      <c r="AF21" s="266">
        <f>JI!AM143</f>
        <v>0</v>
      </c>
      <c r="AG21" s="266">
        <f>JI!AN143</f>
        <v>0</v>
      </c>
      <c r="AH21" s="266">
        <f>JI!AO143</f>
        <v>-0.22999999999999998</v>
      </c>
      <c r="AI21" s="266">
        <f>JI!AP143</f>
        <v>0</v>
      </c>
      <c r="AJ21" s="22">
        <f>JI!AQ143</f>
        <v>-0.22999999999999998</v>
      </c>
      <c r="AK21" s="23">
        <f>JI!AR143</f>
        <v>291318010</v>
      </c>
      <c r="AL21" s="19">
        <f>JI!AS143</f>
        <v>211177889</v>
      </c>
      <c r="AM21" s="19">
        <f>JI!AT143</f>
        <v>737620</v>
      </c>
      <c r="AN21" s="19">
        <f>JI!AU143</f>
        <v>71627445</v>
      </c>
      <c r="AO21" s="19">
        <f>JI!AV143</f>
        <v>4223558</v>
      </c>
      <c r="AP21" s="19">
        <f>JI!AW143</f>
        <v>3551498</v>
      </c>
      <c r="AQ21" s="266">
        <f>JI!AX143</f>
        <v>440.24020000000002</v>
      </c>
      <c r="AR21" s="266">
        <f>JI!AY143</f>
        <v>309.18639999999999</v>
      </c>
      <c r="AS21" s="448">
        <f>JI!AZ143</f>
        <v>131.0538</v>
      </c>
    </row>
    <row r="22" spans="1:45" ht="13.5" thickBot="1" x14ac:dyDescent="0.25">
      <c r="A22" s="444" t="s">
        <v>262</v>
      </c>
      <c r="B22" s="722">
        <f>TU!I199</f>
        <v>463113205</v>
      </c>
      <c r="C22" s="723">
        <f>TU!J199</f>
        <v>335036945</v>
      </c>
      <c r="D22" s="723">
        <f>TU!K199</f>
        <v>1690545</v>
      </c>
      <c r="E22" s="723">
        <f>TU!L199</f>
        <v>113813890</v>
      </c>
      <c r="F22" s="723">
        <f>TU!M199</f>
        <v>6700742</v>
      </c>
      <c r="G22" s="723">
        <f>TU!N199</f>
        <v>5871083</v>
      </c>
      <c r="H22" s="732">
        <f>TU!O199</f>
        <v>700.94879999999989</v>
      </c>
      <c r="I22" s="732">
        <f>TU!P199</f>
        <v>486.91540000000003</v>
      </c>
      <c r="J22" s="733">
        <f>TU!Q199</f>
        <v>214.03339999999997</v>
      </c>
      <c r="K22" s="722">
        <f>TU!R199</f>
        <v>0</v>
      </c>
      <c r="L22" s="723">
        <f>TU!S199</f>
        <v>17352</v>
      </c>
      <c r="M22" s="723">
        <f>TU!T199</f>
        <v>0</v>
      </c>
      <c r="N22" s="723">
        <f>TU!U199</f>
        <v>163452</v>
      </c>
      <c r="O22" s="723">
        <f>TU!V199</f>
        <v>180804</v>
      </c>
      <c r="P22" s="730">
        <f>TU!W199</f>
        <v>0</v>
      </c>
      <c r="Q22" s="723">
        <f>TU!X199</f>
        <v>0</v>
      </c>
      <c r="R22" s="723">
        <f>TU!Y199</f>
        <v>0</v>
      </c>
      <c r="S22" s="723">
        <f>TU!Z199</f>
        <v>0</v>
      </c>
      <c r="T22" s="723">
        <f>TU!AA199</f>
        <v>180804</v>
      </c>
      <c r="U22" s="723">
        <f>TU!AB199</f>
        <v>61112</v>
      </c>
      <c r="V22" s="723">
        <f>TU!AC199</f>
        <v>3616</v>
      </c>
      <c r="W22" s="723">
        <f>TU!AD199</f>
        <v>0</v>
      </c>
      <c r="X22" s="723">
        <f>TU!AE199</f>
        <v>41642</v>
      </c>
      <c r="Y22" s="723">
        <f>TU!AF199</f>
        <v>41642</v>
      </c>
      <c r="Z22" s="723">
        <f>TU!AG199</f>
        <v>287174</v>
      </c>
      <c r="AA22" s="732">
        <f>TU!AH199</f>
        <v>0</v>
      </c>
      <c r="AB22" s="732">
        <f>TU!AI199</f>
        <v>0</v>
      </c>
      <c r="AC22" s="732">
        <f>TU!AJ199</f>
        <v>0.04</v>
      </c>
      <c r="AD22" s="732">
        <f>TU!AK199</f>
        <v>0</v>
      </c>
      <c r="AE22" s="732">
        <f>TU!AL199</f>
        <v>0</v>
      </c>
      <c r="AF22" s="732">
        <f>TU!AM199</f>
        <v>0.27</v>
      </c>
      <c r="AG22" s="732">
        <f>TU!AN199</f>
        <v>0</v>
      </c>
      <c r="AH22" s="732">
        <f>TU!AO199</f>
        <v>0.31</v>
      </c>
      <c r="AI22" s="732">
        <f>TU!AP199</f>
        <v>0</v>
      </c>
      <c r="AJ22" s="733">
        <f>TU!AQ199</f>
        <v>0.31</v>
      </c>
      <c r="AK22" s="722">
        <f>TU!AR199</f>
        <v>463400379</v>
      </c>
      <c r="AL22" s="723">
        <f>TU!AS199</f>
        <v>335217749</v>
      </c>
      <c r="AM22" s="723">
        <f>TU!AT199</f>
        <v>1690545</v>
      </c>
      <c r="AN22" s="723">
        <f>TU!AU199</f>
        <v>113875002</v>
      </c>
      <c r="AO22" s="723">
        <f>TU!AV199</f>
        <v>6704358</v>
      </c>
      <c r="AP22" s="723">
        <f>TU!AW199</f>
        <v>5912725</v>
      </c>
      <c r="AQ22" s="732">
        <f>TU!AX199</f>
        <v>701.25879999999995</v>
      </c>
      <c r="AR22" s="732">
        <f>TU!AY199</f>
        <v>487.22540000000004</v>
      </c>
      <c r="AS22" s="734">
        <f>TU!AZ199</f>
        <v>214.03339999999997</v>
      </c>
    </row>
    <row r="23" spans="1:45" s="3" customFormat="1" ht="13.5" thickBot="1" x14ac:dyDescent="0.25">
      <c r="A23" s="190" t="s">
        <v>263</v>
      </c>
      <c r="B23" s="724">
        <f>SUM(B13:B22)</f>
        <v>5704581554</v>
      </c>
      <c r="C23" s="725">
        <f t="shared" ref="C23:AS23" si="0">SUM(C13:C22)</f>
        <v>4127472848</v>
      </c>
      <c r="D23" s="725">
        <f t="shared" ref="D23" si="1">SUM(D13:D22)</f>
        <v>18405336</v>
      </c>
      <c r="E23" s="725">
        <f t="shared" si="0"/>
        <v>1401177382</v>
      </c>
      <c r="F23" s="725">
        <f t="shared" si="0"/>
        <v>82549448</v>
      </c>
      <c r="G23" s="725">
        <f t="shared" si="0"/>
        <v>74976540</v>
      </c>
      <c r="H23" s="726">
        <f t="shared" si="0"/>
        <v>8617.7221999999983</v>
      </c>
      <c r="I23" s="726">
        <f t="shared" si="0"/>
        <v>6134.7847000000002</v>
      </c>
      <c r="J23" s="728">
        <f t="shared" si="0"/>
        <v>2482.9375</v>
      </c>
      <c r="K23" s="724">
        <f t="shared" si="0"/>
        <v>0</v>
      </c>
      <c r="L23" s="725">
        <f t="shared" si="0"/>
        <v>1485332</v>
      </c>
      <c r="M23" s="725">
        <f t="shared" si="0"/>
        <v>3014135</v>
      </c>
      <c r="N23" s="725">
        <f t="shared" si="0"/>
        <v>-235793</v>
      </c>
      <c r="O23" s="725">
        <f t="shared" si="0"/>
        <v>4263674</v>
      </c>
      <c r="P23" s="731">
        <f t="shared" si="0"/>
        <v>0</v>
      </c>
      <c r="Q23" s="725">
        <f t="shared" si="0"/>
        <v>0</v>
      </c>
      <c r="R23" s="725">
        <f t="shared" si="0"/>
        <v>0</v>
      </c>
      <c r="S23" s="725">
        <f t="shared" si="0"/>
        <v>0</v>
      </c>
      <c r="T23" s="725">
        <f t="shared" si="0"/>
        <v>4263674</v>
      </c>
      <c r="U23" s="725">
        <f t="shared" si="0"/>
        <v>1441123</v>
      </c>
      <c r="V23" s="725">
        <f t="shared" si="0"/>
        <v>85272</v>
      </c>
      <c r="W23" s="725">
        <f t="shared" si="0"/>
        <v>53800</v>
      </c>
      <c r="X23" s="725">
        <f t="shared" si="0"/>
        <v>543158</v>
      </c>
      <c r="Y23" s="725">
        <f t="shared" si="0"/>
        <v>596958</v>
      </c>
      <c r="Z23" s="725">
        <f t="shared" si="0"/>
        <v>6387027</v>
      </c>
      <c r="AA23" s="726">
        <f t="shared" si="0"/>
        <v>0</v>
      </c>
      <c r="AB23" s="726">
        <f t="shared" si="0"/>
        <v>0</v>
      </c>
      <c r="AC23" s="726">
        <f t="shared" si="0"/>
        <v>4.29</v>
      </c>
      <c r="AD23" s="726">
        <f t="shared" ref="AD23:AE23" si="2">SUM(AD13:AD22)</f>
        <v>5.5267999999999997</v>
      </c>
      <c r="AE23" s="726">
        <f t="shared" si="2"/>
        <v>0.27</v>
      </c>
      <c r="AF23" s="726">
        <f t="shared" si="0"/>
        <v>1.97</v>
      </c>
      <c r="AG23" s="726">
        <f t="shared" si="0"/>
        <v>2.0000000000000004E-2</v>
      </c>
      <c r="AH23" s="726">
        <f t="shared" si="0"/>
        <v>11.786800000000001</v>
      </c>
      <c r="AI23" s="726">
        <f t="shared" si="0"/>
        <v>0.29000000000000004</v>
      </c>
      <c r="AJ23" s="728">
        <f t="shared" si="0"/>
        <v>12.0768</v>
      </c>
      <c r="AK23" s="724">
        <f t="shared" si="0"/>
        <v>5710968581</v>
      </c>
      <c r="AL23" s="725">
        <f t="shared" si="0"/>
        <v>4131736522</v>
      </c>
      <c r="AM23" s="725">
        <f t="shared" si="0"/>
        <v>18405336</v>
      </c>
      <c r="AN23" s="725">
        <f t="shared" si="0"/>
        <v>1402618505</v>
      </c>
      <c r="AO23" s="725">
        <f t="shared" si="0"/>
        <v>82634720</v>
      </c>
      <c r="AP23" s="725">
        <f t="shared" si="0"/>
        <v>75573498</v>
      </c>
      <c r="AQ23" s="726">
        <f t="shared" ref="AQ23" si="3">SUM(AQ13:AQ22)</f>
        <v>8629.7990000000009</v>
      </c>
      <c r="AR23" s="726">
        <f t="shared" si="0"/>
        <v>6146.5715000000009</v>
      </c>
      <c r="AS23" s="727">
        <f t="shared" si="0"/>
        <v>2483.2275000000004</v>
      </c>
    </row>
    <row r="24" spans="1:45" x14ac:dyDescent="0.2">
      <c r="A24" s="24" t="s">
        <v>264</v>
      </c>
      <c r="B24" s="507">
        <f>SUM(C23:G23)</f>
        <v>5704581554</v>
      </c>
      <c r="C24" s="507"/>
      <c r="D24" s="507"/>
      <c r="E24" s="507"/>
      <c r="F24" s="507"/>
      <c r="G24" s="507"/>
      <c r="H24" s="508">
        <f>SUM(I23:J23)</f>
        <v>8617.7222000000002</v>
      </c>
      <c r="I24" s="508"/>
      <c r="J24" s="508"/>
      <c r="K24" s="507">
        <f>P23</f>
        <v>0</v>
      </c>
      <c r="L24" s="508"/>
      <c r="M24" s="508"/>
      <c r="N24" s="508"/>
      <c r="O24" s="516">
        <f>SUM(K23:N23)</f>
        <v>4263674</v>
      </c>
      <c r="P24" s="516">
        <f>K23</f>
        <v>0</v>
      </c>
      <c r="Q24" s="517"/>
      <c r="R24" s="517"/>
      <c r="S24" s="516">
        <f>SUM(P23:R23)</f>
        <v>0</v>
      </c>
      <c r="T24" s="516">
        <f>O23+S23</f>
        <v>4263674</v>
      </c>
      <c r="U24" s="518"/>
      <c r="V24" s="518"/>
      <c r="W24" s="517"/>
      <c r="X24" s="517"/>
      <c r="Y24" s="516">
        <f>SUM(W23:X23)</f>
        <v>596958</v>
      </c>
      <c r="Z24" s="516">
        <f>T23+U23+V23+Y23</f>
        <v>6387027</v>
      </c>
      <c r="AA24" s="519"/>
      <c r="AB24" s="519"/>
      <c r="AC24" s="519"/>
      <c r="AD24" s="519"/>
      <c r="AE24" s="519"/>
      <c r="AF24" s="519"/>
      <c r="AG24" s="519"/>
      <c r="AH24" s="520">
        <f>AA23+AC23+AD23+AF23</f>
        <v>11.786800000000001</v>
      </c>
      <c r="AI24" s="520">
        <f>AB23+AE23+AG23</f>
        <v>0.29000000000000004</v>
      </c>
      <c r="AJ24" s="520">
        <f>SUM(AH23:AI23)</f>
        <v>12.076800000000002</v>
      </c>
      <c r="AK24" s="507">
        <f>SUM(AL23:AP23)</f>
        <v>5710968581</v>
      </c>
      <c r="AL24" s="59"/>
      <c r="AM24" s="59"/>
      <c r="AN24" s="59"/>
      <c r="AO24" s="59"/>
      <c r="AP24" s="59"/>
      <c r="AQ24" s="508">
        <f>SUM(AR23:AS23)</f>
        <v>8629.7990000000009</v>
      </c>
      <c r="AR24" s="97"/>
      <c r="AS24" s="97"/>
    </row>
    <row r="25" spans="1:45" ht="13.5" thickBot="1" x14ac:dyDescent="0.25">
      <c r="A25" s="24"/>
      <c r="B25" s="95">
        <f>SUM(C26:G26)</f>
        <v>5704581554</v>
      </c>
      <c r="C25" s="57"/>
      <c r="D25" s="57"/>
      <c r="E25" s="515"/>
      <c r="F25" s="515"/>
      <c r="G25" s="57"/>
      <c r="H25" s="96">
        <f>SUM(I26:J26)</f>
        <v>8617.7222000000002</v>
      </c>
      <c r="I25" s="187"/>
      <c r="J25" s="187"/>
      <c r="K25" s="508"/>
      <c r="L25" s="508"/>
      <c r="M25" s="508"/>
      <c r="N25" s="508"/>
      <c r="O25" s="516">
        <f>SUM(K26:N26)</f>
        <v>4263674</v>
      </c>
      <c r="P25" s="517"/>
      <c r="Q25" s="517"/>
      <c r="R25" s="517"/>
      <c r="S25" s="516">
        <f>SUM(P26:R26)</f>
        <v>0</v>
      </c>
      <c r="T25" s="516">
        <f>O26+S26</f>
        <v>4263674</v>
      </c>
      <c r="U25" s="518"/>
      <c r="V25" s="518"/>
      <c r="W25" s="517"/>
      <c r="X25" s="517"/>
      <c r="Y25" s="516">
        <f>SUM(W26:X26)</f>
        <v>596958</v>
      </c>
      <c r="Z25" s="516">
        <f>T26+U26+V26+Y26</f>
        <v>6387027</v>
      </c>
      <c r="AA25" s="519"/>
      <c r="AB25" s="519"/>
      <c r="AC25" s="519"/>
      <c r="AD25" s="519"/>
      <c r="AE25" s="519"/>
      <c r="AF25" s="519"/>
      <c r="AG25" s="519"/>
      <c r="AH25" s="715">
        <f>AA26+AC26+AD26+AF26</f>
        <v>11.786799999999999</v>
      </c>
      <c r="AI25" s="715">
        <f>AB26+AE26+AG26</f>
        <v>0.29000000000000004</v>
      </c>
      <c r="AJ25" s="520">
        <f>SUM(AH26:AI26)</f>
        <v>12.076800000000002</v>
      </c>
      <c r="AK25" s="507">
        <f>SUM(AL26:AP26)</f>
        <v>5710968581</v>
      </c>
      <c r="AL25" s="59"/>
      <c r="AM25" s="59"/>
      <c r="AN25" s="59"/>
      <c r="AO25" s="59"/>
      <c r="AP25" s="59"/>
      <c r="AQ25" s="508">
        <f>SUM(AR26:AS26)</f>
        <v>8629.7990000000009</v>
      </c>
      <c r="AR25" s="97"/>
      <c r="AS25" s="97"/>
    </row>
    <row r="26" spans="1:45" ht="13.5" thickBot="1" x14ac:dyDescent="0.25">
      <c r="A26" s="26" t="s">
        <v>0</v>
      </c>
      <c r="B26" s="698">
        <f>SUM(B27:B36)</f>
        <v>5704581554</v>
      </c>
      <c r="C26" s="699">
        <f t="shared" ref="C26:AS26" si="4">SUM(C27:C36)</f>
        <v>4127472848</v>
      </c>
      <c r="D26" s="699">
        <f t="shared" ref="D26" si="5">SUM(D27:D36)</f>
        <v>18405336</v>
      </c>
      <c r="E26" s="699">
        <f t="shared" si="4"/>
        <v>1401177382</v>
      </c>
      <c r="F26" s="699">
        <f t="shared" si="4"/>
        <v>82549448</v>
      </c>
      <c r="G26" s="699">
        <f t="shared" si="4"/>
        <v>74976540</v>
      </c>
      <c r="H26" s="700">
        <f t="shared" si="4"/>
        <v>8617.722200000002</v>
      </c>
      <c r="I26" s="700">
        <f t="shared" si="4"/>
        <v>6134.7846999999992</v>
      </c>
      <c r="J26" s="701">
        <f t="shared" si="4"/>
        <v>2482.9375</v>
      </c>
      <c r="K26" s="698">
        <f t="shared" si="4"/>
        <v>0</v>
      </c>
      <c r="L26" s="699">
        <f t="shared" si="4"/>
        <v>1485332</v>
      </c>
      <c r="M26" s="699">
        <f t="shared" si="4"/>
        <v>3014135</v>
      </c>
      <c r="N26" s="699">
        <f t="shared" si="4"/>
        <v>-235793</v>
      </c>
      <c r="O26" s="699">
        <f t="shared" si="4"/>
        <v>4263674</v>
      </c>
      <c r="P26" s="703">
        <f t="shared" si="4"/>
        <v>0</v>
      </c>
      <c r="Q26" s="699">
        <f t="shared" si="4"/>
        <v>0</v>
      </c>
      <c r="R26" s="699">
        <f t="shared" si="4"/>
        <v>0</v>
      </c>
      <c r="S26" s="699">
        <f t="shared" si="4"/>
        <v>0</v>
      </c>
      <c r="T26" s="699">
        <f t="shared" si="4"/>
        <v>4263674</v>
      </c>
      <c r="U26" s="699">
        <f t="shared" si="4"/>
        <v>1441123</v>
      </c>
      <c r="V26" s="699">
        <f t="shared" si="4"/>
        <v>85272</v>
      </c>
      <c r="W26" s="699">
        <f t="shared" si="4"/>
        <v>53800</v>
      </c>
      <c r="X26" s="699">
        <f t="shared" si="4"/>
        <v>543158</v>
      </c>
      <c r="Y26" s="699">
        <f t="shared" si="4"/>
        <v>596958</v>
      </c>
      <c r="Z26" s="699">
        <f t="shared" si="4"/>
        <v>6387027</v>
      </c>
      <c r="AA26" s="700">
        <f t="shared" si="4"/>
        <v>0</v>
      </c>
      <c r="AB26" s="700">
        <f t="shared" si="4"/>
        <v>0</v>
      </c>
      <c r="AC26" s="700">
        <f t="shared" si="4"/>
        <v>4.29</v>
      </c>
      <c r="AD26" s="700">
        <f t="shared" ref="AD26:AE26" si="6">SUM(AD27:AD36)</f>
        <v>5.5268000000000006</v>
      </c>
      <c r="AE26" s="700">
        <f t="shared" si="6"/>
        <v>0.27</v>
      </c>
      <c r="AF26" s="700">
        <f t="shared" si="4"/>
        <v>1.9699999999999998</v>
      </c>
      <c r="AG26" s="700">
        <f t="shared" si="4"/>
        <v>2.0000000000000004E-2</v>
      </c>
      <c r="AH26" s="700">
        <f t="shared" si="4"/>
        <v>11.786800000000001</v>
      </c>
      <c r="AI26" s="700">
        <f t="shared" si="4"/>
        <v>0.29000000000000004</v>
      </c>
      <c r="AJ26" s="701">
        <f t="shared" si="4"/>
        <v>12.0768</v>
      </c>
      <c r="AK26" s="698">
        <f t="shared" si="4"/>
        <v>5710968581</v>
      </c>
      <c r="AL26" s="699">
        <f t="shared" si="4"/>
        <v>4131736522</v>
      </c>
      <c r="AM26" s="699">
        <f t="shared" si="4"/>
        <v>18405336</v>
      </c>
      <c r="AN26" s="699">
        <f t="shared" si="4"/>
        <v>1402618505</v>
      </c>
      <c r="AO26" s="699">
        <f t="shared" si="4"/>
        <v>82634720</v>
      </c>
      <c r="AP26" s="699">
        <f t="shared" si="4"/>
        <v>75573498</v>
      </c>
      <c r="AQ26" s="700">
        <f t="shared" ref="AQ26" si="7">SUM(AQ27:AQ36)</f>
        <v>8629.7989999999991</v>
      </c>
      <c r="AR26" s="700">
        <f t="shared" si="4"/>
        <v>6146.5715000000009</v>
      </c>
      <c r="AS26" s="702">
        <f t="shared" si="4"/>
        <v>2483.2275</v>
      </c>
    </row>
    <row r="27" spans="1:45" x14ac:dyDescent="0.2">
      <c r="A27" s="1">
        <v>3111</v>
      </c>
      <c r="B27" s="704">
        <f>LB!I469+FR!I135+JN!I192+TA!I104+ŽB!I78+ČL!I303+NB!I127+SM!I169+JI!I147+TU!I203</f>
        <v>1194415373</v>
      </c>
      <c r="C27" s="705">
        <f>LB!J469+FR!J135+JN!J192+TA!J104+ŽB!J78+ČL!J303+NB!J127+SM!J169+JI!J147+TU!J203</f>
        <v>871757189</v>
      </c>
      <c r="D27" s="705">
        <f>LB!K469+FR!K135+JN!K192+TA!K104+ŽB!K78+ČL!K303+NB!K127+SM!K169+JI!K147+TU!K203</f>
        <v>2774663</v>
      </c>
      <c r="E27" s="705">
        <f>LB!L469+FR!L135+JN!L192+TA!L104+ŽB!L78+ČL!L303+NB!L127+SM!L169+JI!L147+TU!L203</f>
        <v>295591773</v>
      </c>
      <c r="F27" s="705">
        <f>LB!M469+FR!M135+JN!M192+TA!M104+ŽB!M78+ČL!M303+NB!M127+SM!M169+JI!M147+TU!M203</f>
        <v>17435148</v>
      </c>
      <c r="G27" s="705">
        <f>LB!N469+FR!N135+JN!N192+TA!N104+ŽB!N78+ČL!N303+NB!N127+SM!N169+JI!N147+TU!N203</f>
        <v>6856600</v>
      </c>
      <c r="H27" s="706">
        <f>LB!O469+FR!O135+JN!O192+TA!O104+ŽB!O78+ČL!O303+NB!O127+SM!O169+JI!O147+TU!O203</f>
        <v>1962.3976999999998</v>
      </c>
      <c r="I27" s="706">
        <f>LB!P469+FR!P135+JN!P192+TA!P104+ŽB!P78+ČL!P303+NB!P127+SM!P169+JI!P147+TU!P203</f>
        <v>1508.3830000000003</v>
      </c>
      <c r="J27" s="709">
        <f>LB!Q469+FR!Q135+JN!Q192+TA!Q104+ŽB!Q78+ČL!Q303+NB!Q127+SM!Q169+JI!Q147+TU!Q203</f>
        <v>454.01469999999995</v>
      </c>
      <c r="K27" s="704">
        <f>LB!R469+FR!R135+JN!R192+TA!R104+ŽB!R78+ČL!R303+NB!R127+SM!R169+JI!R147+TU!R203</f>
        <v>0</v>
      </c>
      <c r="L27" s="705">
        <f>LB!S469+FR!S135+JN!S192+TA!S104+ŽB!S78+ČL!S303+NB!S127+SM!S169+JI!S147+TU!S203</f>
        <v>438877</v>
      </c>
      <c r="M27" s="705">
        <f>LB!T469+FR!T135+JN!T192+TA!T104+ŽB!T78+ČL!T303+NB!T127+SM!T169+JI!T147+TU!T203</f>
        <v>533004</v>
      </c>
      <c r="N27" s="705">
        <f>LB!U469+FR!U135+JN!U192+TA!U104+ŽB!U78+ČL!U303+NB!U127+SM!U169+JI!U147+TU!U203</f>
        <v>-68747</v>
      </c>
      <c r="O27" s="705">
        <f>LB!V469+FR!V135+JN!V192+TA!V104+ŽB!V78+ČL!V303+NB!V127+SM!V169+JI!V147+TU!V203</f>
        <v>903134</v>
      </c>
      <c r="P27" s="708">
        <f>LB!W469+FR!W135+JN!W192+TA!W104+ŽB!W78+ČL!W303+NB!W127+SM!W169+JI!W147+TU!W203</f>
        <v>0</v>
      </c>
      <c r="Q27" s="705">
        <f>LB!X469+FR!X135+JN!X192+TA!X104+ŽB!X78+ČL!X303+NB!X127+SM!X169+JI!X147+TU!X203</f>
        <v>0</v>
      </c>
      <c r="R27" s="705">
        <f>LB!Y469+FR!Y135+JN!Y192+TA!Y104+ŽB!Y78+ČL!Y303+NB!Y127+SM!Y169+JI!Y147+TU!Y203</f>
        <v>0</v>
      </c>
      <c r="S27" s="705">
        <f>LB!Z469+FR!Z135+JN!Z192+TA!Z104+ŽB!Z78+ČL!Z303+NB!Z127+SM!Z169+JI!Z147+TU!Z203</f>
        <v>0</v>
      </c>
      <c r="T27" s="705">
        <f>LB!AA469+FR!AA135+JN!AA192+TA!AA104+ŽB!AA78+ČL!AA303+NB!AA127+SM!AA169+JI!AA147+TU!AA203</f>
        <v>903134</v>
      </c>
      <c r="U27" s="705">
        <f>LB!AB469+FR!AB135+JN!AB192+TA!AB104+ŽB!AB78+ČL!AB303+NB!AB127+SM!AB169+JI!AB147+TU!AB203</f>
        <v>305259</v>
      </c>
      <c r="V27" s="705">
        <f>LB!AC469+FR!AC135+JN!AC192+TA!AC104+ŽB!AC78+ČL!AC303+NB!AC127+SM!AC169+JI!AC147+TU!AC203</f>
        <v>18063</v>
      </c>
      <c r="W27" s="705">
        <f>LB!AD469+FR!AD135+JN!AD192+TA!AD104+ŽB!AD78+ČL!AD303+NB!AD127+SM!AD169+JI!AD147+TU!AD203</f>
        <v>7000</v>
      </c>
      <c r="X27" s="705">
        <f>LB!AE469+FR!AE135+JN!AE192+TA!AE104+ŽB!AE78+ČL!AE303+NB!AE127+SM!AE169+JI!AE147+TU!AE203</f>
        <v>50000</v>
      </c>
      <c r="Y27" s="705">
        <f>LB!AF469+FR!AF135+JN!AF192+TA!AF104+ŽB!AF78+ČL!AF303+NB!AF127+SM!AF169+JI!AF147+TU!AF203</f>
        <v>57000</v>
      </c>
      <c r="Z27" s="705">
        <f>LB!AG469+FR!AG135+JN!AG192+TA!AG104+ŽB!AG78+ČL!AG303+NB!AG127+SM!AG169+JI!AG147+TU!AG203</f>
        <v>1283456</v>
      </c>
      <c r="AA27" s="706">
        <f>LB!AH469+FR!AH135+JN!AH192+TA!AH104+ŽB!AH78+ČL!AH303+NB!AH127+SM!AH169+JI!AH147+TU!AH203</f>
        <v>0</v>
      </c>
      <c r="AB27" s="706">
        <f>LB!AI469+FR!AI135+JN!AI192+TA!AI104+ŽB!AI78+ČL!AI303+NB!AI127+SM!AI169+JI!AI147+TU!AI203</f>
        <v>0</v>
      </c>
      <c r="AC27" s="706">
        <f>LB!AJ469+FR!AJ135+JN!AJ192+TA!AJ104+ŽB!AJ78+ČL!AJ303+NB!AJ127+SM!AJ169+JI!AJ147+TU!AJ203</f>
        <v>1.42</v>
      </c>
      <c r="AD27" s="706">
        <f>LB!AK469+FR!AK135+JN!AK192+TA!AK104+ŽB!AK78+ČL!AK303+NB!AK127+SM!AK169+JI!AK147+TU!AK203</f>
        <v>1.0968</v>
      </c>
      <c r="AE27" s="706">
        <f>LB!AL469+FR!AL135+JN!AL192+TA!AL104+ŽB!AL78+ČL!AL303+NB!AL127+SM!AL169+JI!AL147+TU!AL203</f>
        <v>0.4</v>
      </c>
      <c r="AF27" s="706">
        <f>LB!AM469+FR!AM135+JN!AM192+TA!AM104+ŽB!AM78+ČL!AM303+NB!AM127+SM!AM169+JI!AM147+TU!AM203</f>
        <v>2</v>
      </c>
      <c r="AG27" s="706">
        <f>LB!AN469+FR!AN135+JN!AN192+TA!AN104+ŽB!AN78+ČL!AN303+NB!AN127+SM!AN169+JI!AN147+TU!AN203</f>
        <v>0</v>
      </c>
      <c r="AH27" s="706">
        <f>LB!AO469+FR!AO135+JN!AO192+TA!AO104+ŽB!AO78+ČL!AO303+NB!AO127+SM!AO169+JI!AO147+TU!AO203</f>
        <v>4.5168000000000008</v>
      </c>
      <c r="AI27" s="706">
        <f>LB!AP469+FR!AP135+JN!AP192+TA!AP104+ŽB!AP78+ČL!AP303+NB!AP127+SM!AP169+JI!AP147+TU!AP203</f>
        <v>0.4</v>
      </c>
      <c r="AJ27" s="709">
        <f>LB!AQ469+FR!AQ135+JN!AQ192+TA!AQ104+ŽB!AQ78+ČL!AQ303+NB!AQ127+SM!AQ169+JI!AQ147+TU!AQ203</f>
        <v>4.9168000000000003</v>
      </c>
      <c r="AK27" s="704">
        <f>LB!AR469+FR!AR135+JN!AR192+TA!AR104+ŽB!AR78+ČL!AR303+NB!AR127+SM!AR169+JI!AR147+TU!AR203</f>
        <v>1195698829</v>
      </c>
      <c r="AL27" s="705">
        <f>LB!AS469+FR!AS135+JN!AS192+TA!AS104+ŽB!AS78+ČL!AS303+NB!AS127+SM!AS169+JI!AS147+TU!AS203</f>
        <v>872660323</v>
      </c>
      <c r="AM27" s="705">
        <f>LB!AT469+FR!AT135+JN!AT192+TA!AT104+ŽB!AT78+ČL!AT303+NB!AT127+SM!AT169+JI!AT147+TU!AT203</f>
        <v>2774663</v>
      </c>
      <c r="AN27" s="705">
        <f>LB!AU469+FR!AU135+JN!AU192+TA!AU104+ŽB!AU78+ČL!AU303+NB!AU127+SM!AU169+JI!AU147+TU!AU203</f>
        <v>295897032</v>
      </c>
      <c r="AO27" s="705">
        <f>LB!AV469+FR!AV135+JN!AV192+TA!AV104+ŽB!AV78+ČL!AV303+NB!AV127+SM!AV169+JI!AV147+TU!AV203</f>
        <v>17453211</v>
      </c>
      <c r="AP27" s="705">
        <f>LB!AW469+FR!AW135+JN!AW192+TA!AW104+ŽB!AW78+ČL!AW303+NB!AW127+SM!AW169+JI!AW147+TU!AW203</f>
        <v>6913600</v>
      </c>
      <c r="AQ27" s="706">
        <f>LB!AX469+FR!AX135+JN!AX192+TA!AX104+ŽB!AX78+ČL!AX303+NB!AX127+SM!AX169+JI!AX147+TU!AX203</f>
        <v>1967.3144999999997</v>
      </c>
      <c r="AR27" s="706">
        <f>LB!AY469+FR!AY135+JN!AY192+TA!AY104+ŽB!AY78+ČL!AY303+NB!AY127+SM!AY169+JI!AY147+TU!AY203</f>
        <v>1512.8998000000004</v>
      </c>
      <c r="AS27" s="707">
        <f>LB!AZ469+FR!AZ135+JN!AZ192+TA!AZ104+ŽB!AZ78+ČL!AZ303+NB!AZ127+SM!AZ169+JI!AZ147+TU!AZ203</f>
        <v>454.41469999999993</v>
      </c>
    </row>
    <row r="28" spans="1:45" x14ac:dyDescent="0.2">
      <c r="A28" s="2">
        <v>3113</v>
      </c>
      <c r="B28" s="178">
        <f>LB!I470+FR!I136+JN!I193+TA!I105+ŽB!I79+ČL!I304+NB!I128+SM!I170+JI!I148+TU!I204</f>
        <v>2949737452</v>
      </c>
      <c r="C28" s="17">
        <f>LB!J470+FR!J136+JN!J193+TA!J105+ŽB!J79+ČL!J304+NB!J128+SM!J170+JI!J148+TU!J204</f>
        <v>2122065435</v>
      </c>
      <c r="D28" s="17">
        <f>LB!K470+FR!K136+JN!K193+TA!K105+ŽB!K79+ČL!K304+NB!K128+SM!K170+JI!K148+TU!K204</f>
        <v>7924378</v>
      </c>
      <c r="E28" s="17">
        <f>LB!L470+FR!L136+JN!L193+TA!L105+ŽB!L79+ČL!L304+NB!L128+SM!L170+JI!L148+TU!L204</f>
        <v>719889247</v>
      </c>
      <c r="F28" s="17">
        <f>LB!M470+FR!M136+JN!M193+TA!M105+ŽB!M79+ČL!M304+NB!M128+SM!M170+JI!M148+TU!M204</f>
        <v>42441302</v>
      </c>
      <c r="G28" s="17">
        <f>LB!N470+FR!N136+JN!N193+TA!N105+ŽB!N79+ČL!N304+NB!N128+SM!N170+JI!N148+TU!N204</f>
        <v>57417090</v>
      </c>
      <c r="H28" s="14">
        <f>LB!O470+FR!O136+JN!O193+TA!O105+ŽB!O79+ČL!O304+NB!O128+SM!O170+JI!O148+TU!O204</f>
        <v>4024.2293999999997</v>
      </c>
      <c r="I28" s="14">
        <f>LB!P470+FR!P136+JN!P193+TA!P105+ŽB!P79+ČL!P304+NB!P128+SM!P170+JI!P148+TU!P204</f>
        <v>3227.4434999999994</v>
      </c>
      <c r="J28" s="180">
        <f>LB!Q470+FR!Q136+JN!Q193+TA!Q105+ŽB!Q79+ČL!Q304+NB!Q128+SM!Q170+JI!Q148+TU!Q204</f>
        <v>796.78589999999997</v>
      </c>
      <c r="K28" s="178">
        <f>LB!R470+FR!R136+JN!R193+TA!R105+ŽB!R79+ČL!R304+NB!R128+SM!R170+JI!R148+TU!R204</f>
        <v>0</v>
      </c>
      <c r="L28" s="17">
        <f>LB!S470+FR!S136+JN!S193+TA!S105+ŽB!S79+ČL!S304+NB!S128+SM!S170+JI!S148+TU!S204</f>
        <v>512561</v>
      </c>
      <c r="M28" s="17">
        <f>LB!T470+FR!T136+JN!T193+TA!T105+ŽB!T79+ČL!T304+NB!T128+SM!T170+JI!T148+TU!T204</f>
        <v>998915</v>
      </c>
      <c r="N28" s="17">
        <f>LB!U470+FR!U136+JN!U193+TA!U105+ŽB!U79+ČL!U304+NB!U128+SM!U170+JI!U148+TU!U204</f>
        <v>-411086</v>
      </c>
      <c r="O28" s="17">
        <f>LB!V470+FR!V136+JN!V193+TA!V105+ŽB!V79+ČL!V304+NB!V128+SM!V170+JI!V148+TU!V204</f>
        <v>1100390</v>
      </c>
      <c r="P28" s="179">
        <f>LB!W470+FR!W136+JN!W193+TA!W105+ŽB!W79+ČL!W304+NB!W128+SM!W170+JI!W148+TU!W204</f>
        <v>0</v>
      </c>
      <c r="Q28" s="17">
        <f>LB!X470+FR!X136+JN!X193+TA!X105+ŽB!X79+ČL!X304+NB!X128+SM!X170+JI!X148+TU!X204</f>
        <v>0</v>
      </c>
      <c r="R28" s="17">
        <f>LB!Y470+FR!Y136+JN!Y193+TA!Y105+ŽB!Y79+ČL!Y304+NB!Y128+SM!Y170+JI!Y148+TU!Y204</f>
        <v>0</v>
      </c>
      <c r="S28" s="17">
        <f>LB!Z470+FR!Z136+JN!Z193+TA!Z105+ŽB!Z79+ČL!Z304+NB!Z128+SM!Z170+JI!Z148+TU!Z204</f>
        <v>0</v>
      </c>
      <c r="T28" s="17">
        <f>LB!AA470+FR!AA136+JN!AA193+TA!AA105+ŽB!AA79+ČL!AA304+NB!AA128+SM!AA170+JI!AA148+TU!AA204</f>
        <v>1100390</v>
      </c>
      <c r="U28" s="17">
        <f>LB!AB470+FR!AB136+JN!AB193+TA!AB105+ŽB!AB79+ČL!AB304+NB!AB128+SM!AB170+JI!AB148+TU!AB204</f>
        <v>371933</v>
      </c>
      <c r="V28" s="17">
        <f>LB!AC470+FR!AC136+JN!AC193+TA!AC105+ŽB!AC79+ČL!AC304+NB!AC128+SM!AC170+JI!AC148+TU!AC204</f>
        <v>22005</v>
      </c>
      <c r="W28" s="17">
        <f>LB!AD470+FR!AD136+JN!AD193+TA!AD105+ŽB!AD79+ČL!AD304+NB!AD128+SM!AD170+JI!AD148+TU!AD204</f>
        <v>45550</v>
      </c>
      <c r="X28" s="17">
        <f>LB!AE470+FR!AE136+JN!AE193+TA!AE105+ŽB!AE79+ČL!AE304+NB!AE128+SM!AE170+JI!AE148+TU!AE204</f>
        <v>0</v>
      </c>
      <c r="Y28" s="17">
        <f>LB!AF470+FR!AF136+JN!AF193+TA!AF105+ŽB!AF79+ČL!AF304+NB!AF128+SM!AF170+JI!AF148+TU!AF204</f>
        <v>45550</v>
      </c>
      <c r="Z28" s="17">
        <f>LB!AG470+FR!AG136+JN!AG193+TA!AG105+ŽB!AG79+ČL!AG304+NB!AG128+SM!AG170+JI!AG148+TU!AG204</f>
        <v>1539878</v>
      </c>
      <c r="AA28" s="14">
        <f>LB!AH470+FR!AH136+JN!AH193+TA!AH105+ŽB!AH79+ČL!AH304+NB!AH128+SM!AH170+JI!AH148+TU!AH204</f>
        <v>0</v>
      </c>
      <c r="AB28" s="14">
        <f>LB!AI470+FR!AI136+JN!AI193+TA!AI105+ŽB!AI79+ČL!AI304+NB!AI128+SM!AI170+JI!AI148+TU!AI204</f>
        <v>0</v>
      </c>
      <c r="AC28" s="14">
        <f>LB!AJ470+FR!AJ136+JN!AJ193+TA!AJ105+ŽB!AJ79+ČL!AJ304+NB!AJ128+SM!AJ170+JI!AJ148+TU!AJ204</f>
        <v>1.3000000000000003</v>
      </c>
      <c r="AD28" s="14">
        <f>LB!AK470+FR!AK136+JN!AK193+TA!AK105+ŽB!AK79+ČL!AK304+NB!AK128+SM!AK170+JI!AK148+TU!AK204</f>
        <v>1.9100000000000001</v>
      </c>
      <c r="AE28" s="14">
        <f>LB!AL470+FR!AL136+JN!AL193+TA!AL105+ŽB!AL79+ČL!AL304+NB!AL128+SM!AL170+JI!AL148+TU!AL204</f>
        <v>0</v>
      </c>
      <c r="AF28" s="14">
        <f>LB!AM470+FR!AM136+JN!AM193+TA!AM105+ŽB!AM79+ČL!AM304+NB!AM128+SM!AM170+JI!AM148+TU!AM204</f>
        <v>-0.52</v>
      </c>
      <c r="AG28" s="14">
        <f>LB!AN470+FR!AN136+JN!AN193+TA!AN105+ŽB!AN79+ČL!AN304+NB!AN128+SM!AN170+JI!AN148+TU!AN204</f>
        <v>-0.25</v>
      </c>
      <c r="AH28" s="14">
        <f>LB!AO470+FR!AO136+JN!AO193+TA!AO105+ŽB!AO79+ČL!AO304+NB!AO128+SM!AO170+JI!AO148+TU!AO204</f>
        <v>2.6900000000000008</v>
      </c>
      <c r="AI28" s="14">
        <f>LB!AP470+FR!AP136+JN!AP193+TA!AP105+ŽB!AP79+ČL!AP304+NB!AP128+SM!AP170+JI!AP148+TU!AP204</f>
        <v>-0.25</v>
      </c>
      <c r="AJ28" s="180">
        <f>LB!AQ470+FR!AQ136+JN!AQ193+TA!AQ105+ŽB!AQ79+ČL!AQ304+NB!AQ128+SM!AQ170+JI!AQ148+TU!AQ204</f>
        <v>2.4400000000000004</v>
      </c>
      <c r="AK28" s="178">
        <f>LB!AR470+FR!AR136+JN!AR193+TA!AR105+ŽB!AR79+ČL!AR304+NB!AR128+SM!AR170+JI!AR148+TU!AR204</f>
        <v>2951277330</v>
      </c>
      <c r="AL28" s="17">
        <f>LB!AS470+FR!AS136+JN!AS193+TA!AS105+ŽB!AS79+ČL!AS304+NB!AS128+SM!AS170+JI!AS148+TU!AS204</f>
        <v>2123165825</v>
      </c>
      <c r="AM28" s="17">
        <f>LB!AT470+FR!AT136+JN!AT193+TA!AT105+ŽB!AT79+ČL!AT304+NB!AT128+SM!AT170+JI!AT148+TU!AT204</f>
        <v>7924378</v>
      </c>
      <c r="AN28" s="17">
        <f>LB!AU470+FR!AU136+JN!AU193+TA!AU105+ŽB!AU79+ČL!AU304+NB!AU128+SM!AU170+JI!AU148+TU!AU204</f>
        <v>720261180</v>
      </c>
      <c r="AO28" s="17">
        <f>LB!AV470+FR!AV136+JN!AV193+TA!AV105+ŽB!AV79+ČL!AV304+NB!AV128+SM!AV170+JI!AV148+TU!AV204</f>
        <v>42463307</v>
      </c>
      <c r="AP28" s="17">
        <f>LB!AW470+FR!AW136+JN!AW193+TA!AW105+ŽB!AW79+ČL!AW304+NB!AW128+SM!AW170+JI!AW148+TU!AW204</f>
        <v>57462640</v>
      </c>
      <c r="AQ28" s="14">
        <f>LB!AX470+FR!AX136+JN!AX193+TA!AX105+ŽB!AX79+ČL!AX304+NB!AX128+SM!AX170+JI!AX148+TU!AX204</f>
        <v>4026.6693999999998</v>
      </c>
      <c r="AR28" s="14">
        <f>LB!AY470+FR!AY136+JN!AY193+TA!AY105+ŽB!AY79+ČL!AY304+NB!AY128+SM!AY170+JI!AY148+TU!AY204</f>
        <v>3230.1334999999995</v>
      </c>
      <c r="AS28" s="18">
        <f>LB!AZ470+FR!AZ136+JN!AZ193+TA!AZ105+ŽB!AZ79+ČL!AZ304+NB!AZ128+SM!AZ170+JI!AZ148+TU!AZ204</f>
        <v>796.53589999999997</v>
      </c>
    </row>
    <row r="29" spans="1:45" x14ac:dyDescent="0.2">
      <c r="A29" s="2">
        <v>3114</v>
      </c>
      <c r="B29" s="178">
        <f>LB!I471+FR!I137+JN!I194+TA!I106+ŽB!I80+ČL!I305+NB!I129+SM!I171+JI!I149+TU!I205</f>
        <v>175041703</v>
      </c>
      <c r="C29" s="17">
        <f>LB!J471+FR!J137+JN!J194+TA!J106+ŽB!J80+ČL!J305+NB!J129+SM!J171+JI!J149+TU!J205</f>
        <v>127404780</v>
      </c>
      <c r="D29" s="17">
        <f>LB!K471+FR!K137+JN!K194+TA!K106+ŽB!K80+ČL!K305+NB!K129+SM!K171+JI!K149+TU!K205</f>
        <v>377430</v>
      </c>
      <c r="E29" s="17">
        <f>LB!L471+FR!L137+JN!L194+TA!L106+ŽB!L80+ČL!L305+NB!L129+SM!L171+JI!L149+TU!L205</f>
        <v>43190388</v>
      </c>
      <c r="F29" s="17">
        <f>LB!M471+FR!M137+JN!M194+TA!M106+ŽB!M80+ČL!M305+NB!M129+SM!M171+JI!M149+TU!M205</f>
        <v>2548095</v>
      </c>
      <c r="G29" s="17">
        <f>LB!N471+FR!N137+JN!N194+TA!N106+ŽB!N80+ČL!N305+NB!N129+SM!N171+JI!N149+TU!N205</f>
        <v>1521010</v>
      </c>
      <c r="H29" s="14">
        <f>LB!O471+FR!O137+JN!O194+TA!O106+ŽB!O80+ČL!O305+NB!O129+SM!O171+JI!O149+TU!O205</f>
        <v>247.78620000000001</v>
      </c>
      <c r="I29" s="14">
        <f>LB!P471+FR!P137+JN!P194+TA!P106+ŽB!P80+ČL!P305+NB!P129+SM!P171+JI!P149+TU!P205</f>
        <v>201.14230000000003</v>
      </c>
      <c r="J29" s="180">
        <f>LB!Q471+FR!Q137+JN!Q194+TA!Q106+ŽB!Q80+ČL!Q305+NB!Q129+SM!Q171+JI!Q149+TU!Q205</f>
        <v>46.643899999999988</v>
      </c>
      <c r="K29" s="178">
        <f>LB!R471+FR!R137+JN!R194+TA!R106+ŽB!R80+ČL!R305+NB!R129+SM!R171+JI!R149+TU!R205</f>
        <v>0</v>
      </c>
      <c r="L29" s="17">
        <f>LB!S471+FR!S137+JN!S194+TA!S106+ŽB!S80+ČL!S305+NB!S129+SM!S171+JI!S149+TU!S205</f>
        <v>0</v>
      </c>
      <c r="M29" s="17">
        <f>LB!T471+FR!T137+JN!T194+TA!T106+ŽB!T80+ČL!T305+NB!T129+SM!T171+JI!T149+TU!T205</f>
        <v>0</v>
      </c>
      <c r="N29" s="17">
        <f>LB!U471+FR!U137+JN!U194+TA!U106+ŽB!U80+ČL!U305+NB!U129+SM!U171+JI!U149+TU!U205</f>
        <v>0</v>
      </c>
      <c r="O29" s="17">
        <f>LB!V471+FR!V137+JN!V194+TA!V106+ŽB!V80+ČL!V305+NB!V129+SM!V171+JI!V149+TU!V205</f>
        <v>0</v>
      </c>
      <c r="P29" s="179">
        <f>LB!W471+FR!W137+JN!W194+TA!W106+ŽB!W80+ČL!W305+NB!W129+SM!W171+JI!W149+TU!W205</f>
        <v>0</v>
      </c>
      <c r="Q29" s="17">
        <f>LB!X471+FR!X137+JN!X194+TA!X106+ŽB!X80+ČL!X305+NB!X129+SM!X171+JI!X149+TU!X205</f>
        <v>0</v>
      </c>
      <c r="R29" s="17">
        <f>LB!Y471+FR!Y137+JN!Y194+TA!Y106+ŽB!Y80+ČL!Y305+NB!Y129+SM!Y171+JI!Y149+TU!Y205</f>
        <v>0</v>
      </c>
      <c r="S29" s="17">
        <f>LB!Z471+FR!Z137+JN!Z194+TA!Z106+ŽB!Z80+ČL!Z305+NB!Z129+SM!Z171+JI!Z149+TU!Z205</f>
        <v>0</v>
      </c>
      <c r="T29" s="17">
        <f>LB!AA471+FR!AA137+JN!AA194+TA!AA106+ŽB!AA80+ČL!AA305+NB!AA129+SM!AA171+JI!AA149+TU!AA205</f>
        <v>0</v>
      </c>
      <c r="U29" s="17">
        <f>LB!AB471+FR!AB137+JN!AB194+TA!AB106+ŽB!AB80+ČL!AB305+NB!AB129+SM!AB171+JI!AB149+TU!AB205</f>
        <v>0</v>
      </c>
      <c r="V29" s="17">
        <f>LB!AC471+FR!AC137+JN!AC194+TA!AC106+ŽB!AC80+ČL!AC305+NB!AC129+SM!AC171+JI!AC149+TU!AC205</f>
        <v>0</v>
      </c>
      <c r="W29" s="17">
        <f>LB!AD471+FR!AD137+JN!AD194+TA!AD106+ŽB!AD80+ČL!AD305+NB!AD129+SM!AD171+JI!AD149+TU!AD205</f>
        <v>0</v>
      </c>
      <c r="X29" s="17">
        <f>LB!AE471+FR!AE137+JN!AE194+TA!AE106+ŽB!AE80+ČL!AE305+NB!AE129+SM!AE171+JI!AE149+TU!AE205</f>
        <v>0</v>
      </c>
      <c r="Y29" s="17">
        <f>LB!AF471+FR!AF137+JN!AF194+TA!AF106+ŽB!AF80+ČL!AF305+NB!AF129+SM!AF171+JI!AF149+TU!AF205</f>
        <v>0</v>
      </c>
      <c r="Z29" s="17">
        <f>LB!AG471+FR!AG137+JN!AG194+TA!AG106+ŽB!AG80+ČL!AG305+NB!AG129+SM!AG171+JI!AG149+TU!AG205</f>
        <v>0</v>
      </c>
      <c r="AA29" s="14">
        <f>LB!AH471+FR!AH137+JN!AH194+TA!AH106+ŽB!AH80+ČL!AH305+NB!AH129+SM!AH171+JI!AH149+TU!AH205</f>
        <v>0</v>
      </c>
      <c r="AB29" s="14">
        <f>LB!AI471+FR!AI137+JN!AI194+TA!AI106+ŽB!AI80+ČL!AI305+NB!AI129+SM!AI171+JI!AI149+TU!AI205</f>
        <v>0</v>
      </c>
      <c r="AC29" s="14">
        <f>LB!AJ471+FR!AJ137+JN!AJ194+TA!AJ106+ŽB!AJ80+ČL!AJ305+NB!AJ129+SM!AJ171+JI!AJ149+TU!AJ205</f>
        <v>0</v>
      </c>
      <c r="AD29" s="14">
        <f>LB!AK471+FR!AK137+JN!AK194+TA!AK106+ŽB!AK80+ČL!AK305+NB!AK129+SM!AK171+JI!AK149+TU!AK205</f>
        <v>0</v>
      </c>
      <c r="AE29" s="14">
        <f>LB!AL471+FR!AL137+JN!AL194+TA!AL106+ŽB!AL80+ČL!AL305+NB!AL129+SM!AL171+JI!AL149+TU!AL205</f>
        <v>0</v>
      </c>
      <c r="AF29" s="14">
        <f>LB!AM471+FR!AM137+JN!AM194+TA!AM106+ŽB!AM80+ČL!AM305+NB!AM129+SM!AM171+JI!AM149+TU!AM205</f>
        <v>0</v>
      </c>
      <c r="AG29" s="14">
        <f>LB!AN471+FR!AN137+JN!AN194+TA!AN106+ŽB!AN80+ČL!AN305+NB!AN129+SM!AN171+JI!AN149+TU!AN205</f>
        <v>0</v>
      </c>
      <c r="AH29" s="14">
        <f>LB!AO471+FR!AO137+JN!AO194+TA!AO106+ŽB!AO80+ČL!AO305+NB!AO129+SM!AO171+JI!AO149+TU!AO205</f>
        <v>0</v>
      </c>
      <c r="AI29" s="14">
        <f>LB!AP471+FR!AP137+JN!AP194+TA!AP106+ŽB!AP80+ČL!AP305+NB!AP129+SM!AP171+JI!AP149+TU!AP205</f>
        <v>0</v>
      </c>
      <c r="AJ29" s="180">
        <f>LB!AQ471+FR!AQ137+JN!AQ194+TA!AQ106+ŽB!AQ80+ČL!AQ305+NB!AQ129+SM!AQ171+JI!AQ149+TU!AQ205</f>
        <v>0</v>
      </c>
      <c r="AK29" s="178">
        <f>LB!AR471+FR!AR137+JN!AR194+TA!AR106+ŽB!AR80+ČL!AR305+NB!AR129+SM!AR171+JI!AR149+TU!AR205</f>
        <v>175041703</v>
      </c>
      <c r="AL29" s="17">
        <f>LB!AS471+FR!AS137+JN!AS194+TA!AS106+ŽB!AS80+ČL!AS305+NB!AS129+SM!AS171+JI!AS149+TU!AS205</f>
        <v>127404780</v>
      </c>
      <c r="AM29" s="17">
        <f>LB!AT471+FR!AT137+JN!AT194+TA!AT106+ŽB!AT80+ČL!AT305+NB!AT129+SM!AT171+JI!AT149+TU!AT205</f>
        <v>377430</v>
      </c>
      <c r="AN29" s="17">
        <f>LB!AU471+FR!AU137+JN!AU194+TA!AU106+ŽB!AU80+ČL!AU305+NB!AU129+SM!AU171+JI!AU149+TU!AU205</f>
        <v>43190388</v>
      </c>
      <c r="AO29" s="17">
        <f>LB!AV471+FR!AV137+JN!AV194+TA!AV106+ŽB!AV80+ČL!AV305+NB!AV129+SM!AV171+JI!AV149+TU!AV205</f>
        <v>2548095</v>
      </c>
      <c r="AP29" s="17">
        <f>LB!AW471+FR!AW137+JN!AW194+TA!AW106+ŽB!AW80+ČL!AW305+NB!AW129+SM!AW171+JI!AW149+TU!AW205</f>
        <v>1521010</v>
      </c>
      <c r="AQ29" s="14">
        <f>LB!AX471+FR!AX137+JN!AX194+TA!AX106+ŽB!AX80+ČL!AX305+NB!AX129+SM!AX171+JI!AX149+TU!AX205</f>
        <v>247.78620000000001</v>
      </c>
      <c r="AR29" s="14">
        <f>LB!AY471+FR!AY137+JN!AY194+TA!AY106+ŽB!AY80+ČL!AY305+NB!AY129+SM!AY171+JI!AY149+TU!AY205</f>
        <v>201.14230000000003</v>
      </c>
      <c r="AS29" s="18">
        <f>LB!AZ471+FR!AZ137+JN!AZ194+TA!AZ106+ŽB!AZ80+ČL!AZ305+NB!AZ129+SM!AZ171+JI!AZ149+TU!AZ205</f>
        <v>46.643899999999988</v>
      </c>
    </row>
    <row r="30" spans="1:45" x14ac:dyDescent="0.2">
      <c r="A30" s="2">
        <v>3117</v>
      </c>
      <c r="B30" s="178">
        <f>LB!I472+FR!I138+JN!I195+TA!I107+ŽB!I81+ČL!I306+NB!I130+SM!I172+JI!I150+TU!I206</f>
        <v>305266262</v>
      </c>
      <c r="C30" s="17">
        <f>LB!J472+FR!J138+JN!J195+TA!J107+ŽB!J81+ČL!J306+NB!J130+SM!J172+JI!J150+TU!J206</f>
        <v>219883207</v>
      </c>
      <c r="D30" s="17">
        <f>LB!K472+FR!K138+JN!K195+TA!K107+ŽB!K81+ČL!K306+NB!K130+SM!K172+JI!K150+TU!K206</f>
        <v>1361068</v>
      </c>
      <c r="E30" s="17">
        <f>LB!L472+FR!L138+JN!L195+TA!L107+ŽB!L81+ČL!L306+NB!L130+SM!L172+JI!L150+TU!L206</f>
        <v>74780563</v>
      </c>
      <c r="F30" s="17">
        <f>LB!M472+FR!M138+JN!M195+TA!M107+ŽB!M81+ČL!M306+NB!M130+SM!M172+JI!M150+TU!M206</f>
        <v>4397664</v>
      </c>
      <c r="G30" s="17">
        <f>LB!N472+FR!N138+JN!N195+TA!N107+ŽB!N81+ČL!N306+NB!N130+SM!N172+JI!N150+TU!N206</f>
        <v>4843760</v>
      </c>
      <c r="H30" s="14">
        <f>LB!O472+FR!O138+JN!O195+TA!O107+ŽB!O81+ČL!O306+NB!O130+SM!O172+JI!O150+TU!O206</f>
        <v>457.62009999999998</v>
      </c>
      <c r="I30" s="14">
        <f>LB!P472+FR!P138+JN!P195+TA!P107+ŽB!P81+ČL!P306+NB!P130+SM!P172+JI!P150+TU!P206</f>
        <v>339.00930000000005</v>
      </c>
      <c r="J30" s="180">
        <f>LB!Q472+FR!Q138+JN!Q195+TA!Q107+ŽB!Q81+ČL!Q306+NB!Q130+SM!Q172+JI!Q150+TU!Q206</f>
        <v>118.6108</v>
      </c>
      <c r="K30" s="178">
        <f>LB!R472+FR!R138+JN!R195+TA!R107+ŽB!R81+ČL!R306+NB!R130+SM!R172+JI!R150+TU!R206</f>
        <v>0</v>
      </c>
      <c r="L30" s="17">
        <f>LB!S472+FR!S138+JN!S195+TA!S107+ŽB!S81+ČL!S306+NB!S130+SM!S172+JI!S150+TU!S206</f>
        <v>533894</v>
      </c>
      <c r="M30" s="17">
        <f>LB!T472+FR!T138+JN!T195+TA!T107+ŽB!T81+ČL!T306+NB!T130+SM!T172+JI!T150+TU!T206</f>
        <v>499790</v>
      </c>
      <c r="N30" s="17">
        <f>LB!U472+FR!U138+JN!U195+TA!U107+ŽB!U81+ČL!U306+NB!U130+SM!U172+JI!U150+TU!U206</f>
        <v>-400575</v>
      </c>
      <c r="O30" s="17">
        <f>LB!V472+FR!V138+JN!V195+TA!V107+ŽB!V81+ČL!V306+NB!V130+SM!V172+JI!V150+TU!V206</f>
        <v>633109</v>
      </c>
      <c r="P30" s="179">
        <f>LB!W472+FR!W138+JN!W195+TA!W107+ŽB!W81+ČL!W306+NB!W130+SM!W172+JI!W150+TU!W206</f>
        <v>0</v>
      </c>
      <c r="Q30" s="17">
        <f>LB!X472+FR!X138+JN!X195+TA!X107+ŽB!X81+ČL!X306+NB!X130+SM!X172+JI!X150+TU!X206</f>
        <v>0</v>
      </c>
      <c r="R30" s="17">
        <f>LB!Y472+FR!Y138+JN!Y195+TA!Y107+ŽB!Y81+ČL!Y306+NB!Y130+SM!Y172+JI!Y150+TU!Y206</f>
        <v>0</v>
      </c>
      <c r="S30" s="17">
        <f>LB!Z472+FR!Z138+JN!Z195+TA!Z107+ŽB!Z81+ČL!Z306+NB!Z130+SM!Z172+JI!Z150+TU!Z206</f>
        <v>0</v>
      </c>
      <c r="T30" s="17">
        <f>LB!AA472+FR!AA138+JN!AA195+TA!AA107+ŽB!AA81+ČL!AA306+NB!AA130+SM!AA172+JI!AA150+TU!AA206</f>
        <v>633109</v>
      </c>
      <c r="U30" s="17">
        <f>LB!AB472+FR!AB138+JN!AB195+TA!AB107+ŽB!AB81+ČL!AB306+NB!AB130+SM!AB172+JI!AB150+TU!AB206</f>
        <v>213991</v>
      </c>
      <c r="V30" s="17">
        <f>LB!AC472+FR!AC138+JN!AC195+TA!AC107+ŽB!AC81+ČL!AC306+NB!AC130+SM!AC172+JI!AC150+TU!AC206</f>
        <v>12662</v>
      </c>
      <c r="W30" s="17">
        <f>LB!AD472+FR!AD138+JN!AD195+TA!AD107+ŽB!AD81+ČL!AD306+NB!AD130+SM!AD172+JI!AD150+TU!AD206</f>
        <v>1250</v>
      </c>
      <c r="X30" s="17">
        <f>LB!AE472+FR!AE138+JN!AE195+TA!AE107+ŽB!AE81+ČL!AE306+NB!AE130+SM!AE172+JI!AE150+TU!AE206</f>
        <v>0</v>
      </c>
      <c r="Y30" s="17">
        <f>LB!AF472+FR!AF138+JN!AF195+TA!AF107+ŽB!AF81+ČL!AF306+NB!AF130+SM!AF172+JI!AF150+TU!AF206</f>
        <v>1250</v>
      </c>
      <c r="Z30" s="17">
        <f>LB!AG472+FR!AG138+JN!AG195+TA!AG107+ŽB!AG81+ČL!AG306+NB!AG130+SM!AG172+JI!AG150+TU!AG206</f>
        <v>861012</v>
      </c>
      <c r="AA30" s="14">
        <f>LB!AH472+FR!AH138+JN!AH195+TA!AH107+ŽB!AH81+ČL!AH306+NB!AH130+SM!AH172+JI!AH150+TU!AH206</f>
        <v>0</v>
      </c>
      <c r="AB30" s="14">
        <f>LB!AI472+FR!AI138+JN!AI195+TA!AI107+ŽB!AI81+ČL!AI306+NB!AI130+SM!AI172+JI!AI150+TU!AI206</f>
        <v>0</v>
      </c>
      <c r="AC30" s="14">
        <f>LB!AJ472+FR!AJ138+JN!AJ195+TA!AJ107+ŽB!AJ81+ČL!AJ306+NB!AJ130+SM!AJ172+JI!AJ150+TU!AJ206</f>
        <v>1.5699999999999998</v>
      </c>
      <c r="AD30" s="14">
        <f>LB!AK472+FR!AK138+JN!AK195+TA!AK107+ŽB!AK81+ČL!AK306+NB!AK130+SM!AK172+JI!AK150+TU!AK206</f>
        <v>1.3199999999999998</v>
      </c>
      <c r="AE30" s="14">
        <f>LB!AL472+FR!AL138+JN!AL195+TA!AL107+ŽB!AL81+ČL!AL306+NB!AL130+SM!AL172+JI!AL150+TU!AL206</f>
        <v>-0.26</v>
      </c>
      <c r="AF30" s="14">
        <f>LB!AM472+FR!AM138+JN!AM195+TA!AM107+ŽB!AM81+ČL!AM306+NB!AM130+SM!AM172+JI!AM150+TU!AM206</f>
        <v>-0.88</v>
      </c>
      <c r="AG30" s="14">
        <f>LB!AN472+FR!AN138+JN!AN195+TA!AN107+ŽB!AN81+ČL!AN306+NB!AN130+SM!AN172+JI!AN150+TU!AN206</f>
        <v>0</v>
      </c>
      <c r="AH30" s="14">
        <f>LB!AO472+FR!AO138+JN!AO195+TA!AO107+ŽB!AO81+ČL!AO306+NB!AO130+SM!AO172+JI!AO150+TU!AO206</f>
        <v>2.0099999999999998</v>
      </c>
      <c r="AI30" s="14">
        <f>LB!AP472+FR!AP138+JN!AP195+TA!AP107+ŽB!AP81+ČL!AP306+NB!AP130+SM!AP172+JI!AP150+TU!AP206</f>
        <v>-0.26</v>
      </c>
      <c r="AJ30" s="180">
        <f>LB!AQ472+FR!AQ138+JN!AQ195+TA!AQ107+ŽB!AQ81+ČL!AQ306+NB!AQ130+SM!AQ172+JI!AQ150+TU!AQ206</f>
        <v>1.75</v>
      </c>
      <c r="AK30" s="178">
        <f>LB!AR472+FR!AR138+JN!AR195+TA!AR107+ŽB!AR81+ČL!AR306+NB!AR130+SM!AR172+JI!AR150+TU!AR206</f>
        <v>306127274</v>
      </c>
      <c r="AL30" s="17">
        <f>LB!AS472+FR!AS138+JN!AS195+TA!AS107+ŽB!AS81+ČL!AS306+NB!AS130+SM!AS172+JI!AS150+TU!AS206</f>
        <v>220516316</v>
      </c>
      <c r="AM30" s="17">
        <f>LB!AT472+FR!AT138+JN!AT195+TA!AT107+ŽB!AT81+ČL!AT306+NB!AT130+SM!AT172+JI!AT150+TU!AT206</f>
        <v>1361068</v>
      </c>
      <c r="AN30" s="17">
        <f>LB!AU472+FR!AU138+JN!AU195+TA!AU107+ŽB!AU81+ČL!AU306+NB!AU130+SM!AU172+JI!AU150+TU!AU206</f>
        <v>74994554</v>
      </c>
      <c r="AO30" s="17">
        <f>LB!AV472+FR!AV138+JN!AV195+TA!AV107+ŽB!AV81+ČL!AV306+NB!AV130+SM!AV172+JI!AV150+TU!AV206</f>
        <v>4410326</v>
      </c>
      <c r="AP30" s="17">
        <f>LB!AW472+FR!AW138+JN!AW195+TA!AW107+ŽB!AW81+ČL!AW306+NB!AW130+SM!AW172+JI!AW150+TU!AW206</f>
        <v>4845010</v>
      </c>
      <c r="AQ30" s="14">
        <f>LB!AX472+FR!AX138+JN!AX195+TA!AX107+ŽB!AX81+ČL!AX306+NB!AX130+SM!AX172+JI!AX150+TU!AX206</f>
        <v>459.37009999999998</v>
      </c>
      <c r="AR30" s="14">
        <f>LB!AY472+FR!AY138+JN!AY195+TA!AY107+ŽB!AY81+ČL!AY306+NB!AY130+SM!AY172+JI!AY150+TU!AY206</f>
        <v>341.01930000000004</v>
      </c>
      <c r="AS30" s="18">
        <f>LB!AZ472+FR!AZ138+JN!AZ195+TA!AZ107+ŽB!AZ81+ČL!AZ306+NB!AZ130+SM!AZ172+JI!AZ150+TU!AZ206</f>
        <v>118.35080000000001</v>
      </c>
    </row>
    <row r="31" spans="1:45" x14ac:dyDescent="0.2">
      <c r="A31" s="2">
        <v>3122</v>
      </c>
      <c r="B31" s="178">
        <f>LB!I473+FR!I139+JN!I196+TA!I108+ŽB!I82+ČL!I307+NB!I131+SM!I173+JI!I151+TU!I207</f>
        <v>8799755</v>
      </c>
      <c r="C31" s="17">
        <f>LB!J473+FR!J139+JN!J196+TA!J108+ŽB!J82+ČL!J307+NB!J131+SM!J173+JI!J151+TU!J207</f>
        <v>6073108</v>
      </c>
      <c r="D31" s="17">
        <f>LB!K473+FR!K139+JN!K196+TA!K108+ŽB!K82+ČL!K307+NB!K131+SM!K173+JI!K151+TU!K207</f>
        <v>341760</v>
      </c>
      <c r="E31" s="17">
        <f>LB!L473+FR!L139+JN!L196+TA!L108+ŽB!L82+ČL!L307+NB!L131+SM!L173+JI!L151+TU!L207</f>
        <v>2168225</v>
      </c>
      <c r="F31" s="17">
        <f>LB!M473+FR!M139+JN!M196+TA!M108+ŽB!M82+ČL!M307+NB!M131+SM!M173+JI!M151+TU!M207</f>
        <v>121462</v>
      </c>
      <c r="G31" s="17">
        <f>LB!N473+FR!N139+JN!N196+TA!N108+ŽB!N82+ČL!N307+NB!N131+SM!N173+JI!N151+TU!N207</f>
        <v>95200</v>
      </c>
      <c r="H31" s="14">
        <f>LB!O473+FR!O139+JN!O196+TA!O108+ŽB!O82+ČL!O307+NB!O131+SM!O173+JI!O151+TU!O207</f>
        <v>9.8184000000000005</v>
      </c>
      <c r="I31" s="14">
        <f>LB!P473+FR!P139+JN!P196+TA!P108+ŽB!P82+ČL!P307+NB!P131+SM!P173+JI!P151+TU!P207</f>
        <v>8.4955999999999996</v>
      </c>
      <c r="J31" s="180">
        <f>LB!Q473+FR!Q139+JN!Q196+TA!Q108+ŽB!Q82+ČL!Q307+NB!Q131+SM!Q173+JI!Q151+TU!Q207</f>
        <v>1.3228</v>
      </c>
      <c r="K31" s="178">
        <f>LB!R473+FR!R139+JN!R196+TA!R108+ŽB!R82+ČL!R307+NB!R131+SM!R173+JI!R151+TU!R207</f>
        <v>0</v>
      </c>
      <c r="L31" s="17">
        <f>LB!S473+FR!S139+JN!S196+TA!S108+ŽB!S82+ČL!S307+NB!S131+SM!S173+JI!S151+TU!S207</f>
        <v>0</v>
      </c>
      <c r="M31" s="17">
        <f>LB!T473+FR!T139+JN!T196+TA!T108+ŽB!T82+ČL!T307+NB!T131+SM!T173+JI!T151+TU!T207</f>
        <v>0</v>
      </c>
      <c r="N31" s="17">
        <f>LB!U473+FR!U139+JN!U196+TA!U108+ŽB!U82+ČL!U307+NB!U131+SM!U173+JI!U151+TU!U207</f>
        <v>0</v>
      </c>
      <c r="O31" s="17">
        <f>LB!V473+FR!V139+JN!V196+TA!V108+ŽB!V82+ČL!V307+NB!V131+SM!V173+JI!V151+TU!V207</f>
        <v>0</v>
      </c>
      <c r="P31" s="179">
        <f>LB!W473+FR!W139+JN!W196+TA!W108+ŽB!W82+ČL!W307+NB!W131+SM!W173+JI!W151+TU!W207</f>
        <v>0</v>
      </c>
      <c r="Q31" s="17">
        <f>LB!X473+FR!X139+JN!X196+TA!X108+ŽB!X82+ČL!X307+NB!X131+SM!X173+JI!X151+TU!X207</f>
        <v>0</v>
      </c>
      <c r="R31" s="17">
        <f>LB!Y473+FR!Y139+JN!Y196+TA!Y108+ŽB!Y82+ČL!Y307+NB!Y131+SM!Y173+JI!Y151+TU!Y207</f>
        <v>0</v>
      </c>
      <c r="S31" s="17">
        <f>LB!Z473+FR!Z139+JN!Z196+TA!Z108+ŽB!Z82+ČL!Z307+NB!Z131+SM!Z173+JI!Z151+TU!Z207</f>
        <v>0</v>
      </c>
      <c r="T31" s="17">
        <f>LB!AA473+FR!AA139+JN!AA196+TA!AA108+ŽB!AA82+ČL!AA307+NB!AA131+SM!AA173+JI!AA151+TU!AA207</f>
        <v>0</v>
      </c>
      <c r="U31" s="17">
        <f>LB!AB473+FR!AB139+JN!AB196+TA!AB108+ŽB!AB82+ČL!AB307+NB!AB131+SM!AB173+JI!AB151+TU!AB207</f>
        <v>0</v>
      </c>
      <c r="V31" s="17">
        <f>LB!AC473+FR!AC139+JN!AC196+TA!AC108+ŽB!AC82+ČL!AC307+NB!AC131+SM!AC173+JI!AC151+TU!AC207</f>
        <v>0</v>
      </c>
      <c r="W31" s="17">
        <f>LB!AD473+FR!AD139+JN!AD196+TA!AD108+ŽB!AD82+ČL!AD307+NB!AD131+SM!AD173+JI!AD151+TU!AD207</f>
        <v>0</v>
      </c>
      <c r="X31" s="17">
        <f>LB!AE473+FR!AE139+JN!AE196+TA!AE108+ŽB!AE82+ČL!AE307+NB!AE131+SM!AE173+JI!AE151+TU!AE207</f>
        <v>0</v>
      </c>
      <c r="Y31" s="17">
        <f>LB!AF473+FR!AF139+JN!AF196+TA!AF108+ŽB!AF82+ČL!AF307+NB!AF131+SM!AF173+JI!AF151+TU!AF207</f>
        <v>0</v>
      </c>
      <c r="Z31" s="17">
        <f>LB!AG473+FR!AG139+JN!AG196+TA!AG108+ŽB!AG82+ČL!AG307+NB!AG131+SM!AG173+JI!AG151+TU!AG207</f>
        <v>0</v>
      </c>
      <c r="AA31" s="14">
        <f>LB!AH473+FR!AH139+JN!AH196+TA!AH108+ŽB!AH82+ČL!AH307+NB!AH131+SM!AH173+JI!AH151+TU!AH207</f>
        <v>0</v>
      </c>
      <c r="AB31" s="14">
        <f>LB!AI473+FR!AI139+JN!AI196+TA!AI108+ŽB!AI82+ČL!AI307+NB!AI131+SM!AI173+JI!AI151+TU!AI207</f>
        <v>0</v>
      </c>
      <c r="AC31" s="14">
        <f>LB!AJ473+FR!AJ139+JN!AJ196+TA!AJ108+ŽB!AJ82+ČL!AJ307+NB!AJ131+SM!AJ173+JI!AJ151+TU!AJ207</f>
        <v>0</v>
      </c>
      <c r="AD31" s="14">
        <f>LB!AK473+FR!AK139+JN!AK196+TA!AK108+ŽB!AK82+ČL!AK307+NB!AK131+SM!AK173+JI!AK151+TU!AK207</f>
        <v>0</v>
      </c>
      <c r="AE31" s="14">
        <f>LB!AL473+FR!AL139+JN!AL196+TA!AL108+ŽB!AL82+ČL!AL307+NB!AL131+SM!AL173+JI!AL151+TU!AL207</f>
        <v>0</v>
      </c>
      <c r="AF31" s="14">
        <f>LB!AM473+FR!AM139+JN!AM196+TA!AM108+ŽB!AM82+ČL!AM307+NB!AM131+SM!AM173+JI!AM151+TU!AM207</f>
        <v>0</v>
      </c>
      <c r="AG31" s="14">
        <f>LB!AN473+FR!AN139+JN!AN196+TA!AN108+ŽB!AN82+ČL!AN307+NB!AN131+SM!AN173+JI!AN151+TU!AN207</f>
        <v>0</v>
      </c>
      <c r="AH31" s="14">
        <f>LB!AO473+FR!AO139+JN!AO196+TA!AO108+ŽB!AO82+ČL!AO307+NB!AO131+SM!AO173+JI!AO151+TU!AO207</f>
        <v>0</v>
      </c>
      <c r="AI31" s="14">
        <f>LB!AP473+FR!AP139+JN!AP196+TA!AP108+ŽB!AP82+ČL!AP307+NB!AP131+SM!AP173+JI!AP151+TU!AP207</f>
        <v>0</v>
      </c>
      <c r="AJ31" s="180">
        <f>LB!AQ473+FR!AQ139+JN!AQ196+TA!AQ108+ŽB!AQ82+ČL!AQ307+NB!AQ131+SM!AQ173+JI!AQ151+TU!AQ207</f>
        <v>0</v>
      </c>
      <c r="AK31" s="178">
        <f>LB!AR473+FR!AR139+JN!AR196+TA!AR108+ŽB!AR82+ČL!AR307+NB!AR131+SM!AR173+JI!AR151+TU!AR207</f>
        <v>8799755</v>
      </c>
      <c r="AL31" s="17">
        <f>LB!AS473+FR!AS139+JN!AS196+TA!AS108+ŽB!AS82+ČL!AS307+NB!AS131+SM!AS173+JI!AS151+TU!AS207</f>
        <v>6073108</v>
      </c>
      <c r="AM31" s="17">
        <f>LB!AT473+FR!AT139+JN!AT196+TA!AT108+ŽB!AT82+ČL!AT307+NB!AT131+SM!AT173+JI!AT151+TU!AT207</f>
        <v>341760</v>
      </c>
      <c r="AN31" s="17">
        <f>LB!AU473+FR!AU139+JN!AU196+TA!AU108+ŽB!AU82+ČL!AU307+NB!AU131+SM!AU173+JI!AU151+TU!AU207</f>
        <v>2168225</v>
      </c>
      <c r="AO31" s="17">
        <f>LB!AV473+FR!AV139+JN!AV196+TA!AV108+ŽB!AV82+ČL!AV307+NB!AV131+SM!AV173+JI!AV151+TU!AV207</f>
        <v>121462</v>
      </c>
      <c r="AP31" s="17">
        <f>LB!AW473+FR!AW139+JN!AW196+TA!AW108+ŽB!AW82+ČL!AW307+NB!AW131+SM!AW173+JI!AW151+TU!AW207</f>
        <v>95200</v>
      </c>
      <c r="AQ31" s="14">
        <f>LB!AX473+FR!AX139+JN!AX196+TA!AX108+ŽB!AX82+ČL!AX307+NB!AX131+SM!AX173+JI!AX151+TU!AX207</f>
        <v>9.8184000000000005</v>
      </c>
      <c r="AR31" s="14">
        <f>LB!AY473+FR!AY139+JN!AY196+TA!AY108+ŽB!AY82+ČL!AY307+NB!AY131+SM!AY173+JI!AY151+TU!AY207</f>
        <v>8.4955999999999996</v>
      </c>
      <c r="AS31" s="18">
        <f>LB!AZ473+FR!AZ139+JN!AZ196+TA!AZ108+ŽB!AZ82+ČL!AZ307+NB!AZ131+SM!AZ173+JI!AZ151+TU!AZ207</f>
        <v>1.3228</v>
      </c>
    </row>
    <row r="32" spans="1:45" x14ac:dyDescent="0.2">
      <c r="A32" s="2">
        <v>3124</v>
      </c>
      <c r="B32" s="178">
        <f>LB!I474+FR!I140+JN!I197+TA!I109+ŽB!I83+ČL!I308+NB!I132+SM!I174+JI!I152+TU!I208</f>
        <v>4251963</v>
      </c>
      <c r="C32" s="17">
        <f>LB!J474+FR!J140+JN!J197+TA!J109+ŽB!J83+ČL!J308+NB!J132+SM!J174+JI!J152+TU!J208</f>
        <v>3114553</v>
      </c>
      <c r="D32" s="17">
        <f>LB!K474+FR!K140+JN!K197+TA!K109+ŽB!K83+ČL!K308+NB!K132+SM!K174+JI!K152+TU!K208</f>
        <v>0</v>
      </c>
      <c r="E32" s="17">
        <f>LB!L474+FR!L140+JN!L197+TA!L109+ŽB!L83+ČL!L308+NB!L132+SM!L174+JI!L152+TU!L208</f>
        <v>1052719</v>
      </c>
      <c r="F32" s="17">
        <f>LB!M474+FR!M140+JN!M197+TA!M109+ŽB!M83+ČL!M308+NB!M132+SM!M174+JI!M152+TU!M208</f>
        <v>62291</v>
      </c>
      <c r="G32" s="17">
        <f>LB!N474+FR!N140+JN!N197+TA!N109+ŽB!N83+ČL!N308+NB!N132+SM!N174+JI!N152+TU!N208</f>
        <v>22400</v>
      </c>
      <c r="H32" s="14">
        <f>LB!O474+FR!O140+JN!O197+TA!O109+ŽB!O83+ČL!O308+NB!O132+SM!O174+JI!O152+TU!O208</f>
        <v>5.7788000000000004</v>
      </c>
      <c r="I32" s="14">
        <f>LB!P474+FR!P140+JN!P197+TA!P109+ŽB!P83+ČL!P308+NB!P132+SM!P174+JI!P152+TU!P208</f>
        <v>5.0158000000000005</v>
      </c>
      <c r="J32" s="180">
        <f>LB!Q474+FR!Q140+JN!Q197+TA!Q109+ŽB!Q83+ČL!Q308+NB!Q132+SM!Q174+JI!Q152+TU!Q208</f>
        <v>0.76300000000000001</v>
      </c>
      <c r="K32" s="178">
        <f>LB!R474+FR!R140+JN!R197+TA!R109+ŽB!R83+ČL!R308+NB!R132+SM!R174+JI!R152+TU!R208</f>
        <v>0</v>
      </c>
      <c r="L32" s="17">
        <f>LB!S474+FR!S140+JN!S197+TA!S109+ŽB!S83+ČL!S308+NB!S132+SM!S174+JI!S152+TU!S208</f>
        <v>0</v>
      </c>
      <c r="M32" s="17">
        <f>LB!T474+FR!T140+JN!T197+TA!T109+ŽB!T83+ČL!T308+NB!T132+SM!T174+JI!T152+TU!T208</f>
        <v>0</v>
      </c>
      <c r="N32" s="17">
        <f>LB!U474+FR!U140+JN!U197+TA!U109+ŽB!U83+ČL!U308+NB!U132+SM!U174+JI!U152+TU!U208</f>
        <v>0</v>
      </c>
      <c r="O32" s="17">
        <f>LB!V474+FR!V140+JN!V197+TA!V109+ŽB!V83+ČL!V308+NB!V132+SM!V174+JI!V152+TU!V208</f>
        <v>0</v>
      </c>
      <c r="P32" s="179">
        <f>LB!W474+FR!W140+JN!W197+TA!W109+ŽB!W83+ČL!W308+NB!W132+SM!W174+JI!W152+TU!W208</f>
        <v>0</v>
      </c>
      <c r="Q32" s="17">
        <f>LB!X474+FR!X140+JN!X197+TA!X109+ŽB!X83+ČL!X308+NB!X132+SM!X174+JI!X152+TU!X208</f>
        <v>0</v>
      </c>
      <c r="R32" s="17">
        <f>LB!Y474+FR!Y140+JN!Y197+TA!Y109+ŽB!Y83+ČL!Y308+NB!Y132+SM!Y174+JI!Y152+TU!Y208</f>
        <v>0</v>
      </c>
      <c r="S32" s="17">
        <f>LB!Z474+FR!Z140+JN!Z197+TA!Z109+ŽB!Z83+ČL!Z308+NB!Z132+SM!Z174+JI!Z152+TU!Z208</f>
        <v>0</v>
      </c>
      <c r="T32" s="17">
        <f>LB!AA474+FR!AA140+JN!AA197+TA!AA109+ŽB!AA83+ČL!AA308+NB!AA132+SM!AA174+JI!AA152+TU!AA208</f>
        <v>0</v>
      </c>
      <c r="U32" s="17">
        <f>LB!AB474+FR!AB140+JN!AB197+TA!AB109+ŽB!AB83+ČL!AB308+NB!AB132+SM!AB174+JI!AB152+TU!AB208</f>
        <v>0</v>
      </c>
      <c r="V32" s="17">
        <f>LB!AC474+FR!AC140+JN!AC197+TA!AC109+ŽB!AC83+ČL!AC308+NB!AC132+SM!AC174+JI!AC152+TU!AC208</f>
        <v>0</v>
      </c>
      <c r="W32" s="17">
        <f>LB!AD474+FR!AD140+JN!AD197+TA!AD109+ŽB!AD83+ČL!AD308+NB!AD132+SM!AD174+JI!AD152+TU!AD208</f>
        <v>0</v>
      </c>
      <c r="X32" s="17">
        <f>LB!AE474+FR!AE140+JN!AE197+TA!AE109+ŽB!AE83+ČL!AE308+NB!AE132+SM!AE174+JI!AE152+TU!AE208</f>
        <v>0</v>
      </c>
      <c r="Y32" s="17">
        <f>LB!AF474+FR!AF140+JN!AF197+TA!AF109+ŽB!AF83+ČL!AF308+NB!AF132+SM!AF174+JI!AF152+TU!AF208</f>
        <v>0</v>
      </c>
      <c r="Z32" s="17">
        <f>LB!AG474+FR!AG140+JN!AG197+TA!AG109+ŽB!AG83+ČL!AG308+NB!AG132+SM!AG174+JI!AG152+TU!AG208</f>
        <v>0</v>
      </c>
      <c r="AA32" s="14">
        <f>LB!AH474+FR!AH140+JN!AH197+TA!AH109+ŽB!AH83+ČL!AH308+NB!AH132+SM!AH174+JI!AH152+TU!AH208</f>
        <v>0</v>
      </c>
      <c r="AB32" s="14">
        <f>LB!AI474+FR!AI140+JN!AI197+TA!AI109+ŽB!AI83+ČL!AI308+NB!AI132+SM!AI174+JI!AI152+TU!AI208</f>
        <v>0</v>
      </c>
      <c r="AC32" s="14">
        <f>LB!AJ474+FR!AJ140+JN!AJ197+TA!AJ109+ŽB!AJ83+ČL!AJ308+NB!AJ132+SM!AJ174+JI!AJ152+TU!AJ208</f>
        <v>0</v>
      </c>
      <c r="AD32" s="14">
        <f>LB!AK474+FR!AK140+JN!AK197+TA!AK109+ŽB!AK83+ČL!AK308+NB!AK132+SM!AK174+JI!AK152+TU!AK208</f>
        <v>0</v>
      </c>
      <c r="AE32" s="14">
        <f>LB!AL474+FR!AL140+JN!AL197+TA!AL109+ŽB!AL83+ČL!AL308+NB!AL132+SM!AL174+JI!AL152+TU!AL208</f>
        <v>0</v>
      </c>
      <c r="AF32" s="14">
        <f>LB!AM474+FR!AM140+JN!AM197+TA!AM109+ŽB!AM83+ČL!AM308+NB!AM132+SM!AM174+JI!AM152+TU!AM208</f>
        <v>0</v>
      </c>
      <c r="AG32" s="14">
        <f>LB!AN474+FR!AN140+JN!AN197+TA!AN109+ŽB!AN83+ČL!AN308+NB!AN132+SM!AN174+JI!AN152+TU!AN208</f>
        <v>0</v>
      </c>
      <c r="AH32" s="14">
        <f>LB!AO474+FR!AO140+JN!AO197+TA!AO109+ŽB!AO83+ČL!AO308+NB!AO132+SM!AO174+JI!AO152+TU!AO208</f>
        <v>0</v>
      </c>
      <c r="AI32" s="14">
        <f>LB!AP474+FR!AP140+JN!AP197+TA!AP109+ŽB!AP83+ČL!AP308+NB!AP132+SM!AP174+JI!AP152+TU!AP208</f>
        <v>0</v>
      </c>
      <c r="AJ32" s="180">
        <f>LB!AQ474+FR!AQ140+JN!AQ197+TA!AQ109+ŽB!AQ83+ČL!AQ308+NB!AQ132+SM!AQ174+JI!AQ152+TU!AQ208</f>
        <v>0</v>
      </c>
      <c r="AK32" s="178">
        <f>LB!AR474+FR!AR140+JN!AR197+TA!AR109+ŽB!AR83+ČL!AR308+NB!AR132+SM!AR174+JI!AR152+TU!AR208</f>
        <v>4251963</v>
      </c>
      <c r="AL32" s="17">
        <f>LB!AS474+FR!AS140+JN!AS197+TA!AS109+ŽB!AS83+ČL!AS308+NB!AS132+SM!AS174+JI!AS152+TU!AS208</f>
        <v>3114553</v>
      </c>
      <c r="AM32" s="17">
        <f>LB!AT474+FR!AT140+JN!AT197+TA!AT109+ŽB!AT83+ČL!AT308+NB!AT132+SM!AT174+JI!AT152+TU!AT208</f>
        <v>0</v>
      </c>
      <c r="AN32" s="17">
        <f>LB!AU474+FR!AU140+JN!AU197+TA!AU109+ŽB!AU83+ČL!AU308+NB!AU132+SM!AU174+JI!AU152+TU!AU208</f>
        <v>1052719</v>
      </c>
      <c r="AO32" s="17">
        <f>LB!AV474+FR!AV140+JN!AV197+TA!AV109+ŽB!AV83+ČL!AV308+NB!AV132+SM!AV174+JI!AV152+TU!AV208</f>
        <v>62291</v>
      </c>
      <c r="AP32" s="17">
        <f>LB!AW474+FR!AW140+JN!AW197+TA!AW109+ŽB!AW83+ČL!AW308+NB!AW132+SM!AW174+JI!AW152+TU!AW208</f>
        <v>22400</v>
      </c>
      <c r="AQ32" s="14">
        <f>LB!AX474+FR!AX140+JN!AX197+TA!AX109+ŽB!AX83+ČL!AX308+NB!AX132+SM!AX174+JI!AX152+TU!AX208</f>
        <v>5.7788000000000004</v>
      </c>
      <c r="AR32" s="14">
        <f>LB!AY474+FR!AY140+JN!AY197+TA!AY109+ŽB!AY83+ČL!AY308+NB!AY132+SM!AY174+JI!AY152+TU!AY208</f>
        <v>5.0158000000000005</v>
      </c>
      <c r="AS32" s="18">
        <f>LB!AZ474+FR!AZ140+JN!AZ197+TA!AZ109+ŽB!AZ83+ČL!AZ308+NB!AZ132+SM!AZ174+JI!AZ152+TU!AZ208</f>
        <v>0.76300000000000001</v>
      </c>
    </row>
    <row r="33" spans="1:45" x14ac:dyDescent="0.2">
      <c r="A33" s="2">
        <v>3141</v>
      </c>
      <c r="B33" s="178">
        <f>LB!I475+FR!I141+JN!I198+TA!I110+ŽB!I84+ČL!I309+NB!I133+SM!I175+JI!I153+TU!I209</f>
        <v>416394374</v>
      </c>
      <c r="C33" s="17">
        <f>LB!J475+FR!J141+JN!J198+TA!J110+ŽB!J84+ČL!J309+NB!J133+SM!J175+JI!J153+TU!J209</f>
        <v>303415221</v>
      </c>
      <c r="D33" s="17">
        <f>LB!K475+FR!K141+JN!K198+TA!K110+ŽB!K84+ČL!K309+NB!K133+SM!K175+JI!K153+TU!K209</f>
        <v>1162704</v>
      </c>
      <c r="E33" s="17">
        <f>LB!L475+FR!L141+JN!L198+TA!L110+ŽB!L84+ČL!L309+NB!L133+SM!L175+JI!L153+TU!L209</f>
        <v>102947329</v>
      </c>
      <c r="F33" s="17">
        <f>LB!M475+FR!M141+JN!M198+TA!M110+ŽB!M84+ČL!M309+NB!M133+SM!M175+JI!M153+TU!M209</f>
        <v>6068302</v>
      </c>
      <c r="G33" s="17">
        <f>LB!N475+FR!N141+JN!N198+TA!N110+ŽB!N84+ČL!N309+NB!N133+SM!N175+JI!N153+TU!N209</f>
        <v>2800818</v>
      </c>
      <c r="H33" s="14">
        <f>LB!O475+FR!O141+JN!O198+TA!O110+ŽB!O84+ČL!O309+NB!O133+SM!O175+JI!O153+TU!O209</f>
        <v>957.54000000000008</v>
      </c>
      <c r="I33" s="14">
        <f>LB!P475+FR!P141+JN!P198+TA!P110+ŽB!P84+ČL!P309+NB!P133+SM!P175+JI!P153+TU!P209</f>
        <v>0</v>
      </c>
      <c r="J33" s="180">
        <f>LB!Q475+FR!Q141+JN!Q198+TA!Q110+ŽB!Q84+ČL!Q309+NB!Q133+SM!Q175+JI!Q153+TU!Q209</f>
        <v>957.54000000000008</v>
      </c>
      <c r="K33" s="178">
        <f>LB!R475+FR!R141+JN!R198+TA!R110+ŽB!R84+ČL!R309+NB!R133+SM!R175+JI!R153+TU!R209</f>
        <v>0</v>
      </c>
      <c r="L33" s="17">
        <f>LB!S475+FR!S141+JN!S198+TA!S110+ŽB!S84+ČL!S309+NB!S133+SM!S175+JI!S153+TU!S209</f>
        <v>0</v>
      </c>
      <c r="M33" s="17">
        <f>LB!T475+FR!T141+JN!T198+TA!T110+ŽB!T84+ČL!T309+NB!T133+SM!T175+JI!T153+TU!T209</f>
        <v>0</v>
      </c>
      <c r="N33" s="17">
        <f>LB!U475+FR!U141+JN!U198+TA!U110+ŽB!U84+ČL!U309+NB!U133+SM!U175+JI!U153+TU!U209</f>
        <v>51745</v>
      </c>
      <c r="O33" s="17">
        <f>LB!V475+FR!V141+JN!V198+TA!V110+ŽB!V84+ČL!V309+NB!V133+SM!V175+JI!V153+TU!V209</f>
        <v>51745</v>
      </c>
      <c r="P33" s="179">
        <f>LB!W475+FR!W141+JN!W198+TA!W110+ŽB!W84+ČL!W309+NB!W133+SM!W175+JI!W153+TU!W209</f>
        <v>0</v>
      </c>
      <c r="Q33" s="17">
        <f>LB!X475+FR!X141+JN!X198+TA!X110+ŽB!X84+ČL!X309+NB!X133+SM!X175+JI!X153+TU!X209</f>
        <v>0</v>
      </c>
      <c r="R33" s="17">
        <f>LB!Y475+FR!Y141+JN!Y198+TA!Y110+ŽB!Y84+ČL!Y309+NB!Y133+SM!Y175+JI!Y153+TU!Y209</f>
        <v>0</v>
      </c>
      <c r="S33" s="17">
        <f>LB!Z475+FR!Z141+JN!Z198+TA!Z110+ŽB!Z84+ČL!Z309+NB!Z133+SM!Z175+JI!Z153+TU!Z209</f>
        <v>0</v>
      </c>
      <c r="T33" s="17">
        <f>LB!AA475+FR!AA141+JN!AA198+TA!AA110+ŽB!AA84+ČL!AA309+NB!AA133+SM!AA175+JI!AA153+TU!AA209</f>
        <v>51745</v>
      </c>
      <c r="U33" s="17">
        <f>LB!AB475+FR!AB141+JN!AB198+TA!AB110+ŽB!AB84+ČL!AB309+NB!AB133+SM!AB175+JI!AB153+TU!AB209</f>
        <v>17490</v>
      </c>
      <c r="V33" s="17">
        <f>LB!AC475+FR!AC141+JN!AC198+TA!AC110+ŽB!AC84+ČL!AC309+NB!AC133+SM!AC175+JI!AC153+TU!AC209</f>
        <v>1035</v>
      </c>
      <c r="W33" s="17">
        <f>LB!AD475+FR!AD141+JN!AD198+TA!AD110+ŽB!AD84+ČL!AD309+NB!AD133+SM!AD175+JI!AD153+TU!AD209</f>
        <v>0</v>
      </c>
      <c r="X33" s="17">
        <f>LB!AE475+FR!AE141+JN!AE198+TA!AE110+ŽB!AE84+ČL!AE309+NB!AE133+SM!AE175+JI!AE153+TU!AE209</f>
        <v>780</v>
      </c>
      <c r="Y33" s="17">
        <f>LB!AF475+FR!AF141+JN!AF198+TA!AF110+ŽB!AF84+ČL!AF309+NB!AF133+SM!AF175+JI!AF153+TU!AF209</f>
        <v>780</v>
      </c>
      <c r="Z33" s="17">
        <f>LB!AG475+FR!AG141+JN!AG198+TA!AG110+ŽB!AG84+ČL!AG309+NB!AG133+SM!AG175+JI!AG153+TU!AG209</f>
        <v>71050</v>
      </c>
      <c r="AA33" s="14">
        <f>LB!AH475+FR!AH141+JN!AH198+TA!AH110+ŽB!AH84+ČL!AH309+NB!AH133+SM!AH175+JI!AH153+TU!AH209</f>
        <v>0</v>
      </c>
      <c r="AB33" s="14">
        <f>LB!AI475+FR!AI141+JN!AI198+TA!AI110+ŽB!AI84+ČL!AI309+NB!AI133+SM!AI175+JI!AI153+TU!AI209</f>
        <v>0</v>
      </c>
      <c r="AC33" s="14">
        <f>LB!AJ475+FR!AJ141+JN!AJ198+TA!AJ110+ŽB!AJ84+ČL!AJ309+NB!AJ133+SM!AJ175+JI!AJ153+TU!AJ209</f>
        <v>0</v>
      </c>
      <c r="AD33" s="14">
        <f>LB!AK475+FR!AK141+JN!AK198+TA!AK110+ŽB!AK84+ČL!AK309+NB!AK133+SM!AK175+JI!AK153+TU!AK209</f>
        <v>0</v>
      </c>
      <c r="AE33" s="14">
        <f>LB!AL475+FR!AL141+JN!AL198+TA!AL110+ŽB!AL84+ČL!AL309+NB!AL133+SM!AL175+JI!AL153+TU!AL209</f>
        <v>0</v>
      </c>
      <c r="AF33" s="14">
        <f>LB!AM475+FR!AM141+JN!AM198+TA!AM110+ŽB!AM84+ČL!AM309+NB!AM133+SM!AM175+JI!AM153+TU!AM209</f>
        <v>0</v>
      </c>
      <c r="AG33" s="14">
        <f>LB!AN475+FR!AN141+JN!AN198+TA!AN110+ŽB!AN84+ČL!AN309+NB!AN133+SM!AN175+JI!AN153+TU!AN209</f>
        <v>0.16</v>
      </c>
      <c r="AH33" s="14">
        <f>LB!AO475+FR!AO141+JN!AO198+TA!AO110+ŽB!AO84+ČL!AO309+NB!AO133+SM!AO175+JI!AO153+TU!AO209</f>
        <v>0</v>
      </c>
      <c r="AI33" s="14">
        <f>LB!AP475+FR!AP141+JN!AP198+TA!AP110+ŽB!AP84+ČL!AP309+NB!AP133+SM!AP175+JI!AP153+TU!AP209</f>
        <v>0.16</v>
      </c>
      <c r="AJ33" s="180">
        <f>LB!AQ475+FR!AQ141+JN!AQ198+TA!AQ110+ŽB!AQ84+ČL!AQ309+NB!AQ133+SM!AQ175+JI!AQ153+TU!AQ209</f>
        <v>0.16</v>
      </c>
      <c r="AK33" s="178">
        <f>LB!AR475+FR!AR141+JN!AR198+TA!AR110+ŽB!AR84+ČL!AR309+NB!AR133+SM!AR175+JI!AR153+TU!AR209</f>
        <v>416465424</v>
      </c>
      <c r="AL33" s="17">
        <f>LB!AS475+FR!AS141+JN!AS198+TA!AS110+ŽB!AS84+ČL!AS309+NB!AS133+SM!AS175+JI!AS153+TU!AS209</f>
        <v>303466966</v>
      </c>
      <c r="AM33" s="17">
        <f>LB!AT475+FR!AT141+JN!AT198+TA!AT110+ŽB!AT84+ČL!AT309+NB!AT133+SM!AT175+JI!AT153+TU!AT209</f>
        <v>1162704</v>
      </c>
      <c r="AN33" s="17">
        <f>LB!AU475+FR!AU141+JN!AU198+TA!AU110+ŽB!AU84+ČL!AU309+NB!AU133+SM!AU175+JI!AU153+TU!AU209</f>
        <v>102964819</v>
      </c>
      <c r="AO33" s="17">
        <f>LB!AV475+FR!AV141+JN!AV198+TA!AV110+ŽB!AV84+ČL!AV309+NB!AV133+SM!AV175+JI!AV153+TU!AV209</f>
        <v>6069337</v>
      </c>
      <c r="AP33" s="17">
        <f>LB!AW475+FR!AW141+JN!AW198+TA!AW110+ŽB!AW84+ČL!AW309+NB!AW133+SM!AW175+JI!AW153+TU!AW209</f>
        <v>2801598</v>
      </c>
      <c r="AQ33" s="14">
        <f>LB!AX475+FR!AX141+JN!AX198+TA!AX110+ŽB!AX84+ČL!AX309+NB!AX133+SM!AX175+JI!AX153+TU!AX209</f>
        <v>957.69999999999993</v>
      </c>
      <c r="AR33" s="14">
        <f>LB!AY475+FR!AY141+JN!AY198+TA!AY110+ŽB!AY84+ČL!AY309+NB!AY133+SM!AY175+JI!AY153+TU!AY209</f>
        <v>0</v>
      </c>
      <c r="AS33" s="18">
        <f>LB!AZ475+FR!AZ141+JN!AZ198+TA!AZ110+ŽB!AZ84+ČL!AZ309+NB!AZ133+SM!AZ175+JI!AZ153+TU!AZ209</f>
        <v>957.69999999999993</v>
      </c>
    </row>
    <row r="34" spans="1:45" x14ac:dyDescent="0.2">
      <c r="A34" s="2">
        <v>3143</v>
      </c>
      <c r="B34" s="178">
        <f>LB!I476+FR!I142+JN!I199+TA!I111+ŽB!I85+ČL!I310+NB!I134+SM!I176+JI!I154+TU!I210</f>
        <v>295950979</v>
      </c>
      <c r="C34" s="17">
        <f>LB!J476+FR!J142+JN!J199+TA!J111+ŽB!J85+ČL!J310+NB!J134+SM!J176+JI!J154+TU!J210</f>
        <v>216683478</v>
      </c>
      <c r="D34" s="17">
        <f>LB!K476+FR!K142+JN!K199+TA!K111+ŽB!K85+ČL!K310+NB!K134+SM!K176+JI!K154+TU!K210</f>
        <v>976690</v>
      </c>
      <c r="E34" s="17">
        <f>LB!L476+FR!L142+JN!L199+TA!L111+ŽB!L85+ČL!L310+NB!L134+SM!L176+JI!L154+TU!L210</f>
        <v>73569141</v>
      </c>
      <c r="F34" s="17">
        <f>LB!M476+FR!M142+JN!M199+TA!M111+ŽB!M85+ČL!M310+NB!M134+SM!M176+JI!M154+TU!M210</f>
        <v>4333670</v>
      </c>
      <c r="G34" s="17">
        <f>LB!N476+FR!N142+JN!N199+TA!N111+ŽB!N85+ČL!N310+NB!N134+SM!N176+JI!N154+TU!N210</f>
        <v>388000</v>
      </c>
      <c r="H34" s="14">
        <f>LB!O476+FR!O142+JN!O199+TA!O111+ŽB!O85+ČL!O310+NB!O134+SM!O176+JI!O154+TU!O210</f>
        <v>459.30450000000002</v>
      </c>
      <c r="I34" s="14">
        <f>LB!P476+FR!P142+JN!P199+TA!P111+ŽB!P85+ČL!P310+NB!P134+SM!P176+JI!P154+TU!P210</f>
        <v>430.84020000000004</v>
      </c>
      <c r="J34" s="180">
        <f>LB!Q476+FR!Q142+JN!Q199+TA!Q111+ŽB!Q85+ČL!Q310+NB!Q134+SM!Q176+JI!Q154+TU!Q210</f>
        <v>28.464300000000001</v>
      </c>
      <c r="K34" s="178">
        <f>LB!R476+FR!R142+JN!R199+TA!R111+ŽB!R85+ČL!R310+NB!R134+SM!R176+JI!R154+TU!R210</f>
        <v>0</v>
      </c>
      <c r="L34" s="17">
        <f>LB!S476+FR!S142+JN!S199+TA!S111+ŽB!S85+ČL!S310+NB!S134+SM!S176+JI!S154+TU!S210</f>
        <v>0</v>
      </c>
      <c r="M34" s="17">
        <f>LB!T476+FR!T142+JN!T199+TA!T111+ŽB!T85+ČL!T310+NB!T134+SM!T176+JI!T154+TU!T210</f>
        <v>342160</v>
      </c>
      <c r="N34" s="17">
        <f>LB!U476+FR!U142+JN!U199+TA!U111+ŽB!U85+ČL!U310+NB!U134+SM!U176+JI!U154+TU!U210</f>
        <v>592870</v>
      </c>
      <c r="O34" s="17">
        <f>LB!V476+FR!V142+JN!V199+TA!V111+ŽB!V85+ČL!V310+NB!V134+SM!V176+JI!V154+TU!V210</f>
        <v>935030</v>
      </c>
      <c r="P34" s="179">
        <f>LB!W476+FR!W142+JN!W199+TA!W111+ŽB!W85+ČL!W310+NB!W134+SM!W176+JI!W154+TU!W210</f>
        <v>0</v>
      </c>
      <c r="Q34" s="17">
        <f>LB!X476+FR!X142+JN!X199+TA!X111+ŽB!X85+ČL!X310+NB!X134+SM!X176+JI!X154+TU!X210</f>
        <v>0</v>
      </c>
      <c r="R34" s="17">
        <f>LB!Y476+FR!Y142+JN!Y199+TA!Y111+ŽB!Y85+ČL!Y310+NB!Y134+SM!Y176+JI!Y154+TU!Y210</f>
        <v>0</v>
      </c>
      <c r="S34" s="17">
        <f>LB!Z476+FR!Z142+JN!Z199+TA!Z111+ŽB!Z85+ČL!Z310+NB!Z134+SM!Z176+JI!Z154+TU!Z210</f>
        <v>0</v>
      </c>
      <c r="T34" s="17">
        <f>LB!AA476+FR!AA142+JN!AA199+TA!AA111+ŽB!AA85+ČL!AA310+NB!AA134+SM!AA176+JI!AA154+TU!AA210</f>
        <v>935030</v>
      </c>
      <c r="U34" s="17">
        <f>LB!AB476+FR!AB142+JN!AB199+TA!AB111+ŽB!AB85+ČL!AB310+NB!AB134+SM!AB176+JI!AB154+TU!AB210</f>
        <v>316040</v>
      </c>
      <c r="V34" s="17">
        <f>LB!AC476+FR!AC142+JN!AC199+TA!AC111+ŽB!AC85+ČL!AC310+NB!AC134+SM!AC176+JI!AC154+TU!AC210</f>
        <v>18701</v>
      </c>
      <c r="W34" s="17">
        <f>LB!AD476+FR!AD142+JN!AD199+TA!AD111+ŽB!AD85+ČL!AD310+NB!AD134+SM!AD176+JI!AD154+TU!AD210</f>
        <v>0</v>
      </c>
      <c r="X34" s="17">
        <f>LB!AE476+FR!AE142+JN!AE199+TA!AE111+ŽB!AE85+ČL!AE310+NB!AE134+SM!AE176+JI!AE154+TU!AE210</f>
        <v>1040</v>
      </c>
      <c r="Y34" s="17">
        <f>LB!AF476+FR!AF142+JN!AF199+TA!AF111+ŽB!AF85+ČL!AF310+NB!AF134+SM!AF176+JI!AF154+TU!AF210</f>
        <v>1040</v>
      </c>
      <c r="Z34" s="17">
        <f>LB!AG476+FR!AG142+JN!AG199+TA!AG111+ŽB!AG85+ČL!AG310+NB!AG134+SM!AG176+JI!AG154+TU!AG210</f>
        <v>1270811</v>
      </c>
      <c r="AA34" s="14">
        <f>LB!AH476+FR!AH142+JN!AH199+TA!AH111+ŽB!AH85+ČL!AH310+NB!AH134+SM!AH176+JI!AH154+TU!AH210</f>
        <v>0</v>
      </c>
      <c r="AB34" s="14">
        <f>LB!AI476+FR!AI142+JN!AI199+TA!AI111+ŽB!AI85+ČL!AI310+NB!AI134+SM!AI176+JI!AI154+TU!AI210</f>
        <v>0</v>
      </c>
      <c r="AC34" s="14">
        <f>LB!AJ476+FR!AJ142+JN!AJ199+TA!AJ111+ŽB!AJ85+ČL!AJ310+NB!AJ134+SM!AJ176+JI!AJ154+TU!AJ210</f>
        <v>0</v>
      </c>
      <c r="AD34" s="14">
        <f>LB!AK476+FR!AK142+JN!AK199+TA!AK111+ŽB!AK85+ČL!AK310+NB!AK134+SM!AK176+JI!AK154+TU!AK210</f>
        <v>0.87</v>
      </c>
      <c r="AE34" s="14">
        <f>LB!AL476+FR!AL142+JN!AL199+TA!AL111+ŽB!AL85+ČL!AL310+NB!AL134+SM!AL176+JI!AL154+TU!AL210</f>
        <v>0</v>
      </c>
      <c r="AF34" s="14">
        <f>LB!AM476+FR!AM142+JN!AM199+TA!AM111+ŽB!AM85+ČL!AM310+NB!AM134+SM!AM176+JI!AM154+TU!AM210</f>
        <v>1.3699999999999999</v>
      </c>
      <c r="AG34" s="14">
        <f>LB!AN476+FR!AN142+JN!AN199+TA!AN111+ŽB!AN85+ČL!AN310+NB!AN134+SM!AN176+JI!AN154+TU!AN210</f>
        <v>0.11</v>
      </c>
      <c r="AH34" s="14">
        <f>LB!AO476+FR!AO142+JN!AO199+TA!AO111+ŽB!AO85+ČL!AO310+NB!AO134+SM!AO176+JI!AO154+TU!AO210</f>
        <v>2.2400000000000002</v>
      </c>
      <c r="AI34" s="14">
        <f>LB!AP476+FR!AP142+JN!AP199+TA!AP111+ŽB!AP85+ČL!AP310+NB!AP134+SM!AP176+JI!AP154+TU!AP210</f>
        <v>0.11</v>
      </c>
      <c r="AJ34" s="180">
        <f>LB!AQ476+FR!AQ142+JN!AQ199+TA!AQ111+ŽB!AQ85+ČL!AQ310+NB!AQ134+SM!AQ176+JI!AQ154+TU!AQ210</f>
        <v>2.35</v>
      </c>
      <c r="AK34" s="178">
        <f>LB!AR476+FR!AR142+JN!AR199+TA!AR111+ŽB!AR85+ČL!AR310+NB!AR134+SM!AR176+JI!AR154+TU!AR210</f>
        <v>297221790</v>
      </c>
      <c r="AL34" s="17">
        <f>LB!AS476+FR!AS142+JN!AS199+TA!AS111+ŽB!AS85+ČL!AS310+NB!AS134+SM!AS176+JI!AS154+TU!AS210</f>
        <v>217618508</v>
      </c>
      <c r="AM34" s="17">
        <f>LB!AT476+FR!AT142+JN!AT199+TA!AT111+ŽB!AT85+ČL!AT310+NB!AT134+SM!AT176+JI!AT154+TU!AT210</f>
        <v>976690</v>
      </c>
      <c r="AN34" s="17">
        <f>LB!AU476+FR!AU142+JN!AU199+TA!AU111+ŽB!AU85+ČL!AU310+NB!AU134+SM!AU176+JI!AU154+TU!AU210</f>
        <v>73885181</v>
      </c>
      <c r="AO34" s="17">
        <f>LB!AV476+FR!AV142+JN!AV199+TA!AV111+ŽB!AV85+ČL!AV310+NB!AV134+SM!AV176+JI!AV154+TU!AV210</f>
        <v>4352371</v>
      </c>
      <c r="AP34" s="17">
        <f>LB!AW476+FR!AW142+JN!AW199+TA!AW111+ŽB!AW85+ČL!AW310+NB!AW134+SM!AW176+JI!AW154+TU!AW210</f>
        <v>389040</v>
      </c>
      <c r="AQ34" s="14">
        <f>LB!AX476+FR!AX142+JN!AX199+TA!AX111+ŽB!AX85+ČL!AX310+NB!AX134+SM!AX176+JI!AX154+TU!AX210</f>
        <v>461.6545000000001</v>
      </c>
      <c r="AR34" s="14">
        <f>LB!AY476+FR!AY142+JN!AY199+TA!AY111+ŽB!AY85+ČL!AY310+NB!AY134+SM!AY176+JI!AY154+TU!AY210</f>
        <v>433.08019999999999</v>
      </c>
      <c r="AS34" s="18">
        <f>LB!AZ476+FR!AZ142+JN!AZ199+TA!AZ111+ŽB!AZ85+ČL!AZ310+NB!AZ134+SM!AZ176+JI!AZ154+TU!AZ210</f>
        <v>28.574300000000001</v>
      </c>
    </row>
    <row r="35" spans="1:45" x14ac:dyDescent="0.2">
      <c r="A35" s="2">
        <v>3231</v>
      </c>
      <c r="B35" s="178">
        <f>LB!I477+FR!I143+JN!I200+TA!I112+ŽB!I86+ČL!I311+NB!I135+SM!I177+JI!I155+TU!I211</f>
        <v>291970855</v>
      </c>
      <c r="C35" s="17">
        <f>LB!J477+FR!J143+JN!J200+TA!J112+ŽB!J86+ČL!J311+NB!J135+SM!J177+JI!J155+TU!J211</f>
        <v>213483769</v>
      </c>
      <c r="D35" s="17">
        <f>LB!K477+FR!K143+JN!K200+TA!K112+ŽB!K86+ČL!K311+NB!K135+SM!K177+JI!K155+TU!K211</f>
        <v>830993</v>
      </c>
      <c r="E35" s="17">
        <f>LB!L477+FR!L143+JN!L200+TA!L112+ŽB!L86+ČL!L311+NB!L135+SM!L177+JI!L155+TU!L211</f>
        <v>72438389</v>
      </c>
      <c r="F35" s="17">
        <f>LB!M477+FR!M143+JN!M200+TA!M112+ŽB!M86+ČL!M311+NB!M135+SM!M177+JI!M155+TU!M211</f>
        <v>4269674</v>
      </c>
      <c r="G35" s="17">
        <f>LB!N477+FR!N143+JN!N200+TA!N112+ŽB!N86+ČL!N311+NB!N135+SM!N177+JI!N155+TU!N211</f>
        <v>948030</v>
      </c>
      <c r="H35" s="14">
        <f>LB!O477+FR!O143+JN!O200+TA!O112+ŽB!O86+ČL!O311+NB!O135+SM!O177+JI!O155+TU!O211</f>
        <v>396.88709999999998</v>
      </c>
      <c r="I35" s="14">
        <f>LB!P477+FR!P143+JN!P200+TA!P112+ŽB!P86+ČL!P311+NB!P135+SM!P177+JI!P155+TU!P211</f>
        <v>352.71499999999997</v>
      </c>
      <c r="J35" s="180">
        <f>LB!Q477+FR!Q143+JN!Q200+TA!Q112+ŽB!Q86+ČL!Q311+NB!Q135+SM!Q177+JI!Q155+TU!Q211</f>
        <v>44.1721</v>
      </c>
      <c r="K35" s="178">
        <f>LB!R477+FR!R143+JN!R200+TA!R112+ŽB!R86+ČL!R311+NB!R135+SM!R177+JI!R155+TU!R211</f>
        <v>0</v>
      </c>
      <c r="L35" s="17">
        <f>LB!S477+FR!S143+JN!S200+TA!S112+ŽB!S86+ČL!S311+NB!S135+SM!S177+JI!S155+TU!S211</f>
        <v>0</v>
      </c>
      <c r="M35" s="17">
        <f>LB!T477+FR!T143+JN!T200+TA!T112+ŽB!T86+ČL!T311+NB!T135+SM!T177+JI!T155+TU!T211</f>
        <v>0</v>
      </c>
      <c r="N35" s="17">
        <f>LB!U477+FR!U143+JN!U200+TA!U112+ŽB!U86+ČL!U311+NB!U135+SM!U177+JI!U155+TU!U211</f>
        <v>0</v>
      </c>
      <c r="O35" s="17">
        <f>LB!V477+FR!V143+JN!V200+TA!V112+ŽB!V86+ČL!V311+NB!V135+SM!V177+JI!V155+TU!V211</f>
        <v>0</v>
      </c>
      <c r="P35" s="179">
        <f>LB!W477+FR!W143+JN!W200+TA!W112+ŽB!W86+ČL!W311+NB!W135+SM!W177+JI!W155+TU!W211</f>
        <v>0</v>
      </c>
      <c r="Q35" s="17">
        <f>LB!X477+FR!X143+JN!X200+TA!X112+ŽB!X86+ČL!X311+NB!X135+SM!X177+JI!X155+TU!X211</f>
        <v>0</v>
      </c>
      <c r="R35" s="17">
        <f>LB!Y477+FR!Y143+JN!Y200+TA!Y112+ŽB!Y86+ČL!Y311+NB!Y135+SM!Y177+JI!Y155+TU!Y211</f>
        <v>0</v>
      </c>
      <c r="S35" s="17">
        <f>LB!Z477+FR!Z143+JN!Z200+TA!Z112+ŽB!Z86+ČL!Z311+NB!Z135+SM!Z177+JI!Z155+TU!Z211</f>
        <v>0</v>
      </c>
      <c r="T35" s="17">
        <f>LB!AA477+FR!AA143+JN!AA200+TA!AA112+ŽB!AA86+ČL!AA311+NB!AA135+SM!AA177+JI!AA155+TU!AA211</f>
        <v>0</v>
      </c>
      <c r="U35" s="17">
        <f>LB!AB477+FR!AB143+JN!AB200+TA!AB112+ŽB!AB86+ČL!AB311+NB!AB135+SM!AB177+JI!AB155+TU!AB211</f>
        <v>0</v>
      </c>
      <c r="V35" s="17">
        <f>LB!AC477+FR!AC143+JN!AC200+TA!AC112+ŽB!AC86+ČL!AC311+NB!AC135+SM!AC177+JI!AC155+TU!AC211</f>
        <v>0</v>
      </c>
      <c r="W35" s="17">
        <f>LB!AD477+FR!AD143+JN!AD200+TA!AD112+ŽB!AD86+ČL!AD311+NB!AD135+SM!AD177+JI!AD155+TU!AD211</f>
        <v>0</v>
      </c>
      <c r="X35" s="17">
        <f>LB!AE477+FR!AE143+JN!AE200+TA!AE112+ŽB!AE86+ČL!AE311+NB!AE135+SM!AE177+JI!AE155+TU!AE211</f>
        <v>0</v>
      </c>
      <c r="Y35" s="17">
        <f>LB!AF477+FR!AF143+JN!AF200+TA!AF112+ŽB!AF86+ČL!AF311+NB!AF135+SM!AF177+JI!AF155+TU!AF211</f>
        <v>0</v>
      </c>
      <c r="Z35" s="17">
        <f>LB!AG477+FR!AG143+JN!AG200+TA!AG112+ŽB!AG86+ČL!AG311+NB!AG135+SM!AG177+JI!AG155+TU!AG211</f>
        <v>0</v>
      </c>
      <c r="AA35" s="14">
        <f>LB!AH477+FR!AH143+JN!AH200+TA!AH112+ŽB!AH86+ČL!AH311+NB!AH135+SM!AH177+JI!AH155+TU!AH211</f>
        <v>0</v>
      </c>
      <c r="AB35" s="14">
        <f>LB!AI477+FR!AI143+JN!AI200+TA!AI112+ŽB!AI86+ČL!AI311+NB!AI135+SM!AI177+JI!AI155+TU!AI211</f>
        <v>0</v>
      </c>
      <c r="AC35" s="14">
        <f>LB!AJ477+FR!AJ143+JN!AJ200+TA!AJ112+ŽB!AJ86+ČL!AJ311+NB!AJ135+SM!AJ177+JI!AJ155+TU!AJ211</f>
        <v>0</v>
      </c>
      <c r="AD35" s="14">
        <f>LB!AK477+FR!AK143+JN!AK200+TA!AK112+ŽB!AK86+ČL!AK311+NB!AK135+SM!AK177+JI!AK155+TU!AK211</f>
        <v>0</v>
      </c>
      <c r="AE35" s="14">
        <f>LB!AL477+FR!AL143+JN!AL200+TA!AL112+ŽB!AL86+ČL!AL311+NB!AL135+SM!AL177+JI!AL155+TU!AL211</f>
        <v>0</v>
      </c>
      <c r="AF35" s="14">
        <f>LB!AM477+FR!AM143+JN!AM200+TA!AM112+ŽB!AM86+ČL!AM311+NB!AM135+SM!AM177+JI!AM155+TU!AM211</f>
        <v>0</v>
      </c>
      <c r="AG35" s="14">
        <f>LB!AN477+FR!AN143+JN!AN200+TA!AN112+ŽB!AN86+ČL!AN311+NB!AN135+SM!AN177+JI!AN155+TU!AN211</f>
        <v>0</v>
      </c>
      <c r="AH35" s="14">
        <f>LB!AO477+FR!AO143+JN!AO200+TA!AO112+ŽB!AO86+ČL!AO311+NB!AO135+SM!AO177+JI!AO155+TU!AO211</f>
        <v>0</v>
      </c>
      <c r="AI35" s="14">
        <f>LB!AP477+FR!AP143+JN!AP200+TA!AP112+ŽB!AP86+ČL!AP311+NB!AP135+SM!AP177+JI!AP155+TU!AP211</f>
        <v>0</v>
      </c>
      <c r="AJ35" s="180">
        <f>LB!AQ477+FR!AQ143+JN!AQ200+TA!AQ112+ŽB!AQ86+ČL!AQ311+NB!AQ135+SM!AQ177+JI!AQ155+TU!AQ211</f>
        <v>0</v>
      </c>
      <c r="AK35" s="178">
        <f>LB!AR477+FR!AR143+JN!AR200+TA!AR112+ŽB!AR86+ČL!AR311+NB!AR135+SM!AR177+JI!AR155+TU!AR211</f>
        <v>291970855</v>
      </c>
      <c r="AL35" s="17">
        <f>LB!AS477+FR!AS143+JN!AS200+TA!AS112+ŽB!AS86+ČL!AS311+NB!AS135+SM!AS177+JI!AS155+TU!AS211</f>
        <v>213483769</v>
      </c>
      <c r="AM35" s="17">
        <f>LB!AT477+FR!AT143+JN!AT200+TA!AT112+ŽB!AT86+ČL!AT311+NB!AT135+SM!AT177+JI!AT155+TU!AT211</f>
        <v>830993</v>
      </c>
      <c r="AN35" s="17">
        <f>LB!AU477+FR!AU143+JN!AU200+TA!AU112+ŽB!AU86+ČL!AU311+NB!AU135+SM!AU177+JI!AU155+TU!AU211</f>
        <v>72438389</v>
      </c>
      <c r="AO35" s="17">
        <f>LB!AV477+FR!AV143+JN!AV200+TA!AV112+ŽB!AV86+ČL!AV311+NB!AV135+SM!AV177+JI!AV155+TU!AV211</f>
        <v>4269674</v>
      </c>
      <c r="AP35" s="17">
        <f>LB!AW477+FR!AW143+JN!AW200+TA!AW112+ŽB!AW86+ČL!AW311+NB!AW135+SM!AW177+JI!AW155+TU!AW211</f>
        <v>948030</v>
      </c>
      <c r="AQ35" s="14">
        <f>LB!AX477+FR!AX143+JN!AX200+TA!AX112+ŽB!AX86+ČL!AX311+NB!AX135+SM!AX177+JI!AX155+TU!AX211</f>
        <v>396.88709999999998</v>
      </c>
      <c r="AR35" s="14">
        <f>LB!AY477+FR!AY143+JN!AY200+TA!AY112+ŽB!AY86+ČL!AY311+NB!AY135+SM!AY177+JI!AY155+TU!AY211</f>
        <v>352.71499999999997</v>
      </c>
      <c r="AS35" s="18">
        <f>LB!AZ477+FR!AZ143+JN!AZ200+TA!AZ112+ŽB!AZ86+ČL!AZ311+NB!AZ135+SM!AZ177+JI!AZ155+TU!AZ211</f>
        <v>44.1721</v>
      </c>
    </row>
    <row r="36" spans="1:45" ht="13.5" thickBot="1" x14ac:dyDescent="0.25">
      <c r="A36" s="162">
        <v>3233</v>
      </c>
      <c r="B36" s="181">
        <f>LB!I478+FR!I144+JN!I201+TA!I113+ŽB!I87+ČL!I312+NB!I136+SM!I178+JI!I156+TU!I212</f>
        <v>62752838</v>
      </c>
      <c r="C36" s="182">
        <f>LB!J478+FR!J144+JN!J201+TA!J113+ŽB!J87+ČL!J312+NB!J136+SM!J178+JI!J156+TU!J212</f>
        <v>43592108</v>
      </c>
      <c r="D36" s="182">
        <f>LB!K478+FR!K144+JN!K201+TA!K113+ŽB!K87+ČL!K312+NB!K136+SM!K178+JI!K156+TU!K212</f>
        <v>2655650</v>
      </c>
      <c r="E36" s="182">
        <f>LB!L478+FR!L144+JN!L201+TA!L113+ŽB!L87+ČL!L312+NB!L136+SM!L178+JI!L156+TU!L212</f>
        <v>15549608</v>
      </c>
      <c r="F36" s="182">
        <f>LB!M478+FR!M144+JN!M201+TA!M113+ŽB!M87+ČL!M312+NB!M136+SM!M178+JI!M156+TU!M212</f>
        <v>871840</v>
      </c>
      <c r="G36" s="182">
        <f>LB!N478+FR!N144+JN!N201+TA!N113+ŽB!N87+ČL!N312+NB!N136+SM!N178+JI!N156+TU!N212</f>
        <v>83632</v>
      </c>
      <c r="H36" s="183">
        <f>LB!O478+FR!O144+JN!O201+TA!O113+ŽB!O87+ČL!O312+NB!O136+SM!O178+JI!O156+TU!O212</f>
        <v>96.36</v>
      </c>
      <c r="I36" s="183">
        <f>LB!P478+FR!P144+JN!P201+TA!P113+ŽB!P87+ČL!P312+NB!P136+SM!P178+JI!P156+TU!P212</f>
        <v>61.740000000000009</v>
      </c>
      <c r="J36" s="186">
        <f>LB!Q478+FR!Q144+JN!Q201+TA!Q113+ŽB!Q87+ČL!Q312+NB!Q136+SM!Q178+JI!Q156+TU!Q212</f>
        <v>34.619999999999997</v>
      </c>
      <c r="K36" s="181">
        <f>LB!R478+FR!R144+JN!R201+TA!R113+ŽB!R87+ČL!R312+NB!R136+SM!R178+JI!R156+TU!R212</f>
        <v>0</v>
      </c>
      <c r="L36" s="182">
        <f>LB!S478+FR!S144+JN!S201+TA!S113+ŽB!S87+ČL!S312+NB!S136+SM!S178+JI!S156+TU!S212</f>
        <v>0</v>
      </c>
      <c r="M36" s="182">
        <f>LB!T478+FR!T144+JN!T201+TA!T113+ŽB!T87+ČL!T312+NB!T136+SM!T178+JI!T156+TU!T212</f>
        <v>640266</v>
      </c>
      <c r="N36" s="182">
        <f>LB!U478+FR!U144+JN!U201+TA!U113+ŽB!U87+ČL!U312+NB!U136+SM!U178+JI!U156+TU!U212</f>
        <v>0</v>
      </c>
      <c r="O36" s="182">
        <f>LB!V478+FR!V144+JN!V201+TA!V113+ŽB!V87+ČL!V312+NB!V136+SM!V178+JI!V156+TU!V212</f>
        <v>640266</v>
      </c>
      <c r="P36" s="185">
        <f>LB!W478+FR!W144+JN!W201+TA!W113+ŽB!W87+ČL!W312+NB!W136+SM!W178+JI!W156+TU!W212</f>
        <v>0</v>
      </c>
      <c r="Q36" s="182">
        <f>LB!X478+FR!X144+JN!X201+TA!X113+ŽB!X87+ČL!X312+NB!X136+SM!X178+JI!X156+TU!X212</f>
        <v>0</v>
      </c>
      <c r="R36" s="182">
        <f>LB!Y478+FR!Y144+JN!Y201+TA!Y113+ŽB!Y87+ČL!Y312+NB!Y136+SM!Y178+JI!Y156+TU!Y212</f>
        <v>0</v>
      </c>
      <c r="S36" s="182">
        <f>LB!Z478+FR!Z144+JN!Z201+TA!Z113+ŽB!Z87+ČL!Z312+NB!Z136+SM!Z178+JI!Z156+TU!Z212</f>
        <v>0</v>
      </c>
      <c r="T36" s="182">
        <f>LB!AA478+FR!AA144+JN!AA201+TA!AA113+ŽB!AA87+ČL!AA312+NB!AA136+SM!AA178+JI!AA156+TU!AA212</f>
        <v>640266</v>
      </c>
      <c r="U36" s="182">
        <f>LB!AB478+FR!AB144+JN!AB201+TA!AB113+ŽB!AB87+ČL!AB312+NB!AB136+SM!AB178+JI!AB156+TU!AB212</f>
        <v>216410</v>
      </c>
      <c r="V36" s="182">
        <f>LB!AC478+FR!AC144+JN!AC201+TA!AC113+ŽB!AC87+ČL!AC312+NB!AC136+SM!AC178+JI!AC156+TU!AC212</f>
        <v>12806</v>
      </c>
      <c r="W36" s="182">
        <f>LB!AD478+FR!AD144+JN!AD201+TA!AD113+ŽB!AD87+ČL!AD312+NB!AD136+SM!AD178+JI!AD156+TU!AD212</f>
        <v>0</v>
      </c>
      <c r="X36" s="182">
        <f>LB!AE478+FR!AE144+JN!AE201+TA!AE113+ŽB!AE87+ČL!AE312+NB!AE136+SM!AE178+JI!AE156+TU!AE212</f>
        <v>491338</v>
      </c>
      <c r="Y36" s="182">
        <f>LB!AF478+FR!AF144+JN!AF201+TA!AF113+ŽB!AF87+ČL!AF312+NB!AF136+SM!AF178+JI!AF156+TU!AF212</f>
        <v>491338</v>
      </c>
      <c r="Z36" s="182">
        <f>LB!AG478+FR!AG144+JN!AG201+TA!AG113+ŽB!AG87+ČL!AG312+NB!AG136+SM!AG178+JI!AG156+TU!AG212</f>
        <v>1360820</v>
      </c>
      <c r="AA36" s="183">
        <f>LB!AH478+FR!AH144+JN!AH201+TA!AH113+ŽB!AH87+ČL!AH312+NB!AH136+SM!AH178+JI!AH156+TU!AH212</f>
        <v>0</v>
      </c>
      <c r="AB36" s="183">
        <f>LB!AI478+FR!AI144+JN!AI201+TA!AI113+ŽB!AI87+ČL!AI312+NB!AI136+SM!AI178+JI!AI156+TU!AI212</f>
        <v>0</v>
      </c>
      <c r="AC36" s="183">
        <f>LB!AJ478+FR!AJ144+JN!AJ201+TA!AJ113+ŽB!AJ87+ČL!AJ312+NB!AJ136+SM!AJ178+JI!AJ156+TU!AJ212</f>
        <v>0</v>
      </c>
      <c r="AD36" s="183">
        <f>LB!AK478+FR!AK144+JN!AK201+TA!AK113+ŽB!AK87+ČL!AK312+NB!AK136+SM!AK178+JI!AK156+TU!AK212</f>
        <v>0.33</v>
      </c>
      <c r="AE36" s="183">
        <f>LB!AL478+FR!AL144+JN!AL201+TA!AL113+ŽB!AL87+ČL!AL312+NB!AL136+SM!AL178+JI!AL156+TU!AL212</f>
        <v>0.13</v>
      </c>
      <c r="AF36" s="183">
        <f>LB!AM478+FR!AM144+JN!AM201+TA!AM113+ŽB!AM87+ČL!AM312+NB!AM136+SM!AM178+JI!AM156+TU!AM212</f>
        <v>0</v>
      </c>
      <c r="AG36" s="183">
        <f>LB!AN478+FR!AN144+JN!AN201+TA!AN113+ŽB!AN87+ČL!AN312+NB!AN136+SM!AN178+JI!AN156+TU!AN212</f>
        <v>0</v>
      </c>
      <c r="AH36" s="183">
        <f>LB!AO478+FR!AO144+JN!AO201+TA!AO113+ŽB!AO87+ČL!AO312+NB!AO136+SM!AO178+JI!AO156+TU!AO212</f>
        <v>0.33</v>
      </c>
      <c r="AI36" s="183">
        <f>LB!AP478+FR!AP144+JN!AP201+TA!AP113+ŽB!AP87+ČL!AP312+NB!AP136+SM!AP178+JI!AP156+TU!AP212</f>
        <v>0.13</v>
      </c>
      <c r="AJ36" s="186">
        <f>LB!AQ478+FR!AQ144+JN!AQ201+TA!AQ113+ŽB!AQ87+ČL!AQ312+NB!AQ136+SM!AQ178+JI!AQ156+TU!AQ212</f>
        <v>0.46</v>
      </c>
      <c r="AK36" s="181">
        <f>LB!AR478+FR!AR144+JN!AR201+TA!AR113+ŽB!AR87+ČL!AR312+NB!AR136+SM!AR178+JI!AR156+TU!AR212</f>
        <v>64113658</v>
      </c>
      <c r="AL36" s="182">
        <f>LB!AS478+FR!AS144+JN!AS201+TA!AS113+ŽB!AS87+ČL!AS312+NB!AS136+SM!AS178+JI!AS156+TU!AS212</f>
        <v>44232374</v>
      </c>
      <c r="AM36" s="182">
        <f>LB!AT478+FR!AT144+JN!AT201+TA!AT113+ŽB!AT87+ČL!AT312+NB!AT136+SM!AT178+JI!AT156+TU!AT212</f>
        <v>2655650</v>
      </c>
      <c r="AN36" s="182">
        <f>LB!AU478+FR!AU144+JN!AU201+TA!AU113+ŽB!AU87+ČL!AU312+NB!AU136+SM!AU178+JI!AU156+TU!AU212</f>
        <v>15766018</v>
      </c>
      <c r="AO36" s="182">
        <f>LB!AV478+FR!AV144+JN!AV201+TA!AV113+ŽB!AV87+ČL!AV312+NB!AV136+SM!AV178+JI!AV156+TU!AV212</f>
        <v>884646</v>
      </c>
      <c r="AP36" s="182">
        <f>LB!AW478+FR!AW144+JN!AW201+TA!AW113+ŽB!AW87+ČL!AW312+NB!AW136+SM!AW178+JI!AW156+TU!AW212</f>
        <v>574970</v>
      </c>
      <c r="AQ36" s="183">
        <f>LB!AX478+FR!AX144+JN!AX201+TA!AX113+ŽB!AX87+ČL!AX312+NB!AX136+SM!AX178+JI!AX156+TU!AX212</f>
        <v>96.820000000000007</v>
      </c>
      <c r="AR36" s="183">
        <f>LB!AY478+FR!AY144+JN!AY201+TA!AY113+ŽB!AY87+ČL!AY312+NB!AY136+SM!AY178+JI!AY156+TU!AY212</f>
        <v>62.070000000000007</v>
      </c>
      <c r="AS36" s="184">
        <f>LB!AZ478+FR!AZ144+JN!AZ201+TA!AZ113+ŽB!AZ87+ČL!AZ312+NB!AZ136+SM!AZ178+JI!AZ156+TU!AZ212</f>
        <v>34.75</v>
      </c>
    </row>
    <row r="37" spans="1:45" x14ac:dyDescent="0.2">
      <c r="A37" s="10"/>
      <c r="B37" s="16"/>
      <c r="C37" s="16"/>
      <c r="D37" s="16"/>
      <c r="E37" s="16"/>
      <c r="F37" s="16"/>
      <c r="G37" s="16"/>
      <c r="H37" s="5"/>
      <c r="I37" s="5"/>
      <c r="J37" s="5"/>
      <c r="K37" s="16"/>
      <c r="L37" s="16"/>
      <c r="M37" s="16"/>
    </row>
    <row r="38" spans="1:45" x14ac:dyDescent="0.2">
      <c r="A38" s="10"/>
      <c r="B38" s="16"/>
      <c r="C38" s="16"/>
      <c r="D38" s="16"/>
      <c r="E38" s="16"/>
      <c r="F38" s="16"/>
      <c r="G38" s="16"/>
      <c r="H38" s="5"/>
      <c r="I38" s="5"/>
      <c r="J38" s="5"/>
      <c r="K38" s="16"/>
      <c r="L38" s="16"/>
      <c r="M38" s="16"/>
    </row>
    <row r="39" spans="1:45" x14ac:dyDescent="0.2">
      <c r="A39" s="10"/>
      <c r="B39" s="16"/>
      <c r="C39" s="16"/>
      <c r="D39" s="16"/>
      <c r="E39" s="16"/>
      <c r="F39" s="16"/>
      <c r="G39" s="16"/>
      <c r="H39" s="5"/>
      <c r="I39" s="5"/>
      <c r="J39" s="5"/>
      <c r="K39" s="16"/>
      <c r="L39" s="16"/>
      <c r="M39" s="16"/>
    </row>
    <row r="40" spans="1:45" s="16" customFormat="1" x14ac:dyDescent="0.2">
      <c r="A40" s="10"/>
      <c r="H40" s="5"/>
      <c r="I40" s="5"/>
      <c r="J40" s="5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9"/>
      <c r="AL40" s="9"/>
      <c r="AM40" s="9"/>
      <c r="AN40" s="9"/>
      <c r="AO40" s="9"/>
      <c r="AP40" s="9"/>
      <c r="AQ40" s="8"/>
      <c r="AR40" s="8"/>
      <c r="AS40" s="8"/>
    </row>
    <row r="41" spans="1:45" s="16" customFormat="1" x14ac:dyDescent="0.2">
      <c r="A41" s="10"/>
      <c r="H41" s="5"/>
      <c r="I41" s="5"/>
      <c r="J41" s="5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9"/>
      <c r="AL41" s="9"/>
      <c r="AM41" s="9"/>
      <c r="AN41" s="9"/>
      <c r="AO41" s="9"/>
      <c r="AP41" s="9"/>
      <c r="AQ41" s="8"/>
      <c r="AR41" s="8"/>
      <c r="AS41" s="8"/>
    </row>
    <row r="42" spans="1:45" s="16" customFormat="1" x14ac:dyDescent="0.2">
      <c r="A42" s="10"/>
      <c r="H42" s="5"/>
      <c r="I42" s="5"/>
      <c r="J42" s="5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9"/>
      <c r="AL42" s="9"/>
      <c r="AM42" s="9"/>
      <c r="AN42" s="9"/>
      <c r="AO42" s="9"/>
      <c r="AP42" s="9"/>
      <c r="AQ42" s="8"/>
      <c r="AR42" s="8"/>
      <c r="AS42" s="8"/>
    </row>
    <row r="43" spans="1:45" s="16" customFormat="1" x14ac:dyDescent="0.2">
      <c r="A43" s="10"/>
      <c r="H43" s="5"/>
      <c r="I43" s="5"/>
      <c r="J43" s="5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9"/>
      <c r="AL43" s="9"/>
      <c r="AM43" s="9"/>
      <c r="AN43" s="9"/>
      <c r="AO43" s="9"/>
      <c r="AP43" s="9"/>
      <c r="AQ43" s="8"/>
      <c r="AR43" s="8"/>
      <c r="AS43" s="8"/>
    </row>
    <row r="44" spans="1:45" s="16" customFormat="1" x14ac:dyDescent="0.2">
      <c r="A44" s="10"/>
      <c r="H44" s="5"/>
      <c r="I44" s="5"/>
      <c r="J44" s="5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9"/>
      <c r="AL44" s="9"/>
      <c r="AM44" s="9"/>
      <c r="AN44" s="9"/>
      <c r="AO44" s="9"/>
      <c r="AP44" s="9"/>
      <c r="AQ44" s="8"/>
      <c r="AR44" s="8"/>
      <c r="AS44" s="8"/>
    </row>
    <row r="45" spans="1:45" s="16" customFormat="1" x14ac:dyDescent="0.2">
      <c r="A45" s="10"/>
      <c r="H45" s="5"/>
      <c r="I45" s="5"/>
      <c r="J45" s="5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9"/>
      <c r="AL45" s="9"/>
      <c r="AM45" s="9"/>
      <c r="AN45" s="9"/>
      <c r="AO45" s="9"/>
      <c r="AP45" s="9"/>
      <c r="AQ45" s="8"/>
      <c r="AR45" s="8"/>
      <c r="AS45" s="8"/>
    </row>
    <row r="46" spans="1:45" s="16" customFormat="1" x14ac:dyDescent="0.2">
      <c r="A46" s="10"/>
      <c r="H46" s="5"/>
      <c r="I46" s="5"/>
      <c r="J46" s="5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9"/>
      <c r="AL46" s="9"/>
      <c r="AM46" s="9"/>
      <c r="AN46" s="9"/>
      <c r="AO46" s="9"/>
      <c r="AP46" s="9"/>
      <c r="AQ46" s="8"/>
      <c r="AR46" s="8"/>
      <c r="AS46" s="8"/>
    </row>
    <row r="47" spans="1:45" s="16" customFormat="1" x14ac:dyDescent="0.2">
      <c r="A47" s="10"/>
      <c r="H47" s="5"/>
      <c r="I47" s="5"/>
      <c r="J47" s="5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9"/>
      <c r="AL47" s="9"/>
      <c r="AM47" s="9"/>
      <c r="AN47" s="9"/>
      <c r="AO47" s="9"/>
      <c r="AP47" s="9"/>
      <c r="AQ47" s="8"/>
      <c r="AR47" s="8"/>
      <c r="AS47" s="8"/>
    </row>
    <row r="48" spans="1:45" s="16" customFormat="1" x14ac:dyDescent="0.2">
      <c r="A48" s="10"/>
      <c r="H48" s="5"/>
      <c r="I48" s="5"/>
      <c r="J48" s="5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9"/>
      <c r="AL48" s="9"/>
      <c r="AM48" s="9"/>
      <c r="AN48" s="9"/>
      <c r="AO48" s="9"/>
      <c r="AP48" s="9"/>
      <c r="AQ48" s="8"/>
      <c r="AR48" s="8"/>
      <c r="AS48" s="8"/>
    </row>
    <row r="49" spans="1:45" s="16" customFormat="1" x14ac:dyDescent="0.2">
      <c r="A49" s="10"/>
      <c r="H49" s="5"/>
      <c r="I49" s="5"/>
      <c r="J49" s="5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9"/>
      <c r="AL49" s="9"/>
      <c r="AM49" s="9"/>
      <c r="AN49" s="9"/>
      <c r="AO49" s="9"/>
      <c r="AP49" s="9"/>
      <c r="AQ49" s="8"/>
      <c r="AR49" s="8"/>
      <c r="AS49" s="8"/>
    </row>
    <row r="50" spans="1:45" s="16" customFormat="1" x14ac:dyDescent="0.2">
      <c r="A50" s="10"/>
      <c r="H50" s="5"/>
      <c r="I50" s="5"/>
      <c r="J50" s="5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9"/>
      <c r="AL50" s="9"/>
      <c r="AM50" s="9"/>
      <c r="AN50" s="9"/>
      <c r="AO50" s="9"/>
      <c r="AP50" s="9"/>
      <c r="AQ50" s="8"/>
      <c r="AR50" s="8"/>
      <c r="AS50" s="8"/>
    </row>
    <row r="51" spans="1:45" s="16" customFormat="1" x14ac:dyDescent="0.2">
      <c r="A51" s="10"/>
      <c r="H51" s="5"/>
      <c r="I51" s="5"/>
      <c r="J51" s="5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9"/>
      <c r="AL51" s="9"/>
      <c r="AM51" s="9"/>
      <c r="AN51" s="9"/>
      <c r="AO51" s="9"/>
      <c r="AP51" s="9"/>
      <c r="AQ51" s="8"/>
      <c r="AR51" s="8"/>
      <c r="AS51" s="8"/>
    </row>
    <row r="52" spans="1:45" s="16" customFormat="1" x14ac:dyDescent="0.2">
      <c r="A52" s="10"/>
      <c r="H52" s="5"/>
      <c r="I52" s="5"/>
      <c r="J52" s="5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9"/>
      <c r="AL52" s="9"/>
      <c r="AM52" s="9"/>
      <c r="AN52" s="9"/>
      <c r="AO52" s="9"/>
      <c r="AP52" s="9"/>
      <c r="AQ52" s="8"/>
      <c r="AR52" s="8"/>
      <c r="AS52" s="8"/>
    </row>
    <row r="53" spans="1:45" s="16" customFormat="1" x14ac:dyDescent="0.2">
      <c r="A53" s="10"/>
      <c r="H53" s="5"/>
      <c r="I53" s="5"/>
      <c r="J53" s="5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9"/>
      <c r="AL53" s="9"/>
      <c r="AM53" s="9"/>
      <c r="AN53" s="9"/>
      <c r="AO53" s="9"/>
      <c r="AP53" s="9"/>
      <c r="AQ53" s="8"/>
      <c r="AR53" s="8"/>
      <c r="AS53" s="8"/>
    </row>
    <row r="54" spans="1:45" s="16" customFormat="1" x14ac:dyDescent="0.2">
      <c r="A54" s="10"/>
      <c r="H54" s="5"/>
      <c r="I54" s="5"/>
      <c r="J54" s="5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9"/>
      <c r="AL54" s="9"/>
      <c r="AM54" s="9"/>
      <c r="AN54" s="9"/>
      <c r="AO54" s="9"/>
      <c r="AP54" s="9"/>
      <c r="AQ54" s="8"/>
      <c r="AR54" s="8"/>
      <c r="AS54" s="8"/>
    </row>
    <row r="55" spans="1:45" s="16" customFormat="1" x14ac:dyDescent="0.2">
      <c r="A55" s="10"/>
      <c r="H55" s="5"/>
      <c r="I55" s="5"/>
      <c r="J55" s="5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9"/>
      <c r="AL55" s="9"/>
      <c r="AM55" s="9"/>
      <c r="AN55" s="9"/>
      <c r="AO55" s="9"/>
      <c r="AP55" s="9"/>
      <c r="AQ55" s="8"/>
      <c r="AR55" s="8"/>
      <c r="AS55" s="8"/>
    </row>
    <row r="56" spans="1:45" s="16" customFormat="1" x14ac:dyDescent="0.2">
      <c r="A56" s="10"/>
      <c r="H56" s="5"/>
      <c r="I56" s="5"/>
      <c r="J56" s="5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9"/>
      <c r="AL56" s="9"/>
      <c r="AM56" s="9"/>
      <c r="AN56" s="9"/>
      <c r="AO56" s="9"/>
      <c r="AP56" s="9"/>
      <c r="AQ56" s="8"/>
      <c r="AR56" s="8"/>
      <c r="AS56" s="8"/>
    </row>
    <row r="57" spans="1:45" s="16" customFormat="1" x14ac:dyDescent="0.2">
      <c r="A57" s="10"/>
      <c r="H57" s="5"/>
      <c r="I57" s="5"/>
      <c r="J57" s="5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9"/>
      <c r="AL57" s="9"/>
      <c r="AM57" s="9"/>
      <c r="AN57" s="9"/>
      <c r="AO57" s="9"/>
      <c r="AP57" s="9"/>
      <c r="AQ57" s="8"/>
      <c r="AR57" s="8"/>
      <c r="AS57" s="8"/>
    </row>
    <row r="58" spans="1:45" s="16" customFormat="1" x14ac:dyDescent="0.2">
      <c r="A58" s="10"/>
      <c r="H58" s="5"/>
      <c r="I58" s="5"/>
      <c r="J58" s="5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9"/>
      <c r="AL58" s="9"/>
      <c r="AM58" s="9"/>
      <c r="AN58" s="9"/>
      <c r="AO58" s="9"/>
      <c r="AP58" s="9"/>
      <c r="AQ58" s="8"/>
      <c r="AR58" s="8"/>
      <c r="AS58" s="8"/>
    </row>
    <row r="59" spans="1:45" s="16" customFormat="1" x14ac:dyDescent="0.2">
      <c r="A59" s="10"/>
      <c r="H59" s="5"/>
      <c r="I59" s="5"/>
      <c r="J59" s="5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9"/>
      <c r="AL59" s="9"/>
      <c r="AM59" s="9"/>
      <c r="AN59" s="9"/>
      <c r="AO59" s="9"/>
      <c r="AP59" s="9"/>
      <c r="AQ59" s="8"/>
      <c r="AR59" s="8"/>
      <c r="AS59" s="8"/>
    </row>
    <row r="60" spans="1:45" s="16" customFormat="1" x14ac:dyDescent="0.2">
      <c r="A60" s="10"/>
      <c r="H60" s="5"/>
      <c r="I60" s="5"/>
      <c r="J60" s="5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9"/>
      <c r="AL60" s="9"/>
      <c r="AM60" s="9"/>
      <c r="AN60" s="9"/>
      <c r="AO60" s="9"/>
      <c r="AP60" s="9"/>
      <c r="AQ60" s="8"/>
      <c r="AR60" s="8"/>
      <c r="AS60" s="8"/>
    </row>
    <row r="61" spans="1:45" s="16" customFormat="1" x14ac:dyDescent="0.2">
      <c r="A61" s="10"/>
      <c r="H61" s="5"/>
      <c r="I61" s="5"/>
      <c r="J61" s="5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9"/>
      <c r="AL61" s="9"/>
      <c r="AM61" s="9"/>
      <c r="AN61" s="9"/>
      <c r="AO61" s="9"/>
      <c r="AP61" s="9"/>
      <c r="AQ61" s="8"/>
      <c r="AR61" s="8"/>
      <c r="AS61" s="8"/>
    </row>
    <row r="62" spans="1:45" s="16" customFormat="1" x14ac:dyDescent="0.2">
      <c r="A62" s="10"/>
      <c r="H62" s="5"/>
      <c r="I62" s="5"/>
      <c r="J62" s="5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9"/>
      <c r="AL62" s="9"/>
      <c r="AM62" s="9"/>
      <c r="AN62" s="9"/>
      <c r="AO62" s="9"/>
      <c r="AP62" s="9"/>
      <c r="AQ62" s="8"/>
      <c r="AR62" s="8"/>
      <c r="AS62" s="8"/>
    </row>
    <row r="63" spans="1:45" s="16" customFormat="1" x14ac:dyDescent="0.2">
      <c r="A63" s="10"/>
      <c r="H63" s="5"/>
      <c r="I63" s="5"/>
      <c r="J63" s="5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9"/>
      <c r="AL63" s="9"/>
      <c r="AM63" s="9"/>
      <c r="AN63" s="9"/>
      <c r="AO63" s="9"/>
      <c r="AP63" s="9"/>
      <c r="AQ63" s="8"/>
      <c r="AR63" s="8"/>
      <c r="AS63" s="8"/>
    </row>
    <row r="64" spans="1:45" s="16" customFormat="1" x14ac:dyDescent="0.2">
      <c r="A64" s="10"/>
      <c r="H64" s="5"/>
      <c r="I64" s="5"/>
      <c r="J64" s="5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9"/>
      <c r="AL64" s="9"/>
      <c r="AM64" s="9"/>
      <c r="AN64" s="9"/>
      <c r="AO64" s="9"/>
      <c r="AP64" s="9"/>
      <c r="AQ64" s="8"/>
      <c r="AR64" s="8"/>
      <c r="AS64" s="8"/>
    </row>
    <row r="65" spans="1:45" s="16" customFormat="1" x14ac:dyDescent="0.2">
      <c r="A65" s="10"/>
      <c r="H65" s="5"/>
      <c r="I65" s="5"/>
      <c r="J65" s="5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9"/>
      <c r="AL65" s="9"/>
      <c r="AM65" s="9"/>
      <c r="AN65" s="9"/>
      <c r="AO65" s="9"/>
      <c r="AP65" s="9"/>
      <c r="AQ65" s="8"/>
      <c r="AR65" s="8"/>
      <c r="AS65" s="8"/>
    </row>
    <row r="66" spans="1:45" s="16" customFormat="1" x14ac:dyDescent="0.2">
      <c r="A66" s="10"/>
      <c r="H66" s="5"/>
      <c r="I66" s="5"/>
      <c r="J66" s="5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9"/>
      <c r="AL66" s="9"/>
      <c r="AM66" s="9"/>
      <c r="AN66" s="9"/>
      <c r="AO66" s="9"/>
      <c r="AP66" s="9"/>
      <c r="AQ66" s="8"/>
      <c r="AR66" s="8"/>
      <c r="AS66" s="8"/>
    </row>
    <row r="67" spans="1:45" s="16" customFormat="1" x14ac:dyDescent="0.2">
      <c r="A67" s="10"/>
      <c r="H67" s="5"/>
      <c r="I67" s="5"/>
      <c r="J67" s="5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9"/>
      <c r="AL67" s="9"/>
      <c r="AM67" s="9"/>
      <c r="AN67" s="9"/>
      <c r="AO67" s="9"/>
      <c r="AP67" s="9"/>
      <c r="AQ67" s="8"/>
      <c r="AR67" s="8"/>
      <c r="AS67" s="8"/>
    </row>
    <row r="68" spans="1:45" s="16" customFormat="1" x14ac:dyDescent="0.2">
      <c r="A68" s="10"/>
      <c r="H68" s="5"/>
      <c r="I68" s="5"/>
      <c r="J68" s="5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9"/>
      <c r="AL68" s="9"/>
      <c r="AM68" s="9"/>
      <c r="AN68" s="9"/>
      <c r="AO68" s="9"/>
      <c r="AP68" s="9"/>
      <c r="AQ68" s="8"/>
      <c r="AR68" s="8"/>
      <c r="AS68" s="8"/>
    </row>
    <row r="69" spans="1:45" s="16" customFormat="1" x14ac:dyDescent="0.2">
      <c r="A69" s="10"/>
      <c r="H69" s="5"/>
      <c r="I69" s="5"/>
      <c r="J69" s="5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9"/>
      <c r="AL69" s="9"/>
      <c r="AM69" s="9"/>
      <c r="AN69" s="9"/>
      <c r="AO69" s="9"/>
      <c r="AP69" s="9"/>
      <c r="AQ69" s="8"/>
      <c r="AR69" s="8"/>
      <c r="AS69" s="8"/>
    </row>
    <row r="70" spans="1:45" s="16" customFormat="1" x14ac:dyDescent="0.2">
      <c r="A70" s="10"/>
      <c r="H70" s="5"/>
      <c r="I70" s="5"/>
      <c r="J70" s="5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9"/>
      <c r="AL70" s="9"/>
      <c r="AM70" s="9"/>
      <c r="AN70" s="9"/>
      <c r="AO70" s="9"/>
      <c r="AP70" s="9"/>
      <c r="AQ70" s="8"/>
      <c r="AR70" s="8"/>
      <c r="AS70" s="8"/>
    </row>
    <row r="71" spans="1:45" s="16" customFormat="1" x14ac:dyDescent="0.2">
      <c r="A71" s="10"/>
      <c r="H71" s="5"/>
      <c r="I71" s="5"/>
      <c r="J71" s="5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9"/>
      <c r="AL71" s="9"/>
      <c r="AM71" s="9"/>
      <c r="AN71" s="9"/>
      <c r="AO71" s="9"/>
      <c r="AP71" s="9"/>
      <c r="AQ71" s="8"/>
      <c r="AR71" s="8"/>
      <c r="AS71" s="8"/>
    </row>
    <row r="72" spans="1:45" s="16" customFormat="1" x14ac:dyDescent="0.2">
      <c r="A72" s="10"/>
      <c r="H72" s="5"/>
      <c r="I72" s="5"/>
      <c r="J72" s="5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9"/>
      <c r="AL72" s="9"/>
      <c r="AM72" s="9"/>
      <c r="AN72" s="9"/>
      <c r="AO72" s="9"/>
      <c r="AP72" s="9"/>
      <c r="AQ72" s="8"/>
      <c r="AR72" s="8"/>
      <c r="AS72" s="8"/>
    </row>
    <row r="73" spans="1:45" s="16" customFormat="1" x14ac:dyDescent="0.2">
      <c r="A73" s="10"/>
      <c r="H73" s="5"/>
      <c r="I73" s="5"/>
      <c r="J73" s="5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9"/>
      <c r="AL73" s="9"/>
      <c r="AM73" s="9"/>
      <c r="AN73" s="9"/>
      <c r="AO73" s="9"/>
      <c r="AP73" s="9"/>
      <c r="AQ73" s="8"/>
      <c r="AR73" s="8"/>
      <c r="AS73" s="8"/>
    </row>
    <row r="74" spans="1:45" s="16" customFormat="1" x14ac:dyDescent="0.2">
      <c r="A74" s="10"/>
      <c r="H74" s="5"/>
      <c r="I74" s="5"/>
      <c r="J74" s="5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9"/>
      <c r="AL74" s="9"/>
      <c r="AM74" s="9"/>
      <c r="AN74" s="9"/>
      <c r="AO74" s="9"/>
      <c r="AP74" s="9"/>
      <c r="AQ74" s="8"/>
      <c r="AR74" s="8"/>
      <c r="AS74" s="8"/>
    </row>
    <row r="75" spans="1:45" s="16" customFormat="1" x14ac:dyDescent="0.2">
      <c r="A75" s="10"/>
      <c r="H75" s="5"/>
      <c r="I75" s="5"/>
      <c r="J75" s="5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9"/>
      <c r="AL75" s="9"/>
      <c r="AM75" s="9"/>
      <c r="AN75" s="9"/>
      <c r="AO75" s="9"/>
      <c r="AP75" s="9"/>
      <c r="AQ75" s="8"/>
      <c r="AR75" s="8"/>
      <c r="AS75" s="8"/>
    </row>
    <row r="76" spans="1:45" s="16" customFormat="1" x14ac:dyDescent="0.2">
      <c r="A76" s="10"/>
      <c r="H76" s="5"/>
      <c r="I76" s="5"/>
      <c r="J76" s="5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9"/>
      <c r="AL76" s="9"/>
      <c r="AM76" s="9"/>
      <c r="AN76" s="9"/>
      <c r="AO76" s="9"/>
      <c r="AP76" s="9"/>
      <c r="AQ76" s="8"/>
      <c r="AR76" s="8"/>
      <c r="AS76" s="8"/>
    </row>
    <row r="77" spans="1:45" s="16" customFormat="1" x14ac:dyDescent="0.2">
      <c r="A77" s="10"/>
      <c r="H77" s="5"/>
      <c r="I77" s="5"/>
      <c r="J77" s="5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9"/>
      <c r="AL77" s="9"/>
      <c r="AM77" s="9"/>
      <c r="AN77" s="9"/>
      <c r="AO77" s="9"/>
      <c r="AP77" s="9"/>
      <c r="AQ77" s="8"/>
      <c r="AR77" s="8"/>
      <c r="AS77" s="8"/>
    </row>
    <row r="78" spans="1:45" s="16" customFormat="1" x14ac:dyDescent="0.2">
      <c r="A78" s="10"/>
      <c r="H78" s="5"/>
      <c r="I78" s="5"/>
      <c r="J78" s="5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9"/>
      <c r="AL78" s="9"/>
      <c r="AM78" s="9"/>
      <c r="AN78" s="9"/>
      <c r="AO78" s="9"/>
      <c r="AP78" s="9"/>
      <c r="AQ78" s="8"/>
      <c r="AR78" s="8"/>
      <c r="AS78" s="8"/>
    </row>
    <row r="79" spans="1:45" s="16" customFormat="1" x14ac:dyDescent="0.2">
      <c r="A79" s="10"/>
      <c r="H79" s="5"/>
      <c r="I79" s="5"/>
      <c r="J79" s="5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9"/>
      <c r="AL79" s="9"/>
      <c r="AM79" s="9"/>
      <c r="AN79" s="9"/>
      <c r="AO79" s="9"/>
      <c r="AP79" s="9"/>
      <c r="AQ79" s="8"/>
      <c r="AR79" s="8"/>
      <c r="AS79" s="8"/>
    </row>
    <row r="80" spans="1:45" s="16" customFormat="1" x14ac:dyDescent="0.2">
      <c r="A80" s="10"/>
      <c r="H80" s="5"/>
      <c r="I80" s="5"/>
      <c r="J80" s="5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9"/>
      <c r="AL80" s="9"/>
      <c r="AM80" s="9"/>
      <c r="AN80" s="9"/>
      <c r="AO80" s="9"/>
      <c r="AP80" s="9"/>
      <c r="AQ80" s="8"/>
      <c r="AR80" s="8"/>
      <c r="AS80" s="8"/>
    </row>
    <row r="81" spans="1:45" s="16" customFormat="1" x14ac:dyDescent="0.2">
      <c r="A81" s="10"/>
      <c r="H81" s="5"/>
      <c r="I81" s="5"/>
      <c r="J81" s="5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9"/>
      <c r="AL81" s="9"/>
      <c r="AM81" s="9"/>
      <c r="AN81" s="9"/>
      <c r="AO81" s="9"/>
      <c r="AP81" s="9"/>
      <c r="AQ81" s="8"/>
      <c r="AR81" s="8"/>
      <c r="AS81" s="8"/>
    </row>
    <row r="82" spans="1:45" s="16" customFormat="1" x14ac:dyDescent="0.2">
      <c r="A82" s="10"/>
      <c r="H82" s="5"/>
      <c r="I82" s="5"/>
      <c r="J82" s="5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9"/>
      <c r="AL82" s="9"/>
      <c r="AM82" s="9"/>
      <c r="AN82" s="9"/>
      <c r="AO82" s="9"/>
      <c r="AP82" s="9"/>
      <c r="AQ82" s="8"/>
      <c r="AR82" s="8"/>
      <c r="AS82" s="8"/>
    </row>
    <row r="83" spans="1:45" s="16" customFormat="1" x14ac:dyDescent="0.2">
      <c r="A83" s="10"/>
      <c r="H83" s="5"/>
      <c r="I83" s="5"/>
      <c r="J83" s="5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9"/>
      <c r="AL83" s="9"/>
      <c r="AM83" s="9"/>
      <c r="AN83" s="9"/>
      <c r="AO83" s="9"/>
      <c r="AP83" s="9"/>
      <c r="AQ83" s="8"/>
      <c r="AR83" s="8"/>
      <c r="AS83" s="8"/>
    </row>
    <row r="84" spans="1:45" s="16" customFormat="1" x14ac:dyDescent="0.2">
      <c r="A84" s="10"/>
      <c r="H84" s="5"/>
      <c r="I84" s="5"/>
      <c r="J84" s="5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9"/>
      <c r="AL84" s="9"/>
      <c r="AM84" s="9"/>
      <c r="AN84" s="9"/>
      <c r="AO84" s="9"/>
      <c r="AP84" s="9"/>
      <c r="AQ84" s="8"/>
      <c r="AR84" s="8"/>
      <c r="AS84" s="8"/>
    </row>
    <row r="85" spans="1:45" s="16" customFormat="1" x14ac:dyDescent="0.2">
      <c r="A85" s="10"/>
      <c r="H85" s="5"/>
      <c r="I85" s="5"/>
      <c r="J85" s="5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9"/>
      <c r="AL85" s="9"/>
      <c r="AM85" s="9"/>
      <c r="AN85" s="9"/>
      <c r="AO85" s="9"/>
      <c r="AP85" s="9"/>
      <c r="AQ85" s="8"/>
      <c r="AR85" s="8"/>
      <c r="AS85" s="8"/>
    </row>
    <row r="86" spans="1:45" s="16" customFormat="1" x14ac:dyDescent="0.2">
      <c r="A86" s="10"/>
      <c r="H86" s="5"/>
      <c r="I86" s="5"/>
      <c r="J86" s="5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9"/>
      <c r="AL86" s="9"/>
      <c r="AM86" s="9"/>
      <c r="AN86" s="9"/>
      <c r="AO86" s="9"/>
      <c r="AP86" s="9"/>
      <c r="AQ86" s="8"/>
      <c r="AR86" s="8"/>
      <c r="AS86" s="8"/>
    </row>
    <row r="87" spans="1:45" s="16" customFormat="1" x14ac:dyDescent="0.2">
      <c r="A87" s="10"/>
      <c r="H87" s="5"/>
      <c r="I87" s="5"/>
      <c r="J87" s="5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9"/>
      <c r="AL87" s="9"/>
      <c r="AM87" s="9"/>
      <c r="AN87" s="9"/>
      <c r="AO87" s="9"/>
      <c r="AP87" s="9"/>
      <c r="AQ87" s="8"/>
      <c r="AR87" s="8"/>
      <c r="AS87" s="8"/>
    </row>
    <row r="88" spans="1:45" s="16" customFormat="1" x14ac:dyDescent="0.2">
      <c r="A88" s="10"/>
      <c r="H88" s="5"/>
      <c r="I88" s="5"/>
      <c r="J88" s="5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9"/>
      <c r="AL88" s="9"/>
      <c r="AM88" s="9"/>
      <c r="AN88" s="9"/>
      <c r="AO88" s="9"/>
      <c r="AP88" s="9"/>
      <c r="AQ88" s="8"/>
      <c r="AR88" s="8"/>
      <c r="AS88" s="8"/>
    </row>
    <row r="89" spans="1:45" s="16" customFormat="1" x14ac:dyDescent="0.2">
      <c r="A89" s="10"/>
      <c r="H89" s="5"/>
      <c r="I89" s="5"/>
      <c r="J89" s="5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9"/>
      <c r="AL89" s="9"/>
      <c r="AM89" s="9"/>
      <c r="AN89" s="9"/>
      <c r="AO89" s="9"/>
      <c r="AP89" s="9"/>
      <c r="AQ89" s="8"/>
      <c r="AR89" s="8"/>
      <c r="AS89" s="8"/>
    </row>
    <row r="90" spans="1:45" s="16" customFormat="1" x14ac:dyDescent="0.2">
      <c r="A90" s="10"/>
      <c r="H90" s="5"/>
      <c r="I90" s="5"/>
      <c r="J90" s="5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9"/>
      <c r="AL90" s="9"/>
      <c r="AM90" s="9"/>
      <c r="AN90" s="9"/>
      <c r="AO90" s="9"/>
      <c r="AP90" s="9"/>
      <c r="AQ90" s="8"/>
      <c r="AR90" s="8"/>
      <c r="AS90" s="8"/>
    </row>
    <row r="91" spans="1:45" s="16" customFormat="1" x14ac:dyDescent="0.2">
      <c r="A91" s="10"/>
      <c r="H91" s="5"/>
      <c r="I91" s="5"/>
      <c r="J91" s="5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9"/>
      <c r="AL91" s="9"/>
      <c r="AM91" s="9"/>
      <c r="AN91" s="9"/>
      <c r="AO91" s="9"/>
      <c r="AP91" s="9"/>
      <c r="AQ91" s="8"/>
      <c r="AR91" s="8"/>
      <c r="AS91" s="8"/>
    </row>
    <row r="92" spans="1:45" s="16" customFormat="1" x14ac:dyDescent="0.2">
      <c r="A92" s="10"/>
      <c r="H92" s="5"/>
      <c r="I92" s="5"/>
      <c r="J92" s="5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9"/>
      <c r="AL92" s="9"/>
      <c r="AM92" s="9"/>
      <c r="AN92" s="9"/>
      <c r="AO92" s="9"/>
      <c r="AP92" s="9"/>
      <c r="AQ92" s="8"/>
      <c r="AR92" s="8"/>
      <c r="AS92" s="8"/>
    </row>
    <row r="93" spans="1:45" s="16" customFormat="1" x14ac:dyDescent="0.2">
      <c r="A93" s="10"/>
      <c r="H93" s="5"/>
      <c r="I93" s="5"/>
      <c r="J93" s="5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9"/>
      <c r="AL93" s="9"/>
      <c r="AM93" s="9"/>
      <c r="AN93" s="9"/>
      <c r="AO93" s="9"/>
      <c r="AP93" s="9"/>
      <c r="AQ93" s="8"/>
      <c r="AR93" s="8"/>
      <c r="AS93" s="8"/>
    </row>
    <row r="94" spans="1:45" s="16" customFormat="1" x14ac:dyDescent="0.2">
      <c r="A94" s="10"/>
      <c r="H94" s="5"/>
      <c r="I94" s="5"/>
      <c r="J94" s="5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9"/>
      <c r="AL94" s="9"/>
      <c r="AM94" s="9"/>
      <c r="AN94" s="9"/>
      <c r="AO94" s="9"/>
      <c r="AP94" s="9"/>
      <c r="AQ94" s="8"/>
      <c r="AR94" s="8"/>
      <c r="AS94" s="8"/>
    </row>
    <row r="95" spans="1:45" s="16" customFormat="1" x14ac:dyDescent="0.2">
      <c r="A95" s="10"/>
      <c r="H95" s="5"/>
      <c r="I95" s="5"/>
      <c r="J95" s="5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9"/>
      <c r="AL95" s="9"/>
      <c r="AM95" s="9"/>
      <c r="AN95" s="9"/>
      <c r="AO95" s="9"/>
      <c r="AP95" s="9"/>
      <c r="AQ95" s="8"/>
      <c r="AR95" s="8"/>
      <c r="AS95" s="8"/>
    </row>
    <row r="96" spans="1:45" s="16" customFormat="1" x14ac:dyDescent="0.2">
      <c r="A96" s="10"/>
      <c r="H96" s="5"/>
      <c r="I96" s="5"/>
      <c r="J96" s="5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9"/>
      <c r="AL96" s="9"/>
      <c r="AM96" s="9"/>
      <c r="AN96" s="9"/>
      <c r="AO96" s="9"/>
      <c r="AP96" s="9"/>
      <c r="AQ96" s="8"/>
      <c r="AR96" s="8"/>
      <c r="AS96" s="8"/>
    </row>
    <row r="97" spans="1:45" s="16" customFormat="1" x14ac:dyDescent="0.2">
      <c r="A97" s="10"/>
      <c r="H97" s="5"/>
      <c r="I97" s="5"/>
      <c r="J97" s="5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9"/>
      <c r="AL97" s="9"/>
      <c r="AM97" s="9"/>
      <c r="AN97" s="9"/>
      <c r="AO97" s="9"/>
      <c r="AP97" s="9"/>
      <c r="AQ97" s="8"/>
      <c r="AR97" s="8"/>
      <c r="AS97" s="8"/>
    </row>
    <row r="98" spans="1:45" s="16" customFormat="1" x14ac:dyDescent="0.2">
      <c r="A98" s="10"/>
      <c r="H98" s="5"/>
      <c r="I98" s="5"/>
      <c r="J98" s="5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9"/>
      <c r="AL98" s="9"/>
      <c r="AM98" s="9"/>
      <c r="AN98" s="9"/>
      <c r="AO98" s="9"/>
      <c r="AP98" s="9"/>
      <c r="AQ98" s="8"/>
      <c r="AR98" s="8"/>
      <c r="AS98" s="8"/>
    </row>
    <row r="99" spans="1:45" s="16" customFormat="1" x14ac:dyDescent="0.2">
      <c r="A99" s="10"/>
      <c r="H99" s="5"/>
      <c r="I99" s="5"/>
      <c r="J99" s="5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9"/>
      <c r="AL99" s="9"/>
      <c r="AM99" s="9"/>
      <c r="AN99" s="9"/>
      <c r="AO99" s="9"/>
      <c r="AP99" s="9"/>
      <c r="AQ99" s="8"/>
      <c r="AR99" s="8"/>
      <c r="AS99" s="8"/>
    </row>
    <row r="100" spans="1:45" s="16" customFormat="1" x14ac:dyDescent="0.2">
      <c r="A100" s="10"/>
      <c r="H100" s="5"/>
      <c r="I100" s="5"/>
      <c r="J100" s="5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9"/>
      <c r="AL100" s="9"/>
      <c r="AM100" s="9"/>
      <c r="AN100" s="9"/>
      <c r="AO100" s="9"/>
      <c r="AP100" s="9"/>
      <c r="AQ100" s="8"/>
      <c r="AR100" s="8"/>
      <c r="AS100" s="8"/>
    </row>
    <row r="101" spans="1:45" s="16" customFormat="1" x14ac:dyDescent="0.2">
      <c r="A101" s="10"/>
      <c r="H101" s="5"/>
      <c r="I101" s="5"/>
      <c r="J101" s="5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9"/>
      <c r="AL101" s="9"/>
      <c r="AM101" s="9"/>
      <c r="AN101" s="9"/>
      <c r="AO101" s="9"/>
      <c r="AP101" s="9"/>
      <c r="AQ101" s="8"/>
      <c r="AR101" s="8"/>
      <c r="AS101" s="8"/>
    </row>
    <row r="102" spans="1:45" s="16" customFormat="1" x14ac:dyDescent="0.2">
      <c r="A102" s="10"/>
      <c r="H102" s="5"/>
      <c r="I102" s="5"/>
      <c r="J102" s="5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9"/>
      <c r="AL102" s="9"/>
      <c r="AM102" s="9"/>
      <c r="AN102" s="9"/>
      <c r="AO102" s="9"/>
      <c r="AP102" s="9"/>
      <c r="AQ102" s="8"/>
      <c r="AR102" s="8"/>
      <c r="AS102" s="8"/>
    </row>
    <row r="103" spans="1:45" s="16" customFormat="1" x14ac:dyDescent="0.2">
      <c r="A103" s="10"/>
      <c r="H103" s="5"/>
      <c r="I103" s="5"/>
      <c r="J103" s="5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9"/>
      <c r="AL103" s="9"/>
      <c r="AM103" s="9"/>
      <c r="AN103" s="9"/>
      <c r="AO103" s="9"/>
      <c r="AP103" s="9"/>
      <c r="AQ103" s="8"/>
      <c r="AR103" s="8"/>
      <c r="AS103" s="8"/>
    </row>
    <row r="104" spans="1:45" s="16" customFormat="1" x14ac:dyDescent="0.2">
      <c r="A104" s="10"/>
      <c r="H104" s="5"/>
      <c r="I104" s="5"/>
      <c r="J104" s="5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9"/>
      <c r="AL104" s="9"/>
      <c r="AM104" s="9"/>
      <c r="AN104" s="9"/>
      <c r="AO104" s="9"/>
      <c r="AP104" s="9"/>
      <c r="AQ104" s="8"/>
      <c r="AR104" s="8"/>
      <c r="AS104" s="8"/>
    </row>
    <row r="105" spans="1:45" s="16" customFormat="1" x14ac:dyDescent="0.2">
      <c r="A105" s="10"/>
      <c r="H105" s="5"/>
      <c r="I105" s="5"/>
      <c r="J105" s="5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9"/>
      <c r="AL105" s="9"/>
      <c r="AM105" s="9"/>
      <c r="AN105" s="9"/>
      <c r="AO105" s="9"/>
      <c r="AP105" s="9"/>
      <c r="AQ105" s="8"/>
      <c r="AR105" s="8"/>
      <c r="AS105" s="8"/>
    </row>
    <row r="106" spans="1:45" s="16" customFormat="1" x14ac:dyDescent="0.2">
      <c r="A106" s="10"/>
      <c r="H106" s="5"/>
      <c r="I106" s="5"/>
      <c r="J106" s="5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9"/>
      <c r="AL106" s="9"/>
      <c r="AM106" s="9"/>
      <c r="AN106" s="9"/>
      <c r="AO106" s="9"/>
      <c r="AP106" s="9"/>
      <c r="AQ106" s="8"/>
      <c r="AR106" s="8"/>
      <c r="AS106" s="8"/>
    </row>
    <row r="107" spans="1:45" s="16" customFormat="1" x14ac:dyDescent="0.2">
      <c r="A107" s="10"/>
      <c r="H107" s="5"/>
      <c r="I107" s="5"/>
      <c r="J107" s="5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9"/>
      <c r="AL107" s="9"/>
      <c r="AM107" s="9"/>
      <c r="AN107" s="9"/>
      <c r="AO107" s="9"/>
      <c r="AP107" s="9"/>
      <c r="AQ107" s="8"/>
      <c r="AR107" s="8"/>
      <c r="AS107" s="8"/>
    </row>
    <row r="108" spans="1:45" s="16" customFormat="1" x14ac:dyDescent="0.2">
      <c r="A108" s="10"/>
      <c r="H108" s="5"/>
      <c r="I108" s="5"/>
      <c r="J108" s="5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9"/>
      <c r="AL108" s="9"/>
      <c r="AM108" s="9"/>
      <c r="AN108" s="9"/>
      <c r="AO108" s="9"/>
      <c r="AP108" s="9"/>
      <c r="AQ108" s="8"/>
      <c r="AR108" s="8"/>
      <c r="AS108" s="8"/>
    </row>
    <row r="109" spans="1:45" s="16" customFormat="1" x14ac:dyDescent="0.2">
      <c r="A109" s="10"/>
      <c r="H109" s="5"/>
      <c r="I109" s="5"/>
      <c r="J109" s="5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9"/>
      <c r="AL109" s="9"/>
      <c r="AM109" s="9"/>
      <c r="AN109" s="9"/>
      <c r="AO109" s="9"/>
      <c r="AP109" s="9"/>
      <c r="AQ109" s="8"/>
      <c r="AR109" s="8"/>
      <c r="AS109" s="8"/>
    </row>
    <row r="110" spans="1:45" s="16" customFormat="1" x14ac:dyDescent="0.2">
      <c r="A110" s="10"/>
      <c r="H110" s="5"/>
      <c r="I110" s="5"/>
      <c r="J110" s="5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9"/>
      <c r="AL110" s="9"/>
      <c r="AM110" s="9"/>
      <c r="AN110" s="9"/>
      <c r="AO110" s="9"/>
      <c r="AP110" s="9"/>
      <c r="AQ110" s="8"/>
      <c r="AR110" s="8"/>
      <c r="AS110" s="8"/>
    </row>
    <row r="111" spans="1:45" s="16" customFormat="1" x14ac:dyDescent="0.2">
      <c r="A111" s="10"/>
      <c r="H111" s="5"/>
      <c r="I111" s="5"/>
      <c r="J111" s="5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9"/>
      <c r="AL111" s="9"/>
      <c r="AM111" s="9"/>
      <c r="AN111" s="9"/>
      <c r="AO111" s="9"/>
      <c r="AP111" s="9"/>
      <c r="AQ111" s="8"/>
      <c r="AR111" s="8"/>
      <c r="AS111" s="8"/>
    </row>
    <row r="112" spans="1:45" s="16" customFormat="1" x14ac:dyDescent="0.2">
      <c r="A112" s="10"/>
      <c r="H112" s="5"/>
      <c r="I112" s="5"/>
      <c r="J112" s="5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9"/>
      <c r="AL112" s="9"/>
      <c r="AM112" s="9"/>
      <c r="AN112" s="9"/>
      <c r="AO112" s="9"/>
      <c r="AP112" s="9"/>
      <c r="AQ112" s="8"/>
      <c r="AR112" s="8"/>
      <c r="AS112" s="8"/>
    </row>
    <row r="113" spans="1:45" s="16" customFormat="1" x14ac:dyDescent="0.2">
      <c r="A113" s="10"/>
      <c r="H113" s="5"/>
      <c r="I113" s="5"/>
      <c r="J113" s="5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9"/>
      <c r="AL113" s="9"/>
      <c r="AM113" s="9"/>
      <c r="AN113" s="9"/>
      <c r="AO113" s="9"/>
      <c r="AP113" s="9"/>
      <c r="AQ113" s="8"/>
      <c r="AR113" s="8"/>
      <c r="AS113" s="8"/>
    </row>
    <row r="114" spans="1:45" s="16" customFormat="1" x14ac:dyDescent="0.2">
      <c r="A114" s="10"/>
      <c r="H114" s="5"/>
      <c r="I114" s="5"/>
      <c r="J114" s="5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9"/>
      <c r="AL114" s="9"/>
      <c r="AM114" s="9"/>
      <c r="AN114" s="9"/>
      <c r="AO114" s="9"/>
      <c r="AP114" s="9"/>
      <c r="AQ114" s="8"/>
      <c r="AR114" s="8"/>
      <c r="AS114" s="8"/>
    </row>
    <row r="115" spans="1:45" s="16" customFormat="1" x14ac:dyDescent="0.2">
      <c r="A115" s="10"/>
      <c r="H115" s="5"/>
      <c r="I115" s="5"/>
      <c r="J115" s="5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9"/>
      <c r="AL115" s="9"/>
      <c r="AM115" s="9"/>
      <c r="AN115" s="9"/>
      <c r="AO115" s="9"/>
      <c r="AP115" s="9"/>
      <c r="AQ115" s="8"/>
      <c r="AR115" s="8"/>
      <c r="AS115" s="8"/>
    </row>
    <row r="116" spans="1:45" s="16" customFormat="1" x14ac:dyDescent="0.2">
      <c r="A116" s="10"/>
      <c r="H116" s="5"/>
      <c r="I116" s="5"/>
      <c r="J116" s="5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9"/>
      <c r="AL116" s="9"/>
      <c r="AM116" s="9"/>
      <c r="AN116" s="9"/>
      <c r="AO116" s="9"/>
      <c r="AP116" s="9"/>
      <c r="AQ116" s="8"/>
      <c r="AR116" s="8"/>
      <c r="AS116" s="8"/>
    </row>
    <row r="117" spans="1:45" s="16" customFormat="1" x14ac:dyDescent="0.2">
      <c r="A117" s="10"/>
      <c r="H117" s="5"/>
      <c r="I117" s="5"/>
      <c r="J117" s="5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9"/>
      <c r="AL117" s="9"/>
      <c r="AM117" s="9"/>
      <c r="AN117" s="9"/>
      <c r="AO117" s="9"/>
      <c r="AP117" s="9"/>
      <c r="AQ117" s="8"/>
      <c r="AR117" s="8"/>
      <c r="AS117" s="8"/>
    </row>
    <row r="118" spans="1:45" s="16" customFormat="1" x14ac:dyDescent="0.2">
      <c r="A118" s="10"/>
      <c r="H118" s="5"/>
      <c r="I118" s="5"/>
      <c r="J118" s="5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9"/>
      <c r="AL118" s="9"/>
      <c r="AM118" s="9"/>
      <c r="AN118" s="9"/>
      <c r="AO118" s="9"/>
      <c r="AP118" s="9"/>
      <c r="AQ118" s="8"/>
      <c r="AR118" s="8"/>
      <c r="AS118" s="8"/>
    </row>
    <row r="119" spans="1:45" s="16" customFormat="1" x14ac:dyDescent="0.2">
      <c r="A119" s="10"/>
      <c r="H119" s="5"/>
      <c r="I119" s="5"/>
      <c r="J119" s="5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9"/>
      <c r="AL119" s="9"/>
      <c r="AM119" s="9"/>
      <c r="AN119" s="9"/>
      <c r="AO119" s="9"/>
      <c r="AP119" s="9"/>
      <c r="AQ119" s="8"/>
      <c r="AR119" s="8"/>
      <c r="AS119" s="8"/>
    </row>
    <row r="120" spans="1:45" s="16" customFormat="1" x14ac:dyDescent="0.2">
      <c r="A120" s="10"/>
      <c r="H120" s="5"/>
      <c r="I120" s="5"/>
      <c r="J120" s="5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9"/>
      <c r="AL120" s="9"/>
      <c r="AM120" s="9"/>
      <c r="AN120" s="9"/>
      <c r="AO120" s="9"/>
      <c r="AP120" s="9"/>
      <c r="AQ120" s="8"/>
      <c r="AR120" s="8"/>
      <c r="AS120" s="8"/>
    </row>
    <row r="121" spans="1:45" s="16" customFormat="1" x14ac:dyDescent="0.2">
      <c r="A121" s="10"/>
      <c r="H121" s="5"/>
      <c r="I121" s="5"/>
      <c r="J121" s="5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9"/>
      <c r="AL121" s="9"/>
      <c r="AM121" s="9"/>
      <c r="AN121" s="9"/>
      <c r="AO121" s="9"/>
      <c r="AP121" s="9"/>
      <c r="AQ121" s="8"/>
      <c r="AR121" s="8"/>
      <c r="AS121" s="8"/>
    </row>
    <row r="122" spans="1:45" s="16" customFormat="1" x14ac:dyDescent="0.2">
      <c r="A122" s="10"/>
      <c r="H122" s="5"/>
      <c r="I122" s="5"/>
      <c r="J122" s="5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9"/>
      <c r="AL122" s="9"/>
      <c r="AM122" s="9"/>
      <c r="AN122" s="9"/>
      <c r="AO122" s="9"/>
      <c r="AP122" s="9"/>
      <c r="AQ122" s="8"/>
      <c r="AR122" s="8"/>
      <c r="AS122" s="8"/>
    </row>
    <row r="123" spans="1:45" s="16" customFormat="1" x14ac:dyDescent="0.2">
      <c r="A123" s="10"/>
      <c r="H123" s="5"/>
      <c r="I123" s="5"/>
      <c r="J123" s="5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9"/>
      <c r="AL123" s="9"/>
      <c r="AM123" s="9"/>
      <c r="AN123" s="9"/>
      <c r="AO123" s="9"/>
      <c r="AP123" s="9"/>
      <c r="AQ123" s="8"/>
      <c r="AR123" s="8"/>
      <c r="AS123" s="8"/>
    </row>
    <row r="124" spans="1:45" s="16" customFormat="1" x14ac:dyDescent="0.2">
      <c r="A124" s="10"/>
      <c r="H124" s="5"/>
      <c r="I124" s="5"/>
      <c r="J124" s="5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9"/>
      <c r="AL124" s="9"/>
      <c r="AM124" s="9"/>
      <c r="AN124" s="9"/>
      <c r="AO124" s="9"/>
      <c r="AP124" s="9"/>
      <c r="AQ124" s="8"/>
      <c r="AR124" s="8"/>
      <c r="AS124" s="8"/>
    </row>
    <row r="125" spans="1:45" s="16" customFormat="1" x14ac:dyDescent="0.2">
      <c r="A125" s="10"/>
      <c r="H125" s="5"/>
      <c r="I125" s="5"/>
      <c r="J125" s="5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9"/>
      <c r="AL125" s="9"/>
      <c r="AM125" s="9"/>
      <c r="AN125" s="9"/>
      <c r="AO125" s="9"/>
      <c r="AP125" s="9"/>
      <c r="AQ125" s="8"/>
      <c r="AR125" s="8"/>
      <c r="AS125" s="8"/>
    </row>
    <row r="126" spans="1:45" s="16" customFormat="1" x14ac:dyDescent="0.2">
      <c r="A126" s="10"/>
      <c r="H126" s="5"/>
      <c r="I126" s="5"/>
      <c r="J126" s="5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9"/>
      <c r="AL126" s="9"/>
      <c r="AM126" s="9"/>
      <c r="AN126" s="9"/>
      <c r="AO126" s="9"/>
      <c r="AP126" s="9"/>
      <c r="AQ126" s="8"/>
      <c r="AR126" s="8"/>
      <c r="AS126" s="8"/>
    </row>
    <row r="127" spans="1:45" s="16" customFormat="1" x14ac:dyDescent="0.2">
      <c r="A127" s="10"/>
      <c r="H127" s="5"/>
      <c r="I127" s="5"/>
      <c r="J127" s="5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9"/>
      <c r="AL127" s="9"/>
      <c r="AM127" s="9"/>
      <c r="AN127" s="9"/>
      <c r="AO127" s="9"/>
      <c r="AP127" s="9"/>
      <c r="AQ127" s="8"/>
      <c r="AR127" s="8"/>
      <c r="AS127" s="8"/>
    </row>
    <row r="128" spans="1:45" s="16" customFormat="1" x14ac:dyDescent="0.2">
      <c r="A128" s="10"/>
      <c r="H128" s="5"/>
      <c r="I128" s="5"/>
      <c r="J128" s="5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9"/>
      <c r="AL128" s="9"/>
      <c r="AM128" s="9"/>
      <c r="AN128" s="9"/>
      <c r="AO128" s="9"/>
      <c r="AP128" s="9"/>
      <c r="AQ128" s="8"/>
      <c r="AR128" s="8"/>
      <c r="AS128" s="8"/>
    </row>
    <row r="129" spans="1:45" s="16" customFormat="1" x14ac:dyDescent="0.2">
      <c r="A129" s="10"/>
      <c r="H129" s="5"/>
      <c r="I129" s="5"/>
      <c r="J129" s="5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9"/>
      <c r="AL129" s="9"/>
      <c r="AM129" s="9"/>
      <c r="AN129" s="9"/>
      <c r="AO129" s="9"/>
      <c r="AP129" s="9"/>
      <c r="AQ129" s="8"/>
      <c r="AR129" s="8"/>
      <c r="AS129" s="8"/>
    </row>
    <row r="130" spans="1:45" s="16" customFormat="1" x14ac:dyDescent="0.2">
      <c r="A130" s="10"/>
      <c r="H130" s="5"/>
      <c r="I130" s="5"/>
      <c r="J130" s="5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9"/>
      <c r="AL130" s="9"/>
      <c r="AM130" s="9"/>
      <c r="AN130" s="9"/>
      <c r="AO130" s="9"/>
      <c r="AP130" s="9"/>
      <c r="AQ130" s="8"/>
      <c r="AR130" s="8"/>
      <c r="AS130" s="8"/>
    </row>
    <row r="131" spans="1:45" s="16" customFormat="1" x14ac:dyDescent="0.2">
      <c r="A131" s="10"/>
      <c r="H131" s="5"/>
      <c r="I131" s="5"/>
      <c r="J131" s="5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9"/>
      <c r="AL131" s="9"/>
      <c r="AM131" s="9"/>
      <c r="AN131" s="9"/>
      <c r="AO131" s="9"/>
      <c r="AP131" s="9"/>
      <c r="AQ131" s="8"/>
      <c r="AR131" s="8"/>
      <c r="AS131" s="8"/>
    </row>
    <row r="132" spans="1:45" s="16" customFormat="1" x14ac:dyDescent="0.2">
      <c r="A132" s="10"/>
      <c r="H132" s="5"/>
      <c r="I132" s="5"/>
      <c r="J132" s="5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9"/>
      <c r="AL132" s="9"/>
      <c r="AM132" s="9"/>
      <c r="AN132" s="9"/>
      <c r="AO132" s="9"/>
      <c r="AP132" s="9"/>
      <c r="AQ132" s="8"/>
      <c r="AR132" s="8"/>
      <c r="AS132" s="8"/>
    </row>
    <row r="133" spans="1:45" s="16" customFormat="1" x14ac:dyDescent="0.2">
      <c r="A133" s="10"/>
      <c r="H133" s="5"/>
      <c r="I133" s="5"/>
      <c r="J133" s="5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9"/>
      <c r="AL133" s="9"/>
      <c r="AM133" s="9"/>
      <c r="AN133" s="9"/>
      <c r="AO133" s="9"/>
      <c r="AP133" s="9"/>
      <c r="AQ133" s="8"/>
      <c r="AR133" s="8"/>
      <c r="AS133" s="8"/>
    </row>
    <row r="134" spans="1:45" s="16" customFormat="1" x14ac:dyDescent="0.2">
      <c r="A134" s="10"/>
      <c r="H134" s="5"/>
      <c r="I134" s="5"/>
      <c r="J134" s="5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9"/>
      <c r="AL134" s="9"/>
      <c r="AM134" s="9"/>
      <c r="AN134" s="9"/>
      <c r="AO134" s="9"/>
      <c r="AP134" s="9"/>
      <c r="AQ134" s="8"/>
      <c r="AR134" s="8"/>
      <c r="AS134" s="8"/>
    </row>
    <row r="135" spans="1:45" s="16" customFormat="1" x14ac:dyDescent="0.2">
      <c r="A135" s="10"/>
      <c r="H135" s="5"/>
      <c r="I135" s="5"/>
      <c r="J135" s="5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9"/>
      <c r="AL135" s="9"/>
      <c r="AM135" s="9"/>
      <c r="AN135" s="9"/>
      <c r="AO135" s="9"/>
      <c r="AP135" s="9"/>
      <c r="AQ135" s="8"/>
      <c r="AR135" s="8"/>
      <c r="AS135" s="8"/>
    </row>
    <row r="136" spans="1:45" s="16" customFormat="1" x14ac:dyDescent="0.2">
      <c r="A136" s="10"/>
      <c r="H136" s="5"/>
      <c r="I136" s="5"/>
      <c r="J136" s="5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9"/>
      <c r="AL136" s="9"/>
      <c r="AM136" s="9"/>
      <c r="AN136" s="9"/>
      <c r="AO136" s="9"/>
      <c r="AP136" s="9"/>
      <c r="AQ136" s="8"/>
      <c r="AR136" s="8"/>
      <c r="AS136" s="8"/>
    </row>
    <row r="137" spans="1:45" s="16" customFormat="1" x14ac:dyDescent="0.2">
      <c r="A137" s="10"/>
      <c r="H137" s="5"/>
      <c r="I137" s="5"/>
      <c r="J137" s="5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9"/>
      <c r="AL137" s="9"/>
      <c r="AM137" s="9"/>
      <c r="AN137" s="9"/>
      <c r="AO137" s="9"/>
      <c r="AP137" s="9"/>
      <c r="AQ137" s="8"/>
      <c r="AR137" s="8"/>
      <c r="AS137" s="8"/>
    </row>
    <row r="138" spans="1:45" s="16" customFormat="1" x14ac:dyDescent="0.2">
      <c r="A138" s="10"/>
      <c r="H138" s="5"/>
      <c r="I138" s="5"/>
      <c r="J138" s="5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9"/>
      <c r="AL138" s="9"/>
      <c r="AM138" s="9"/>
      <c r="AN138" s="9"/>
      <c r="AO138" s="9"/>
      <c r="AP138" s="9"/>
      <c r="AQ138" s="8"/>
      <c r="AR138" s="8"/>
      <c r="AS138" s="8"/>
    </row>
    <row r="139" spans="1:45" s="16" customFormat="1" x14ac:dyDescent="0.2">
      <c r="A139" s="10"/>
      <c r="H139" s="5"/>
      <c r="I139" s="5"/>
      <c r="J139" s="5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9"/>
      <c r="AL139" s="9"/>
      <c r="AM139" s="9"/>
      <c r="AN139" s="9"/>
      <c r="AO139" s="9"/>
      <c r="AP139" s="9"/>
      <c r="AQ139" s="8"/>
      <c r="AR139" s="8"/>
      <c r="AS139" s="8"/>
    </row>
    <row r="140" spans="1:45" s="16" customFormat="1" x14ac:dyDescent="0.2">
      <c r="A140" s="10"/>
      <c r="H140" s="5"/>
      <c r="I140" s="5"/>
      <c r="J140" s="5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9"/>
      <c r="AL140" s="9"/>
      <c r="AM140" s="9"/>
      <c r="AN140" s="9"/>
      <c r="AO140" s="9"/>
      <c r="AP140" s="9"/>
      <c r="AQ140" s="8"/>
      <c r="AR140" s="8"/>
      <c r="AS140" s="8"/>
    </row>
    <row r="141" spans="1:45" s="16" customFormat="1" x14ac:dyDescent="0.2">
      <c r="A141" s="10"/>
      <c r="H141" s="5"/>
      <c r="I141" s="5"/>
      <c r="J141" s="5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9"/>
      <c r="AL141" s="9"/>
      <c r="AM141" s="9"/>
      <c r="AN141" s="9"/>
      <c r="AO141" s="9"/>
      <c r="AP141" s="9"/>
      <c r="AQ141" s="8"/>
      <c r="AR141" s="8"/>
      <c r="AS141" s="8"/>
    </row>
    <row r="142" spans="1:45" s="16" customFormat="1" x14ac:dyDescent="0.2">
      <c r="A142" s="10"/>
      <c r="H142" s="5"/>
      <c r="I142" s="5"/>
      <c r="J142" s="5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9"/>
      <c r="AL142" s="9"/>
      <c r="AM142" s="9"/>
      <c r="AN142" s="9"/>
      <c r="AO142" s="9"/>
      <c r="AP142" s="9"/>
      <c r="AQ142" s="8"/>
      <c r="AR142" s="8"/>
      <c r="AS142" s="8"/>
    </row>
    <row r="143" spans="1:45" s="16" customFormat="1" x14ac:dyDescent="0.2">
      <c r="A143" s="10"/>
      <c r="H143" s="5"/>
      <c r="I143" s="5"/>
      <c r="J143" s="5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9"/>
      <c r="AL143" s="9"/>
      <c r="AM143" s="9"/>
      <c r="AN143" s="9"/>
      <c r="AO143" s="9"/>
      <c r="AP143" s="9"/>
      <c r="AQ143" s="8"/>
      <c r="AR143" s="8"/>
      <c r="AS143" s="8"/>
    </row>
    <row r="144" spans="1:45" s="16" customFormat="1" x14ac:dyDescent="0.2">
      <c r="A144" s="10"/>
      <c r="H144" s="5"/>
      <c r="I144" s="5"/>
      <c r="J144" s="5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9"/>
      <c r="AL144" s="9"/>
      <c r="AM144" s="9"/>
      <c r="AN144" s="9"/>
      <c r="AO144" s="9"/>
      <c r="AP144" s="9"/>
      <c r="AQ144" s="8"/>
      <c r="AR144" s="8"/>
      <c r="AS144" s="8"/>
    </row>
    <row r="145" spans="1:45" s="16" customFormat="1" x14ac:dyDescent="0.2">
      <c r="A145" s="10"/>
      <c r="H145" s="5"/>
      <c r="I145" s="5"/>
      <c r="J145" s="5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9"/>
      <c r="AL145" s="9"/>
      <c r="AM145" s="9"/>
      <c r="AN145" s="9"/>
      <c r="AO145" s="9"/>
      <c r="AP145" s="9"/>
      <c r="AQ145" s="8"/>
      <c r="AR145" s="8"/>
      <c r="AS145" s="8"/>
    </row>
  </sheetData>
  <mergeCells count="25">
    <mergeCell ref="A3:J3"/>
    <mergeCell ref="B9:B11"/>
    <mergeCell ref="B7:J8"/>
    <mergeCell ref="K7:AJ7"/>
    <mergeCell ref="C9:G10"/>
    <mergeCell ref="H9:H11"/>
    <mergeCell ref="I9:J10"/>
    <mergeCell ref="AF9:AG10"/>
    <mergeCell ref="AD9:AE10"/>
    <mergeCell ref="AK7:AS8"/>
    <mergeCell ref="K8:O10"/>
    <mergeCell ref="P8:S10"/>
    <mergeCell ref="T8:T11"/>
    <mergeCell ref="U8:U11"/>
    <mergeCell ref="V8:V11"/>
    <mergeCell ref="W8:Y10"/>
    <mergeCell ref="Z8:Z11"/>
    <mergeCell ref="AA8:AJ8"/>
    <mergeCell ref="AH9:AJ10"/>
    <mergeCell ref="AK9:AK11"/>
    <mergeCell ref="AL9:AP10"/>
    <mergeCell ref="AQ9:AQ11"/>
    <mergeCell ref="AR9:AS10"/>
    <mergeCell ref="AA9:AB10"/>
    <mergeCell ref="AC9:AC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850"/>
  <sheetViews>
    <sheetView zoomScaleNormal="100" workbookViewId="0">
      <pane xSplit="8" ySplit="11" topLeftCell="I454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ColWidth="9.140625" defaultRowHeight="11.25" x14ac:dyDescent="0.2"/>
  <cols>
    <col min="1" max="1" width="5" style="58" customWidth="1"/>
    <col min="2" max="2" width="4.7109375" style="57" customWidth="1"/>
    <col min="3" max="3" width="8.7109375" style="57" customWidth="1"/>
    <col min="4" max="4" width="7.85546875" style="57" customWidth="1"/>
    <col min="5" max="5" width="30.28515625" style="58" customWidth="1"/>
    <col min="6" max="6" width="4.42578125" style="58" customWidth="1"/>
    <col min="7" max="7" width="10" style="58" customWidth="1"/>
    <col min="8" max="8" width="8" style="58" customWidth="1"/>
    <col min="9" max="10" width="10.85546875" style="59" customWidth="1"/>
    <col min="11" max="11" width="10.5703125" style="59" customWidth="1"/>
    <col min="12" max="12" width="12.42578125" style="59" customWidth="1"/>
    <col min="13" max="14" width="9.140625" style="59" customWidth="1"/>
    <col min="15" max="15" width="11.42578125" style="97" customWidth="1"/>
    <col min="16" max="17" width="9.28515625" style="97" customWidth="1"/>
    <col min="18" max="19" width="9.140625" style="59" customWidth="1"/>
    <col min="20" max="21" width="9.7109375" style="59" customWidth="1"/>
    <col min="22" max="26" width="9.140625" style="59" customWidth="1"/>
    <col min="27" max="27" width="10.140625" style="59" customWidth="1"/>
    <col min="28" max="33" width="9.28515625" style="59" customWidth="1"/>
    <col min="34" max="43" width="9.28515625" style="97" customWidth="1"/>
    <col min="44" max="45" width="10.85546875" style="59" customWidth="1"/>
    <col min="46" max="46" width="9.140625" style="59" customWidth="1"/>
    <col min="47" max="47" width="12.42578125" style="59" customWidth="1"/>
    <col min="48" max="49" width="9.140625" style="59" customWidth="1"/>
    <col min="50" max="50" width="11.42578125" style="97" customWidth="1"/>
    <col min="51" max="52" width="9.28515625" style="97" customWidth="1"/>
    <col min="53" max="53" width="9.140625" style="62" customWidth="1"/>
    <col min="54" max="16384" width="9.140625" style="62"/>
  </cols>
  <sheetData>
    <row r="1" spans="1:52" ht="12.75" x14ac:dyDescent="0.2">
      <c r="A1" s="56" t="s">
        <v>2</v>
      </c>
      <c r="B1" s="56"/>
      <c r="C1" s="47"/>
      <c r="D1" s="56"/>
      <c r="E1" s="56"/>
      <c r="H1" s="59"/>
      <c r="O1" s="59"/>
      <c r="P1" s="59"/>
      <c r="Q1" s="59"/>
      <c r="AH1" s="59"/>
      <c r="AI1" s="59"/>
      <c r="AJ1" s="59"/>
      <c r="AK1" s="59"/>
      <c r="AL1" s="59"/>
    </row>
    <row r="2" spans="1:52" ht="12.75" x14ac:dyDescent="0.2">
      <c r="A2" s="56" t="s">
        <v>3</v>
      </c>
      <c r="B2" s="56"/>
      <c r="C2" s="47"/>
      <c r="D2" s="56"/>
      <c r="E2" s="56"/>
    </row>
    <row r="3" spans="1:52" ht="12" x14ac:dyDescent="0.2">
      <c r="A3" s="768" t="s">
        <v>4</v>
      </c>
      <c r="B3" s="768"/>
      <c r="C3" s="768"/>
      <c r="D3" s="768"/>
      <c r="E3" s="768"/>
    </row>
    <row r="4" spans="1:52" ht="15" customHeight="1" x14ac:dyDescent="0.2">
      <c r="A4" s="56"/>
      <c r="B4" s="56"/>
      <c r="C4" s="56"/>
      <c r="D4" s="56"/>
      <c r="E4" s="56"/>
    </row>
    <row r="5" spans="1:52" ht="16.5" customHeight="1" thickBot="1" x14ac:dyDescent="0.3">
      <c r="A5" s="193" t="s">
        <v>838</v>
      </c>
      <c r="F5" s="285"/>
      <c r="G5" s="285"/>
      <c r="AH5" s="59"/>
      <c r="AI5" s="59"/>
      <c r="AJ5" s="59"/>
      <c r="AK5" s="59"/>
      <c r="AL5" s="59"/>
      <c r="AM5" s="59"/>
      <c r="AR5" s="97"/>
      <c r="AS5" s="97"/>
      <c r="AT5" s="97"/>
      <c r="AU5" s="97"/>
      <c r="AV5" s="97"/>
    </row>
    <row r="6" spans="1:52" ht="12" customHeight="1" x14ac:dyDescent="0.2"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B7" s="7"/>
      <c r="C7"/>
      <c r="D7" s="11"/>
      <c r="E7" s="7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6.5" customHeight="1" x14ac:dyDescent="0.2">
      <c r="A8" s="126"/>
      <c r="B8" s="63"/>
      <c r="C8" s="63"/>
      <c r="D8" s="63"/>
      <c r="E8" s="64"/>
      <c r="F8" s="65"/>
      <c r="G8" s="66"/>
      <c r="H8" s="66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2" customHeight="1" thickBot="1" x14ac:dyDescent="0.25">
      <c r="A9" s="127" t="s">
        <v>788</v>
      </c>
      <c r="B9"/>
      <c r="C9"/>
      <c r="D9" s="13"/>
      <c r="E9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132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145" t="s">
        <v>565</v>
      </c>
      <c r="H11" s="275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201" t="s">
        <v>307</v>
      </c>
      <c r="AN11" s="201" t="s">
        <v>308</v>
      </c>
      <c r="AO11" s="201" t="s">
        <v>307</v>
      </c>
      <c r="AP11" s="201" t="s">
        <v>308</v>
      </c>
      <c r="AQ11" s="202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4.1" customHeight="1" x14ac:dyDescent="0.2">
      <c r="A12" s="134">
        <v>1</v>
      </c>
      <c r="B12" s="135">
        <v>2330</v>
      </c>
      <c r="C12" s="136">
        <v>691009571</v>
      </c>
      <c r="D12" s="135">
        <v>71294511</v>
      </c>
      <c r="E12" s="137" t="s">
        <v>568</v>
      </c>
      <c r="F12" s="134">
        <v>3233</v>
      </c>
      <c r="G12" s="137" t="s">
        <v>319</v>
      </c>
      <c r="H12" s="138" t="s">
        <v>279</v>
      </c>
      <c r="I12" s="470">
        <v>9758025</v>
      </c>
      <c r="J12" s="471">
        <v>5566861</v>
      </c>
      <c r="K12" s="471">
        <v>1693000</v>
      </c>
      <c r="L12" s="471">
        <v>2371699</v>
      </c>
      <c r="M12" s="471">
        <v>111337</v>
      </c>
      <c r="N12" s="471">
        <v>15128</v>
      </c>
      <c r="O12" s="472">
        <v>12.41</v>
      </c>
      <c r="P12" s="473">
        <v>7.74</v>
      </c>
      <c r="Q12" s="499">
        <v>4.67</v>
      </c>
      <c r="R12" s="477">
        <f>W12*-1</f>
        <v>0</v>
      </c>
      <c r="S12" s="475">
        <v>0</v>
      </c>
      <c r="T12" s="475">
        <v>423137</v>
      </c>
      <c r="U12" s="475">
        <v>0</v>
      </c>
      <c r="V12" s="475">
        <f>SUM(R12:U12)</f>
        <v>423137</v>
      </c>
      <c r="W12" s="475"/>
      <c r="X12" s="475">
        <v>0</v>
      </c>
      <c r="Y12" s="475"/>
      <c r="Z12" s="475">
        <f>SUM(W12:Y12)</f>
        <v>0</v>
      </c>
      <c r="AA12" s="475">
        <f>V12+Z12</f>
        <v>423137</v>
      </c>
      <c r="AB12" s="155">
        <f>ROUND((V12+W12+X12)*33.8%,0)</f>
        <v>143020</v>
      </c>
      <c r="AC12" s="155">
        <f>ROUND(V12*2%,0)</f>
        <v>8463</v>
      </c>
      <c r="AD12" s="475">
        <v>0</v>
      </c>
      <c r="AE12" s="475">
        <v>88877</v>
      </c>
      <c r="AF12" s="475">
        <f>SUM(AD12:AE12)</f>
        <v>88877</v>
      </c>
      <c r="AG12" s="475">
        <f>AA12+AB12+AC12+AF12</f>
        <v>663497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476">
        <v>0</v>
      </c>
      <c r="AO12" s="476">
        <f>AH12+AJ12+AK12+AM12</f>
        <v>0</v>
      </c>
      <c r="AP12" s="476">
        <f>AI12+AL12+AN12</f>
        <v>0</v>
      </c>
      <c r="AQ12" s="478">
        <f>SUM(AO12:AP12)</f>
        <v>0</v>
      </c>
      <c r="AR12" s="474">
        <f>I12+AG12</f>
        <v>10421522</v>
      </c>
      <c r="AS12" s="475">
        <f>J12+V12</f>
        <v>5989998</v>
      </c>
      <c r="AT12" s="475">
        <f>K12+Z12</f>
        <v>1693000</v>
      </c>
      <c r="AU12" s="475">
        <f>L12+AB12</f>
        <v>2514719</v>
      </c>
      <c r="AV12" s="475">
        <f>M12+AC12</f>
        <v>119800</v>
      </c>
      <c r="AW12" s="475">
        <f>N12+AF12</f>
        <v>104005</v>
      </c>
      <c r="AX12" s="476">
        <f>O12+AQ12</f>
        <v>12.41</v>
      </c>
      <c r="AY12" s="476">
        <f>P12+AO12</f>
        <v>7.74</v>
      </c>
      <c r="AZ12" s="478">
        <f>Q12+AP12</f>
        <v>4.67</v>
      </c>
    </row>
    <row r="13" spans="1:52" ht="14.1" customHeight="1" x14ac:dyDescent="0.2">
      <c r="A13" s="78">
        <v>1</v>
      </c>
      <c r="B13" s="75">
        <v>2330</v>
      </c>
      <c r="C13" s="76">
        <v>691009571</v>
      </c>
      <c r="D13" s="75">
        <v>71294511</v>
      </c>
      <c r="E13" s="77" t="s">
        <v>569</v>
      </c>
      <c r="F13" s="78"/>
      <c r="G13" s="77"/>
      <c r="H13" s="79"/>
      <c r="I13" s="80">
        <v>9758025</v>
      </c>
      <c r="J13" s="81">
        <v>5566861</v>
      </c>
      <c r="K13" s="81">
        <v>1693000</v>
      </c>
      <c r="L13" s="81">
        <v>2371699</v>
      </c>
      <c r="M13" s="81">
        <v>111337</v>
      </c>
      <c r="N13" s="81">
        <v>15128</v>
      </c>
      <c r="O13" s="82">
        <v>12.41</v>
      </c>
      <c r="P13" s="82">
        <v>7.74</v>
      </c>
      <c r="Q13" s="452">
        <v>4.67</v>
      </c>
      <c r="R13" s="80">
        <f t="shared" ref="R13:AZ13" si="0">SUM(R12)</f>
        <v>0</v>
      </c>
      <c r="S13" s="81">
        <f t="shared" si="0"/>
        <v>0</v>
      </c>
      <c r="T13" s="81">
        <f t="shared" si="0"/>
        <v>423137</v>
      </c>
      <c r="U13" s="81">
        <f t="shared" si="0"/>
        <v>0</v>
      </c>
      <c r="V13" s="81">
        <f t="shared" si="0"/>
        <v>423137</v>
      </c>
      <c r="W13" s="81">
        <f t="shared" si="0"/>
        <v>0</v>
      </c>
      <c r="X13" s="81">
        <f t="shared" si="0"/>
        <v>0</v>
      </c>
      <c r="Y13" s="81">
        <f t="shared" si="0"/>
        <v>0</v>
      </c>
      <c r="Z13" s="81">
        <f t="shared" si="0"/>
        <v>0</v>
      </c>
      <c r="AA13" s="81">
        <f t="shared" si="0"/>
        <v>423137</v>
      </c>
      <c r="AB13" s="81">
        <f t="shared" si="0"/>
        <v>143020</v>
      </c>
      <c r="AC13" s="81">
        <f t="shared" si="0"/>
        <v>8463</v>
      </c>
      <c r="AD13" s="81">
        <f t="shared" si="0"/>
        <v>0</v>
      </c>
      <c r="AE13" s="81">
        <f t="shared" si="0"/>
        <v>88877</v>
      </c>
      <c r="AF13" s="81">
        <f t="shared" si="0"/>
        <v>88877</v>
      </c>
      <c r="AG13" s="81">
        <f t="shared" si="0"/>
        <v>663497</v>
      </c>
      <c r="AH13" s="82">
        <f t="shared" si="0"/>
        <v>0</v>
      </c>
      <c r="AI13" s="82">
        <f t="shared" si="0"/>
        <v>0</v>
      </c>
      <c r="AJ13" s="82">
        <f t="shared" si="0"/>
        <v>0</v>
      </c>
      <c r="AK13" s="82">
        <f t="shared" ref="AK13:AL13" si="1">SUM(AK12)</f>
        <v>0</v>
      </c>
      <c r="AL13" s="82">
        <f t="shared" si="1"/>
        <v>0</v>
      </c>
      <c r="AM13" s="82">
        <f t="shared" si="0"/>
        <v>0</v>
      </c>
      <c r="AN13" s="82">
        <f t="shared" si="0"/>
        <v>0</v>
      </c>
      <c r="AO13" s="82">
        <f t="shared" si="0"/>
        <v>0</v>
      </c>
      <c r="AP13" s="82">
        <f t="shared" si="0"/>
        <v>0</v>
      </c>
      <c r="AQ13" s="83">
        <f t="shared" si="0"/>
        <v>0</v>
      </c>
      <c r="AR13" s="438">
        <f t="shared" si="0"/>
        <v>10421522</v>
      </c>
      <c r="AS13" s="81">
        <f t="shared" si="0"/>
        <v>5989998</v>
      </c>
      <c r="AT13" s="81">
        <f t="shared" si="0"/>
        <v>1693000</v>
      </c>
      <c r="AU13" s="81">
        <f t="shared" si="0"/>
        <v>2514719</v>
      </c>
      <c r="AV13" s="81">
        <f t="shared" si="0"/>
        <v>119800</v>
      </c>
      <c r="AW13" s="81">
        <f t="shared" si="0"/>
        <v>104005</v>
      </c>
      <c r="AX13" s="82">
        <f t="shared" si="0"/>
        <v>12.41</v>
      </c>
      <c r="AY13" s="82">
        <f t="shared" si="0"/>
        <v>7.74</v>
      </c>
      <c r="AZ13" s="83">
        <f t="shared" si="0"/>
        <v>4.67</v>
      </c>
    </row>
    <row r="14" spans="1:52" ht="14.1" customHeight="1" x14ac:dyDescent="0.2">
      <c r="A14" s="72">
        <v>2</v>
      </c>
      <c r="B14" s="69">
        <v>2415</v>
      </c>
      <c r="C14" s="70">
        <v>600079465</v>
      </c>
      <c r="D14" s="69">
        <v>72742186</v>
      </c>
      <c r="E14" s="71" t="s">
        <v>570</v>
      </c>
      <c r="F14" s="72">
        <v>3111</v>
      </c>
      <c r="G14" s="71" t="s">
        <v>312</v>
      </c>
      <c r="H14" s="73" t="s">
        <v>278</v>
      </c>
      <c r="I14" s="494">
        <v>7717663</v>
      </c>
      <c r="J14" s="674">
        <v>5648905</v>
      </c>
      <c r="K14" s="674">
        <v>0</v>
      </c>
      <c r="L14" s="489">
        <v>1909330</v>
      </c>
      <c r="M14" s="489">
        <v>112978</v>
      </c>
      <c r="N14" s="489">
        <v>46450</v>
      </c>
      <c r="O14" s="490">
        <v>12.298499999999999</v>
      </c>
      <c r="P14" s="490">
        <v>9.3332999999999995</v>
      </c>
      <c r="Q14" s="500">
        <v>2.9651999999999998</v>
      </c>
      <c r="R14" s="502">
        <f t="shared" ref="R14:R76" si="2">W14*-1</f>
        <v>0</v>
      </c>
      <c r="S14" s="492">
        <v>0</v>
      </c>
      <c r="T14" s="492">
        <v>0</v>
      </c>
      <c r="U14" s="492">
        <v>0</v>
      </c>
      <c r="V14" s="492">
        <f>SUM(R14:U14)</f>
        <v>0</v>
      </c>
      <c r="W14" s="492">
        <v>0</v>
      </c>
      <c r="X14" s="492">
        <v>0</v>
      </c>
      <c r="Y14" s="492">
        <v>0</v>
      </c>
      <c r="Z14" s="492">
        <f t="shared" ref="Z14:Z77" si="3">SUM(W14:Y14)</f>
        <v>0</v>
      </c>
      <c r="AA14" s="492">
        <f t="shared" ref="AA14:AA77" si="4">V14+Z14</f>
        <v>0</v>
      </c>
      <c r="AB14" s="74">
        <f t="shared" ref="AB14:AB77" si="5">ROUND((V14+W14+X14)*33.8%,0)</f>
        <v>0</v>
      </c>
      <c r="AC14" s="74">
        <f t="shared" ref="AC14:AC77" si="6">ROUND(V14*2%,0)</f>
        <v>0</v>
      </c>
      <c r="AD14" s="492">
        <v>0</v>
      </c>
      <c r="AE14" s="492">
        <v>0</v>
      </c>
      <c r="AF14" s="492">
        <f>SUM(AD14:AE14)</f>
        <v>0</v>
      </c>
      <c r="AG14" s="492">
        <f>AA14+AB14+AC14+AF14</f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 t="shared" ref="AO14:AO76" si="7">AH14+AJ14+AK14+AM14</f>
        <v>0</v>
      </c>
      <c r="AP14" s="493">
        <f t="shared" ref="AP14:AP76" si="8">AI14+AL14+AN14</f>
        <v>0</v>
      </c>
      <c r="AQ14" s="495">
        <f t="shared" ref="AQ14:AQ77" si="9">SUM(AO14:AP14)</f>
        <v>0</v>
      </c>
      <c r="AR14" s="501">
        <f>I14+AG14</f>
        <v>7717663</v>
      </c>
      <c r="AS14" s="492">
        <f>J14+V14</f>
        <v>5648905</v>
      </c>
      <c r="AT14" s="492">
        <f>K14+Z14</f>
        <v>0</v>
      </c>
      <c r="AU14" s="492">
        <f t="shared" ref="AU14:AV17" si="10">L14+AB14</f>
        <v>1909330</v>
      </c>
      <c r="AV14" s="492">
        <f t="shared" si="10"/>
        <v>112978</v>
      </c>
      <c r="AW14" s="492">
        <f>N14+AF14</f>
        <v>46450</v>
      </c>
      <c r="AX14" s="493">
        <f>O14+AQ14</f>
        <v>12.298499999999999</v>
      </c>
      <c r="AY14" s="493">
        <f t="shared" ref="AY14:AZ17" si="11">P14+AO14</f>
        <v>9.3332999999999995</v>
      </c>
      <c r="AZ14" s="495">
        <f t="shared" si="11"/>
        <v>2.9651999999999998</v>
      </c>
    </row>
    <row r="15" spans="1:52" ht="14.1" customHeight="1" x14ac:dyDescent="0.2">
      <c r="A15" s="72">
        <v>2</v>
      </c>
      <c r="B15" s="69">
        <v>2415</v>
      </c>
      <c r="C15" s="70">
        <v>600079465</v>
      </c>
      <c r="D15" s="69">
        <v>72742186</v>
      </c>
      <c r="E15" s="71" t="s">
        <v>570</v>
      </c>
      <c r="F15" s="72">
        <v>3111</v>
      </c>
      <c r="G15" s="48" t="s">
        <v>314</v>
      </c>
      <c r="H15" s="73" t="s">
        <v>278</v>
      </c>
      <c r="I15" s="494">
        <v>411458</v>
      </c>
      <c r="J15" s="489">
        <v>302988</v>
      </c>
      <c r="K15" s="489">
        <v>0</v>
      </c>
      <c r="L15" s="489">
        <v>102410</v>
      </c>
      <c r="M15" s="489">
        <v>6060</v>
      </c>
      <c r="N15" s="489">
        <v>0</v>
      </c>
      <c r="O15" s="490">
        <v>1</v>
      </c>
      <c r="P15" s="490">
        <v>1</v>
      </c>
      <c r="Q15" s="500">
        <v>0</v>
      </c>
      <c r="R15" s="502">
        <f t="shared" si="2"/>
        <v>0</v>
      </c>
      <c r="S15" s="492">
        <v>0</v>
      </c>
      <c r="T15" s="492">
        <v>0</v>
      </c>
      <c r="U15" s="492">
        <v>0</v>
      </c>
      <c r="V15" s="492">
        <f>SUM(R15:U15)</f>
        <v>0</v>
      </c>
      <c r="W15" s="492">
        <v>0</v>
      </c>
      <c r="X15" s="492">
        <v>0</v>
      </c>
      <c r="Y15" s="492">
        <v>0</v>
      </c>
      <c r="Z15" s="492">
        <f t="shared" si="3"/>
        <v>0</v>
      </c>
      <c r="AA15" s="492">
        <f t="shared" si="4"/>
        <v>0</v>
      </c>
      <c r="AB15" s="74">
        <f t="shared" si="5"/>
        <v>0</v>
      </c>
      <c r="AC15" s="74">
        <f t="shared" si="6"/>
        <v>0</v>
      </c>
      <c r="AD15" s="492">
        <v>0</v>
      </c>
      <c r="AE15" s="492">
        <v>0</v>
      </c>
      <c r="AF15" s="492">
        <f>SUM(AD15:AE15)</f>
        <v>0</v>
      </c>
      <c r="AG15" s="492">
        <f>AA15+AB15+AC15+AF15</f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 t="shared" si="7"/>
        <v>0</v>
      </c>
      <c r="AP15" s="493">
        <f t="shared" si="8"/>
        <v>0</v>
      </c>
      <c r="AQ15" s="495">
        <f t="shared" si="9"/>
        <v>0</v>
      </c>
      <c r="AR15" s="501">
        <f>I15+AG15</f>
        <v>411458</v>
      </c>
      <c r="AS15" s="492">
        <f>J15+V15</f>
        <v>302988</v>
      </c>
      <c r="AT15" s="492">
        <f t="shared" ref="AT15:AT17" si="12">K15+Z15</f>
        <v>0</v>
      </c>
      <c r="AU15" s="492">
        <f t="shared" si="10"/>
        <v>102410</v>
      </c>
      <c r="AV15" s="492">
        <f t="shared" si="10"/>
        <v>6060</v>
      </c>
      <c r="AW15" s="492">
        <f>N15+AF15</f>
        <v>0</v>
      </c>
      <c r="AX15" s="493">
        <f>O15+AQ15</f>
        <v>1</v>
      </c>
      <c r="AY15" s="493">
        <f t="shared" si="11"/>
        <v>1</v>
      </c>
      <c r="AZ15" s="495">
        <f t="shared" si="11"/>
        <v>0</v>
      </c>
    </row>
    <row r="16" spans="1:52" ht="14.1" customHeight="1" x14ac:dyDescent="0.2">
      <c r="A16" s="72">
        <v>2</v>
      </c>
      <c r="B16" s="69">
        <v>2415</v>
      </c>
      <c r="C16" s="70">
        <v>600079465</v>
      </c>
      <c r="D16" s="69">
        <v>72742186</v>
      </c>
      <c r="E16" s="71" t="s">
        <v>570</v>
      </c>
      <c r="F16" s="72">
        <v>3111</v>
      </c>
      <c r="G16" s="71" t="s">
        <v>313</v>
      </c>
      <c r="H16" s="73" t="s">
        <v>279</v>
      </c>
      <c r="I16" s="494">
        <v>1411409</v>
      </c>
      <c r="J16" s="489">
        <v>1039329</v>
      </c>
      <c r="K16" s="489">
        <v>0</v>
      </c>
      <c r="L16" s="489">
        <v>351293</v>
      </c>
      <c r="M16" s="489">
        <v>20787</v>
      </c>
      <c r="N16" s="489">
        <v>0</v>
      </c>
      <c r="O16" s="490">
        <v>3</v>
      </c>
      <c r="P16" s="491">
        <v>3</v>
      </c>
      <c r="Q16" s="500">
        <v>0</v>
      </c>
      <c r="R16" s="502">
        <f t="shared" si="2"/>
        <v>0</v>
      </c>
      <c r="S16" s="492">
        <v>0</v>
      </c>
      <c r="T16" s="492">
        <v>0</v>
      </c>
      <c r="U16" s="492">
        <v>0</v>
      </c>
      <c r="V16" s="492">
        <f>SUM(R16:U16)</f>
        <v>0</v>
      </c>
      <c r="W16" s="492">
        <v>0</v>
      </c>
      <c r="X16" s="492">
        <v>0</v>
      </c>
      <c r="Y16" s="492">
        <v>0</v>
      </c>
      <c r="Z16" s="492">
        <f t="shared" si="3"/>
        <v>0</v>
      </c>
      <c r="AA16" s="492">
        <f t="shared" si="4"/>
        <v>0</v>
      </c>
      <c r="AB16" s="74">
        <f t="shared" si="5"/>
        <v>0</v>
      </c>
      <c r="AC16" s="74">
        <f t="shared" si="6"/>
        <v>0</v>
      </c>
      <c r="AD16" s="492">
        <v>0</v>
      </c>
      <c r="AE16" s="492">
        <v>0</v>
      </c>
      <c r="AF16" s="492">
        <f>SUM(AD16:AE16)</f>
        <v>0</v>
      </c>
      <c r="AG16" s="492">
        <f>AA16+AB16+AC16+AF16</f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si="7"/>
        <v>0</v>
      </c>
      <c r="AP16" s="493">
        <f t="shared" si="8"/>
        <v>0</v>
      </c>
      <c r="AQ16" s="495">
        <f t="shared" si="9"/>
        <v>0</v>
      </c>
      <c r="AR16" s="501">
        <f>I16+AG16</f>
        <v>1411409</v>
      </c>
      <c r="AS16" s="492">
        <f>J16+V16</f>
        <v>1039329</v>
      </c>
      <c r="AT16" s="492">
        <f t="shared" si="12"/>
        <v>0</v>
      </c>
      <c r="AU16" s="492">
        <f t="shared" si="10"/>
        <v>351293</v>
      </c>
      <c r="AV16" s="492">
        <f t="shared" si="10"/>
        <v>20787</v>
      </c>
      <c r="AW16" s="492">
        <f>N16+AF16</f>
        <v>0</v>
      </c>
      <c r="AX16" s="493">
        <f>O16+AQ16</f>
        <v>3</v>
      </c>
      <c r="AY16" s="493">
        <f t="shared" si="11"/>
        <v>3</v>
      </c>
      <c r="AZ16" s="495">
        <f t="shared" si="11"/>
        <v>0</v>
      </c>
    </row>
    <row r="17" spans="1:52" ht="14.1" customHeight="1" x14ac:dyDescent="0.2">
      <c r="A17" s="72">
        <v>2</v>
      </c>
      <c r="B17" s="69">
        <v>2415</v>
      </c>
      <c r="C17" s="70">
        <v>600079465</v>
      </c>
      <c r="D17" s="69">
        <v>72742186</v>
      </c>
      <c r="E17" s="71" t="s">
        <v>570</v>
      </c>
      <c r="F17" s="72">
        <v>3141</v>
      </c>
      <c r="G17" s="71" t="s">
        <v>316</v>
      </c>
      <c r="H17" s="73" t="s">
        <v>279</v>
      </c>
      <c r="I17" s="494">
        <v>969734</v>
      </c>
      <c r="J17" s="489">
        <v>710545</v>
      </c>
      <c r="K17" s="489">
        <v>0</v>
      </c>
      <c r="L17" s="489">
        <v>240164</v>
      </c>
      <c r="M17" s="489">
        <v>14211</v>
      </c>
      <c r="N17" s="489">
        <v>4814</v>
      </c>
      <c r="O17" s="490">
        <v>2.2400000000000002</v>
      </c>
      <c r="P17" s="491">
        <v>0</v>
      </c>
      <c r="Q17" s="500">
        <v>2.2400000000000002</v>
      </c>
      <c r="R17" s="502">
        <f t="shared" si="2"/>
        <v>0</v>
      </c>
      <c r="S17" s="492">
        <v>0</v>
      </c>
      <c r="T17" s="492">
        <v>0</v>
      </c>
      <c r="U17" s="492">
        <v>0</v>
      </c>
      <c r="V17" s="492">
        <f>SUM(R17:U17)</f>
        <v>0</v>
      </c>
      <c r="W17" s="492">
        <v>0</v>
      </c>
      <c r="X17" s="492">
        <v>0</v>
      </c>
      <c r="Y17" s="492">
        <v>0</v>
      </c>
      <c r="Z17" s="492">
        <f t="shared" si="3"/>
        <v>0</v>
      </c>
      <c r="AA17" s="492">
        <f t="shared" si="4"/>
        <v>0</v>
      </c>
      <c r="AB17" s="74">
        <f t="shared" si="5"/>
        <v>0</v>
      </c>
      <c r="AC17" s="74">
        <f t="shared" si="6"/>
        <v>0</v>
      </c>
      <c r="AD17" s="492">
        <v>0</v>
      </c>
      <c r="AE17" s="492">
        <v>0</v>
      </c>
      <c r="AF17" s="492">
        <f>SUM(AD17:AE17)</f>
        <v>0</v>
      </c>
      <c r="AG17" s="492">
        <f>AA17+AB17+AC17+AF17</f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7"/>
        <v>0</v>
      </c>
      <c r="AP17" s="493">
        <f t="shared" si="8"/>
        <v>0</v>
      </c>
      <c r="AQ17" s="495">
        <f t="shared" si="9"/>
        <v>0</v>
      </c>
      <c r="AR17" s="501">
        <f>I17+AG17</f>
        <v>969734</v>
      </c>
      <c r="AS17" s="492">
        <f>J17+V17</f>
        <v>710545</v>
      </c>
      <c r="AT17" s="492">
        <f t="shared" si="12"/>
        <v>0</v>
      </c>
      <c r="AU17" s="492">
        <f t="shared" si="10"/>
        <v>240164</v>
      </c>
      <c r="AV17" s="492">
        <f t="shared" si="10"/>
        <v>14211</v>
      </c>
      <c r="AW17" s="492">
        <f>N17+AF17</f>
        <v>4814</v>
      </c>
      <c r="AX17" s="493">
        <f>O17+AQ17</f>
        <v>2.2400000000000002</v>
      </c>
      <c r="AY17" s="493">
        <f t="shared" si="11"/>
        <v>0</v>
      </c>
      <c r="AZ17" s="495">
        <f t="shared" si="11"/>
        <v>2.2400000000000002</v>
      </c>
    </row>
    <row r="18" spans="1:52" ht="14.1" customHeight="1" x14ac:dyDescent="0.2">
      <c r="A18" s="78">
        <v>2</v>
      </c>
      <c r="B18" s="75">
        <v>2415</v>
      </c>
      <c r="C18" s="76">
        <v>600079465</v>
      </c>
      <c r="D18" s="75">
        <v>72742186</v>
      </c>
      <c r="E18" s="77" t="s">
        <v>571</v>
      </c>
      <c r="F18" s="78"/>
      <c r="G18" s="77"/>
      <c r="H18" s="79"/>
      <c r="I18" s="80">
        <v>10510264</v>
      </c>
      <c r="J18" s="81">
        <v>7701767</v>
      </c>
      <c r="K18" s="81">
        <v>0</v>
      </c>
      <c r="L18" s="81">
        <v>2603197</v>
      </c>
      <c r="M18" s="81">
        <v>154036</v>
      </c>
      <c r="N18" s="81">
        <v>51264</v>
      </c>
      <c r="O18" s="82">
        <v>18.538499999999999</v>
      </c>
      <c r="P18" s="82">
        <v>13.333299999999999</v>
      </c>
      <c r="Q18" s="452">
        <v>5.2051999999999996</v>
      </c>
      <c r="R18" s="80">
        <f t="shared" ref="R18:AZ18" si="13">SUM(R14:R17)</f>
        <v>0</v>
      </c>
      <c r="S18" s="81">
        <f t="shared" si="13"/>
        <v>0</v>
      </c>
      <c r="T18" s="81">
        <f t="shared" si="13"/>
        <v>0</v>
      </c>
      <c r="U18" s="81">
        <f t="shared" si="13"/>
        <v>0</v>
      </c>
      <c r="V18" s="81">
        <f t="shared" si="13"/>
        <v>0</v>
      </c>
      <c r="W18" s="81">
        <f t="shared" si="13"/>
        <v>0</v>
      </c>
      <c r="X18" s="81">
        <f t="shared" si="13"/>
        <v>0</v>
      </c>
      <c r="Y18" s="81">
        <f t="shared" si="13"/>
        <v>0</v>
      </c>
      <c r="Z18" s="81">
        <f t="shared" si="13"/>
        <v>0</v>
      </c>
      <c r="AA18" s="81">
        <f t="shared" si="13"/>
        <v>0</v>
      </c>
      <c r="AB18" s="81">
        <f t="shared" si="13"/>
        <v>0</v>
      </c>
      <c r="AC18" s="81">
        <f t="shared" si="13"/>
        <v>0</v>
      </c>
      <c r="AD18" s="81">
        <f t="shared" si="13"/>
        <v>0</v>
      </c>
      <c r="AE18" s="81">
        <f t="shared" si="13"/>
        <v>0</v>
      </c>
      <c r="AF18" s="81">
        <f t="shared" si="13"/>
        <v>0</v>
      </c>
      <c r="AG18" s="81">
        <f t="shared" si="13"/>
        <v>0</v>
      </c>
      <c r="AH18" s="82">
        <f t="shared" si="13"/>
        <v>0</v>
      </c>
      <c r="AI18" s="82">
        <f t="shared" si="13"/>
        <v>0</v>
      </c>
      <c r="AJ18" s="82">
        <f t="shared" si="13"/>
        <v>0</v>
      </c>
      <c r="AK18" s="82">
        <f t="shared" ref="AK18:AL18" si="14">SUM(AK14:AK17)</f>
        <v>0</v>
      </c>
      <c r="AL18" s="82">
        <f t="shared" si="14"/>
        <v>0</v>
      </c>
      <c r="AM18" s="82">
        <f t="shared" si="13"/>
        <v>0</v>
      </c>
      <c r="AN18" s="82">
        <f t="shared" si="13"/>
        <v>0</v>
      </c>
      <c r="AO18" s="82">
        <f t="shared" si="13"/>
        <v>0</v>
      </c>
      <c r="AP18" s="82">
        <f t="shared" si="13"/>
        <v>0</v>
      </c>
      <c r="AQ18" s="83">
        <f t="shared" si="13"/>
        <v>0</v>
      </c>
      <c r="AR18" s="438">
        <f t="shared" si="13"/>
        <v>10510264</v>
      </c>
      <c r="AS18" s="81">
        <f t="shared" si="13"/>
        <v>7701767</v>
      </c>
      <c r="AT18" s="81">
        <f t="shared" si="13"/>
        <v>0</v>
      </c>
      <c r="AU18" s="81">
        <f t="shared" si="13"/>
        <v>2603197</v>
      </c>
      <c r="AV18" s="81">
        <f t="shared" si="13"/>
        <v>154036</v>
      </c>
      <c r="AW18" s="81">
        <f t="shared" si="13"/>
        <v>51264</v>
      </c>
      <c r="AX18" s="82">
        <f t="shared" si="13"/>
        <v>18.538499999999999</v>
      </c>
      <c r="AY18" s="82">
        <f t="shared" si="13"/>
        <v>13.333299999999999</v>
      </c>
      <c r="AZ18" s="83">
        <f t="shared" si="13"/>
        <v>5.2051999999999996</v>
      </c>
    </row>
    <row r="19" spans="1:52" ht="14.1" customHeight="1" x14ac:dyDescent="0.2">
      <c r="A19" s="72">
        <v>3</v>
      </c>
      <c r="B19" s="69">
        <v>2442</v>
      </c>
      <c r="C19" s="70">
        <v>600079066</v>
      </c>
      <c r="D19" s="69">
        <v>72742101</v>
      </c>
      <c r="E19" s="71" t="s">
        <v>572</v>
      </c>
      <c r="F19" s="72">
        <v>3111</v>
      </c>
      <c r="G19" s="71" t="s">
        <v>312</v>
      </c>
      <c r="H19" s="73" t="s">
        <v>278</v>
      </c>
      <c r="I19" s="494">
        <v>8387493</v>
      </c>
      <c r="J19" s="674">
        <v>6136991</v>
      </c>
      <c r="K19" s="674">
        <v>1950</v>
      </c>
      <c r="L19" s="489">
        <v>2074962</v>
      </c>
      <c r="M19" s="489">
        <v>122740</v>
      </c>
      <c r="N19" s="489">
        <v>50850</v>
      </c>
      <c r="O19" s="490">
        <v>13.542199999999999</v>
      </c>
      <c r="P19" s="490">
        <v>10</v>
      </c>
      <c r="Q19" s="500">
        <v>3.5422000000000002</v>
      </c>
      <c r="R19" s="502">
        <f t="shared" si="2"/>
        <v>0</v>
      </c>
      <c r="S19" s="492">
        <v>0</v>
      </c>
      <c r="T19" s="492">
        <v>0</v>
      </c>
      <c r="U19" s="492">
        <v>0</v>
      </c>
      <c r="V19" s="492">
        <f>SUM(R19:U19)</f>
        <v>0</v>
      </c>
      <c r="W19" s="492">
        <v>0</v>
      </c>
      <c r="X19" s="492">
        <v>0</v>
      </c>
      <c r="Y19" s="492">
        <v>0</v>
      </c>
      <c r="Z19" s="492">
        <f t="shared" si="3"/>
        <v>0</v>
      </c>
      <c r="AA19" s="492">
        <f t="shared" si="4"/>
        <v>0</v>
      </c>
      <c r="AB19" s="74">
        <f t="shared" si="5"/>
        <v>0</v>
      </c>
      <c r="AC19" s="74">
        <f t="shared" si="6"/>
        <v>0</v>
      </c>
      <c r="AD19" s="492">
        <v>0</v>
      </c>
      <c r="AE19" s="492">
        <v>0</v>
      </c>
      <c r="AF19" s="492">
        <f>SUM(AD19:AE19)</f>
        <v>0</v>
      </c>
      <c r="AG19" s="492">
        <f>AA19+AB19+AC19+AF19</f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 t="shared" si="7"/>
        <v>0</v>
      </c>
      <c r="AP19" s="493">
        <f t="shared" si="8"/>
        <v>0</v>
      </c>
      <c r="AQ19" s="495">
        <f t="shared" si="9"/>
        <v>0</v>
      </c>
      <c r="AR19" s="501">
        <f>I19+AG19</f>
        <v>8387493</v>
      </c>
      <c r="AS19" s="492">
        <f>J19+V19</f>
        <v>6136991</v>
      </c>
      <c r="AT19" s="492">
        <f t="shared" ref="AT19:AT21" si="15">K19+Z19</f>
        <v>1950</v>
      </c>
      <c r="AU19" s="492">
        <f t="shared" ref="AU19:AV21" si="16">L19+AB19</f>
        <v>2074962</v>
      </c>
      <c r="AV19" s="492">
        <f t="shared" si="16"/>
        <v>122740</v>
      </c>
      <c r="AW19" s="492">
        <f>N19+AF19</f>
        <v>50850</v>
      </c>
      <c r="AX19" s="493">
        <f>O19+AQ19</f>
        <v>13.542199999999999</v>
      </c>
      <c r="AY19" s="493">
        <f t="shared" ref="AY19:AZ21" si="17">P19+AO19</f>
        <v>10</v>
      </c>
      <c r="AZ19" s="495">
        <f t="shared" si="17"/>
        <v>3.5422000000000002</v>
      </c>
    </row>
    <row r="20" spans="1:52" ht="14.1" customHeight="1" x14ac:dyDescent="0.2">
      <c r="A20" s="72">
        <v>3</v>
      </c>
      <c r="B20" s="69">
        <v>2442</v>
      </c>
      <c r="C20" s="70">
        <v>600079066</v>
      </c>
      <c r="D20" s="69">
        <v>72742101</v>
      </c>
      <c r="E20" s="71" t="s">
        <v>572</v>
      </c>
      <c r="F20" s="72">
        <v>3111</v>
      </c>
      <c r="G20" s="84" t="s">
        <v>313</v>
      </c>
      <c r="H20" s="73" t="s">
        <v>279</v>
      </c>
      <c r="I20" s="494">
        <v>815460</v>
      </c>
      <c r="J20" s="489">
        <v>600486</v>
      </c>
      <c r="K20" s="489">
        <v>0</v>
      </c>
      <c r="L20" s="489">
        <v>202964</v>
      </c>
      <c r="M20" s="489">
        <v>12010</v>
      </c>
      <c r="N20" s="489">
        <v>0</v>
      </c>
      <c r="O20" s="490">
        <v>2</v>
      </c>
      <c r="P20" s="491">
        <v>2</v>
      </c>
      <c r="Q20" s="500">
        <v>0</v>
      </c>
      <c r="R20" s="502">
        <f t="shared" si="2"/>
        <v>0</v>
      </c>
      <c r="S20" s="492">
        <v>0</v>
      </c>
      <c r="T20" s="492">
        <v>0</v>
      </c>
      <c r="U20" s="492">
        <v>0</v>
      </c>
      <c r="V20" s="492">
        <f>SUM(R20:U20)</f>
        <v>0</v>
      </c>
      <c r="W20" s="492">
        <v>0</v>
      </c>
      <c r="X20" s="492">
        <v>0</v>
      </c>
      <c r="Y20" s="492">
        <v>0</v>
      </c>
      <c r="Z20" s="492">
        <f t="shared" si="3"/>
        <v>0</v>
      </c>
      <c r="AA20" s="492">
        <f t="shared" si="4"/>
        <v>0</v>
      </c>
      <c r="AB20" s="74">
        <f t="shared" si="5"/>
        <v>0</v>
      </c>
      <c r="AC20" s="74">
        <f t="shared" si="6"/>
        <v>0</v>
      </c>
      <c r="AD20" s="492">
        <v>0</v>
      </c>
      <c r="AE20" s="492">
        <v>0</v>
      </c>
      <c r="AF20" s="492">
        <f>SUM(AD20:AE20)</f>
        <v>0</v>
      </c>
      <c r="AG20" s="492">
        <f>AA20+AB20+AC20+AF20</f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7"/>
        <v>0</v>
      </c>
      <c r="AP20" s="493">
        <f t="shared" si="8"/>
        <v>0</v>
      </c>
      <c r="AQ20" s="495">
        <f t="shared" si="9"/>
        <v>0</v>
      </c>
      <c r="AR20" s="501">
        <f>I20+AG20</f>
        <v>815460</v>
      </c>
      <c r="AS20" s="492">
        <f>J20+V20</f>
        <v>600486</v>
      </c>
      <c r="AT20" s="492">
        <f t="shared" si="15"/>
        <v>0</v>
      </c>
      <c r="AU20" s="492">
        <f t="shared" si="16"/>
        <v>202964</v>
      </c>
      <c r="AV20" s="492">
        <f t="shared" si="16"/>
        <v>12010</v>
      </c>
      <c r="AW20" s="492">
        <f>N20+AF20</f>
        <v>0</v>
      </c>
      <c r="AX20" s="493">
        <f>O20+AQ20</f>
        <v>2</v>
      </c>
      <c r="AY20" s="493">
        <f t="shared" si="17"/>
        <v>2</v>
      </c>
      <c r="AZ20" s="495">
        <f t="shared" si="17"/>
        <v>0</v>
      </c>
    </row>
    <row r="21" spans="1:52" ht="14.1" customHeight="1" x14ac:dyDescent="0.2">
      <c r="A21" s="72">
        <v>3</v>
      </c>
      <c r="B21" s="69">
        <v>2442</v>
      </c>
      <c r="C21" s="70">
        <v>600079066</v>
      </c>
      <c r="D21" s="69">
        <v>72742101</v>
      </c>
      <c r="E21" s="71" t="s">
        <v>572</v>
      </c>
      <c r="F21" s="72">
        <v>3141</v>
      </c>
      <c r="G21" s="71" t="s">
        <v>316</v>
      </c>
      <c r="H21" s="73" t="s">
        <v>279</v>
      </c>
      <c r="I21" s="494">
        <v>1211031</v>
      </c>
      <c r="J21" s="489">
        <v>886949</v>
      </c>
      <c r="K21" s="489">
        <v>0</v>
      </c>
      <c r="L21" s="489">
        <v>299789</v>
      </c>
      <c r="M21" s="489">
        <v>17739</v>
      </c>
      <c r="N21" s="489">
        <v>6554</v>
      </c>
      <c r="O21" s="490">
        <v>2.79</v>
      </c>
      <c r="P21" s="491">
        <v>0</v>
      </c>
      <c r="Q21" s="500">
        <v>2.79</v>
      </c>
      <c r="R21" s="502">
        <f t="shared" si="2"/>
        <v>0</v>
      </c>
      <c r="S21" s="492">
        <v>0</v>
      </c>
      <c r="T21" s="492">
        <v>0</v>
      </c>
      <c r="U21" s="492">
        <v>0</v>
      </c>
      <c r="V21" s="492">
        <f>SUM(R21:U21)</f>
        <v>0</v>
      </c>
      <c r="W21" s="492">
        <v>0</v>
      </c>
      <c r="X21" s="492">
        <v>0</v>
      </c>
      <c r="Y21" s="492">
        <v>0</v>
      </c>
      <c r="Z21" s="492">
        <f t="shared" si="3"/>
        <v>0</v>
      </c>
      <c r="AA21" s="492">
        <f t="shared" si="4"/>
        <v>0</v>
      </c>
      <c r="AB21" s="74">
        <f t="shared" si="5"/>
        <v>0</v>
      </c>
      <c r="AC21" s="74">
        <f t="shared" si="6"/>
        <v>0</v>
      </c>
      <c r="AD21" s="492">
        <v>0</v>
      </c>
      <c r="AE21" s="492">
        <v>0</v>
      </c>
      <c r="AF21" s="492">
        <f>SUM(AD21:AE21)</f>
        <v>0</v>
      </c>
      <c r="AG21" s="492">
        <f>AA21+AB21+AC21+AF21</f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7"/>
        <v>0</v>
      </c>
      <c r="AP21" s="493">
        <f t="shared" si="8"/>
        <v>0</v>
      </c>
      <c r="AQ21" s="495">
        <f t="shared" si="9"/>
        <v>0</v>
      </c>
      <c r="AR21" s="501">
        <f>I21+AG21</f>
        <v>1211031</v>
      </c>
      <c r="AS21" s="492">
        <f>J21+V21</f>
        <v>886949</v>
      </c>
      <c r="AT21" s="492">
        <f t="shared" si="15"/>
        <v>0</v>
      </c>
      <c r="AU21" s="492">
        <f t="shared" si="16"/>
        <v>299789</v>
      </c>
      <c r="AV21" s="492">
        <f t="shared" si="16"/>
        <v>17739</v>
      </c>
      <c r="AW21" s="492">
        <f>N21+AF21</f>
        <v>6554</v>
      </c>
      <c r="AX21" s="493">
        <f>O21+AQ21</f>
        <v>2.79</v>
      </c>
      <c r="AY21" s="493">
        <f t="shared" si="17"/>
        <v>0</v>
      </c>
      <c r="AZ21" s="495">
        <f t="shared" si="17"/>
        <v>2.79</v>
      </c>
    </row>
    <row r="22" spans="1:52" ht="14.1" customHeight="1" x14ac:dyDescent="0.2">
      <c r="A22" s="78">
        <v>3</v>
      </c>
      <c r="B22" s="75">
        <v>2442</v>
      </c>
      <c r="C22" s="76">
        <v>600079066</v>
      </c>
      <c r="D22" s="75">
        <v>72742101</v>
      </c>
      <c r="E22" s="77" t="s">
        <v>573</v>
      </c>
      <c r="F22" s="78"/>
      <c r="G22" s="77"/>
      <c r="H22" s="79"/>
      <c r="I22" s="80">
        <v>10413984</v>
      </c>
      <c r="J22" s="81">
        <v>7624426</v>
      </c>
      <c r="K22" s="81">
        <v>1950</v>
      </c>
      <c r="L22" s="81">
        <v>2577715</v>
      </c>
      <c r="M22" s="81">
        <v>152489</v>
      </c>
      <c r="N22" s="81">
        <v>57404</v>
      </c>
      <c r="O22" s="82">
        <v>18.3322</v>
      </c>
      <c r="P22" s="82">
        <v>12</v>
      </c>
      <c r="Q22" s="452">
        <v>6.3322000000000003</v>
      </c>
      <c r="R22" s="80">
        <f t="shared" ref="R22:AZ22" si="18">SUM(R19:R21)</f>
        <v>0</v>
      </c>
      <c r="S22" s="81">
        <f t="shared" si="18"/>
        <v>0</v>
      </c>
      <c r="T22" s="81">
        <f t="shared" si="18"/>
        <v>0</v>
      </c>
      <c r="U22" s="81">
        <f t="shared" si="18"/>
        <v>0</v>
      </c>
      <c r="V22" s="81">
        <f t="shared" si="18"/>
        <v>0</v>
      </c>
      <c r="W22" s="81">
        <f t="shared" si="18"/>
        <v>0</v>
      </c>
      <c r="X22" s="81">
        <f t="shared" si="18"/>
        <v>0</v>
      </c>
      <c r="Y22" s="81">
        <f t="shared" si="18"/>
        <v>0</v>
      </c>
      <c r="Z22" s="81">
        <f t="shared" si="18"/>
        <v>0</v>
      </c>
      <c r="AA22" s="81">
        <f t="shared" si="18"/>
        <v>0</v>
      </c>
      <c r="AB22" s="81">
        <f t="shared" si="18"/>
        <v>0</v>
      </c>
      <c r="AC22" s="81">
        <f t="shared" si="18"/>
        <v>0</v>
      </c>
      <c r="AD22" s="81">
        <f t="shared" si="18"/>
        <v>0</v>
      </c>
      <c r="AE22" s="81">
        <f t="shared" si="18"/>
        <v>0</v>
      </c>
      <c r="AF22" s="81">
        <f t="shared" si="18"/>
        <v>0</v>
      </c>
      <c r="AG22" s="81">
        <f t="shared" si="18"/>
        <v>0</v>
      </c>
      <c r="AH22" s="82">
        <f t="shared" si="18"/>
        <v>0</v>
      </c>
      <c r="AI22" s="82">
        <f t="shared" si="18"/>
        <v>0</v>
      </c>
      <c r="AJ22" s="82">
        <f t="shared" si="18"/>
        <v>0</v>
      </c>
      <c r="AK22" s="82">
        <f t="shared" ref="AK22:AL22" si="19">SUM(AK19:AK21)</f>
        <v>0</v>
      </c>
      <c r="AL22" s="82">
        <f t="shared" si="19"/>
        <v>0</v>
      </c>
      <c r="AM22" s="82">
        <f t="shared" si="18"/>
        <v>0</v>
      </c>
      <c r="AN22" s="82">
        <f t="shared" si="18"/>
        <v>0</v>
      </c>
      <c r="AO22" s="82">
        <f t="shared" si="18"/>
        <v>0</v>
      </c>
      <c r="AP22" s="82">
        <f t="shared" si="18"/>
        <v>0</v>
      </c>
      <c r="AQ22" s="83">
        <f t="shared" si="18"/>
        <v>0</v>
      </c>
      <c r="AR22" s="438">
        <f t="shared" si="18"/>
        <v>10413984</v>
      </c>
      <c r="AS22" s="81">
        <f t="shared" si="18"/>
        <v>7624426</v>
      </c>
      <c r="AT22" s="81">
        <f t="shared" si="18"/>
        <v>1950</v>
      </c>
      <c r="AU22" s="81">
        <f t="shared" si="18"/>
        <v>2577715</v>
      </c>
      <c r="AV22" s="81">
        <f t="shared" si="18"/>
        <v>152489</v>
      </c>
      <c r="AW22" s="81">
        <f t="shared" si="18"/>
        <v>57404</v>
      </c>
      <c r="AX22" s="82">
        <f t="shared" si="18"/>
        <v>18.3322</v>
      </c>
      <c r="AY22" s="82">
        <f t="shared" si="18"/>
        <v>12</v>
      </c>
      <c r="AZ22" s="83">
        <f t="shared" si="18"/>
        <v>6.3322000000000003</v>
      </c>
    </row>
    <row r="23" spans="1:52" ht="14.1" customHeight="1" x14ac:dyDescent="0.2">
      <c r="A23" s="72">
        <v>4</v>
      </c>
      <c r="B23" s="69">
        <v>2437</v>
      </c>
      <c r="C23" s="70">
        <v>600079074</v>
      </c>
      <c r="D23" s="69">
        <v>72743221</v>
      </c>
      <c r="E23" s="71" t="s">
        <v>574</v>
      </c>
      <c r="F23" s="72">
        <v>3111</v>
      </c>
      <c r="G23" s="71" t="s">
        <v>312</v>
      </c>
      <c r="H23" s="73" t="s">
        <v>278</v>
      </c>
      <c r="I23" s="494">
        <v>13817867</v>
      </c>
      <c r="J23" s="674">
        <v>10108776</v>
      </c>
      <c r="K23" s="674">
        <v>0</v>
      </c>
      <c r="L23" s="489">
        <v>3416766</v>
      </c>
      <c r="M23" s="489">
        <v>202175</v>
      </c>
      <c r="N23" s="489">
        <v>90150</v>
      </c>
      <c r="O23" s="490">
        <v>22.118600000000001</v>
      </c>
      <c r="P23" s="490">
        <v>16.475000000000001</v>
      </c>
      <c r="Q23" s="500">
        <v>5.6435999999999993</v>
      </c>
      <c r="R23" s="502">
        <f t="shared" si="2"/>
        <v>0</v>
      </c>
      <c r="S23" s="492">
        <v>0</v>
      </c>
      <c r="T23" s="492">
        <v>0</v>
      </c>
      <c r="U23" s="492">
        <v>0</v>
      </c>
      <c r="V23" s="492">
        <f>SUM(R23:U23)</f>
        <v>0</v>
      </c>
      <c r="W23" s="492">
        <v>0</v>
      </c>
      <c r="X23" s="492">
        <v>0</v>
      </c>
      <c r="Y23" s="492">
        <v>0</v>
      </c>
      <c r="Z23" s="492">
        <f t="shared" si="3"/>
        <v>0</v>
      </c>
      <c r="AA23" s="492">
        <f t="shared" si="4"/>
        <v>0</v>
      </c>
      <c r="AB23" s="74">
        <f t="shared" si="5"/>
        <v>0</v>
      </c>
      <c r="AC23" s="74">
        <f t="shared" si="6"/>
        <v>0</v>
      </c>
      <c r="AD23" s="492">
        <v>0</v>
      </c>
      <c r="AE23" s="492">
        <v>0</v>
      </c>
      <c r="AF23" s="492">
        <f>SUM(AD23:AE23)</f>
        <v>0</v>
      </c>
      <c r="AG23" s="492">
        <f>AA23+AB23+AC23+AF23</f>
        <v>0</v>
      </c>
      <c r="AH23" s="493">
        <v>0</v>
      </c>
      <c r="AI23" s="493">
        <v>0</v>
      </c>
      <c r="AJ23" s="493">
        <v>0</v>
      </c>
      <c r="AK23" s="493">
        <v>0</v>
      </c>
      <c r="AL23" s="493">
        <v>0</v>
      </c>
      <c r="AM23" s="493">
        <v>0</v>
      </c>
      <c r="AN23" s="493">
        <v>0</v>
      </c>
      <c r="AO23" s="493">
        <f t="shared" si="7"/>
        <v>0</v>
      </c>
      <c r="AP23" s="493">
        <f t="shared" si="8"/>
        <v>0</v>
      </c>
      <c r="AQ23" s="495">
        <f t="shared" si="9"/>
        <v>0</v>
      </c>
      <c r="AR23" s="501">
        <f>I23+AG23</f>
        <v>13817867</v>
      </c>
      <c r="AS23" s="492">
        <f>J23+V23</f>
        <v>10108776</v>
      </c>
      <c r="AT23" s="492">
        <f t="shared" ref="AT23:AT26" si="20">K23+Z23</f>
        <v>0</v>
      </c>
      <c r="AU23" s="492">
        <f t="shared" ref="AU23:AV26" si="21">L23+AB23</f>
        <v>3416766</v>
      </c>
      <c r="AV23" s="492">
        <f t="shared" si="21"/>
        <v>202175</v>
      </c>
      <c r="AW23" s="492">
        <f>N23+AF23</f>
        <v>90150</v>
      </c>
      <c r="AX23" s="493">
        <f>O23+AQ23</f>
        <v>22.118600000000001</v>
      </c>
      <c r="AY23" s="493">
        <f t="shared" ref="AY23:AZ26" si="22">P23+AO23</f>
        <v>16.475000000000001</v>
      </c>
      <c r="AZ23" s="495">
        <f t="shared" si="22"/>
        <v>5.6435999999999993</v>
      </c>
    </row>
    <row r="24" spans="1:52" ht="14.1" customHeight="1" x14ac:dyDescent="0.2">
      <c r="A24" s="72">
        <v>4</v>
      </c>
      <c r="B24" s="69">
        <v>2437</v>
      </c>
      <c r="C24" s="70">
        <v>600079074</v>
      </c>
      <c r="D24" s="69">
        <v>72743221</v>
      </c>
      <c r="E24" s="71" t="s">
        <v>574</v>
      </c>
      <c r="F24" s="72">
        <v>3111</v>
      </c>
      <c r="G24" s="48" t="s">
        <v>314</v>
      </c>
      <c r="H24" s="73" t="s">
        <v>278</v>
      </c>
      <c r="I24" s="494">
        <v>852249</v>
      </c>
      <c r="J24" s="489">
        <v>627576</v>
      </c>
      <c r="K24" s="489">
        <v>0</v>
      </c>
      <c r="L24" s="489">
        <v>212121</v>
      </c>
      <c r="M24" s="489">
        <v>12552</v>
      </c>
      <c r="N24" s="489">
        <v>0</v>
      </c>
      <c r="O24" s="490">
        <v>2</v>
      </c>
      <c r="P24" s="490">
        <v>2</v>
      </c>
      <c r="Q24" s="500">
        <v>0</v>
      </c>
      <c r="R24" s="502">
        <f t="shared" si="2"/>
        <v>0</v>
      </c>
      <c r="S24" s="492">
        <v>0</v>
      </c>
      <c r="T24" s="492">
        <v>0</v>
      </c>
      <c r="U24" s="492">
        <v>0</v>
      </c>
      <c r="V24" s="492">
        <f>SUM(R24:U24)</f>
        <v>0</v>
      </c>
      <c r="W24" s="492">
        <v>0</v>
      </c>
      <c r="X24" s="492">
        <v>0</v>
      </c>
      <c r="Y24" s="492">
        <v>0</v>
      </c>
      <c r="Z24" s="492">
        <f t="shared" si="3"/>
        <v>0</v>
      </c>
      <c r="AA24" s="492">
        <f t="shared" si="4"/>
        <v>0</v>
      </c>
      <c r="AB24" s="74">
        <f t="shared" si="5"/>
        <v>0</v>
      </c>
      <c r="AC24" s="74">
        <f t="shared" si="6"/>
        <v>0</v>
      </c>
      <c r="AD24" s="492">
        <v>0</v>
      </c>
      <c r="AE24" s="492">
        <v>0</v>
      </c>
      <c r="AF24" s="492">
        <f>SUM(AD24:AE24)</f>
        <v>0</v>
      </c>
      <c r="AG24" s="492">
        <f>AA24+AB24+AC24+AF24</f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si="7"/>
        <v>0</v>
      </c>
      <c r="AP24" s="493">
        <f t="shared" si="8"/>
        <v>0</v>
      </c>
      <c r="AQ24" s="495">
        <f t="shared" si="9"/>
        <v>0</v>
      </c>
      <c r="AR24" s="501">
        <f>I24+AG24</f>
        <v>852249</v>
      </c>
      <c r="AS24" s="492">
        <f>J24+V24</f>
        <v>627576</v>
      </c>
      <c r="AT24" s="492">
        <f t="shared" si="20"/>
        <v>0</v>
      </c>
      <c r="AU24" s="492">
        <f t="shared" si="21"/>
        <v>212121</v>
      </c>
      <c r="AV24" s="492">
        <f t="shared" si="21"/>
        <v>12552</v>
      </c>
      <c r="AW24" s="492">
        <f>N24+AF24</f>
        <v>0</v>
      </c>
      <c r="AX24" s="493">
        <f>O24+AQ24</f>
        <v>2</v>
      </c>
      <c r="AY24" s="493">
        <f t="shared" si="22"/>
        <v>2</v>
      </c>
      <c r="AZ24" s="495">
        <f t="shared" si="22"/>
        <v>0</v>
      </c>
    </row>
    <row r="25" spans="1:52" ht="14.1" customHeight="1" x14ac:dyDescent="0.2">
      <c r="A25" s="72">
        <v>4</v>
      </c>
      <c r="B25" s="69">
        <v>2437</v>
      </c>
      <c r="C25" s="70">
        <v>600079074</v>
      </c>
      <c r="D25" s="69">
        <v>72743221</v>
      </c>
      <c r="E25" s="71" t="s">
        <v>574</v>
      </c>
      <c r="F25" s="72">
        <v>3111</v>
      </c>
      <c r="G25" s="84" t="s">
        <v>313</v>
      </c>
      <c r="H25" s="73" t="s">
        <v>279</v>
      </c>
      <c r="I25" s="494">
        <v>470470</v>
      </c>
      <c r="J25" s="489">
        <v>346443</v>
      </c>
      <c r="K25" s="489">
        <v>0</v>
      </c>
      <c r="L25" s="489">
        <v>117098</v>
      </c>
      <c r="M25" s="489">
        <v>6929</v>
      </c>
      <c r="N25" s="489">
        <v>0</v>
      </c>
      <c r="O25" s="490">
        <v>1</v>
      </c>
      <c r="P25" s="491">
        <v>1</v>
      </c>
      <c r="Q25" s="500">
        <v>0</v>
      </c>
      <c r="R25" s="502">
        <f t="shared" si="2"/>
        <v>0</v>
      </c>
      <c r="S25" s="492">
        <v>0</v>
      </c>
      <c r="T25" s="492">
        <v>0</v>
      </c>
      <c r="U25" s="492">
        <v>0</v>
      </c>
      <c r="V25" s="492">
        <f>SUM(R25:U25)</f>
        <v>0</v>
      </c>
      <c r="W25" s="492">
        <v>0</v>
      </c>
      <c r="X25" s="492">
        <v>0</v>
      </c>
      <c r="Y25" s="492">
        <v>0</v>
      </c>
      <c r="Z25" s="492">
        <f t="shared" si="3"/>
        <v>0</v>
      </c>
      <c r="AA25" s="492">
        <f t="shared" si="4"/>
        <v>0</v>
      </c>
      <c r="AB25" s="74">
        <f t="shared" si="5"/>
        <v>0</v>
      </c>
      <c r="AC25" s="74">
        <f t="shared" si="6"/>
        <v>0</v>
      </c>
      <c r="AD25" s="492">
        <v>0</v>
      </c>
      <c r="AE25" s="492">
        <v>0</v>
      </c>
      <c r="AF25" s="492">
        <f>SUM(AD25:AE25)</f>
        <v>0</v>
      </c>
      <c r="AG25" s="492">
        <f>AA25+AB25+AC25+AF25</f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7"/>
        <v>0</v>
      </c>
      <c r="AP25" s="493">
        <f t="shared" si="8"/>
        <v>0</v>
      </c>
      <c r="AQ25" s="495">
        <f t="shared" si="9"/>
        <v>0</v>
      </c>
      <c r="AR25" s="501">
        <f>I25+AG25</f>
        <v>470470</v>
      </c>
      <c r="AS25" s="492">
        <f>J25+V25</f>
        <v>346443</v>
      </c>
      <c r="AT25" s="492">
        <f t="shared" si="20"/>
        <v>0</v>
      </c>
      <c r="AU25" s="492">
        <f t="shared" si="21"/>
        <v>117098</v>
      </c>
      <c r="AV25" s="492">
        <f t="shared" si="21"/>
        <v>6929</v>
      </c>
      <c r="AW25" s="492">
        <f>N25+AF25</f>
        <v>0</v>
      </c>
      <c r="AX25" s="493">
        <f>O25+AQ25</f>
        <v>1</v>
      </c>
      <c r="AY25" s="493">
        <f t="shared" si="22"/>
        <v>1</v>
      </c>
      <c r="AZ25" s="495">
        <f t="shared" si="22"/>
        <v>0</v>
      </c>
    </row>
    <row r="26" spans="1:52" ht="14.1" customHeight="1" x14ac:dyDescent="0.2">
      <c r="A26" s="72">
        <v>4</v>
      </c>
      <c r="B26" s="69">
        <v>2437</v>
      </c>
      <c r="C26" s="70">
        <v>600079074</v>
      </c>
      <c r="D26" s="69">
        <v>72743221</v>
      </c>
      <c r="E26" s="71" t="s">
        <v>574</v>
      </c>
      <c r="F26" s="72">
        <v>3141</v>
      </c>
      <c r="G26" s="71" t="s">
        <v>316</v>
      </c>
      <c r="H26" s="73" t="s">
        <v>279</v>
      </c>
      <c r="I26" s="494">
        <v>1635193</v>
      </c>
      <c r="J26" s="489">
        <v>1197285</v>
      </c>
      <c r="K26" s="489">
        <v>0</v>
      </c>
      <c r="L26" s="489">
        <v>404682</v>
      </c>
      <c r="M26" s="489">
        <v>23946</v>
      </c>
      <c r="N26" s="489">
        <v>9280</v>
      </c>
      <c r="O26" s="490">
        <v>3.77</v>
      </c>
      <c r="P26" s="491">
        <v>0</v>
      </c>
      <c r="Q26" s="500">
        <v>3.77</v>
      </c>
      <c r="R26" s="502">
        <f t="shared" si="2"/>
        <v>0</v>
      </c>
      <c r="S26" s="492">
        <v>0</v>
      </c>
      <c r="T26" s="492">
        <v>0</v>
      </c>
      <c r="U26" s="492">
        <v>0</v>
      </c>
      <c r="V26" s="492">
        <f>SUM(R26:U26)</f>
        <v>0</v>
      </c>
      <c r="W26" s="492">
        <v>0</v>
      </c>
      <c r="X26" s="492">
        <v>0</v>
      </c>
      <c r="Y26" s="492">
        <v>0</v>
      </c>
      <c r="Z26" s="492">
        <f t="shared" si="3"/>
        <v>0</v>
      </c>
      <c r="AA26" s="492">
        <f t="shared" si="4"/>
        <v>0</v>
      </c>
      <c r="AB26" s="74">
        <f t="shared" si="5"/>
        <v>0</v>
      </c>
      <c r="AC26" s="74">
        <f t="shared" si="6"/>
        <v>0</v>
      </c>
      <c r="AD26" s="492">
        <v>0</v>
      </c>
      <c r="AE26" s="492">
        <v>0</v>
      </c>
      <c r="AF26" s="492">
        <f>SUM(AD26:AE26)</f>
        <v>0</v>
      </c>
      <c r="AG26" s="492">
        <f>AA26+AB26+AC26+AF26</f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7"/>
        <v>0</v>
      </c>
      <c r="AP26" s="493">
        <f t="shared" si="8"/>
        <v>0</v>
      </c>
      <c r="AQ26" s="495">
        <f t="shared" si="9"/>
        <v>0</v>
      </c>
      <c r="AR26" s="501">
        <f>I26+AG26</f>
        <v>1635193</v>
      </c>
      <c r="AS26" s="492">
        <f>J26+V26</f>
        <v>1197285</v>
      </c>
      <c r="AT26" s="492">
        <f t="shared" si="20"/>
        <v>0</v>
      </c>
      <c r="AU26" s="492">
        <f t="shared" si="21"/>
        <v>404682</v>
      </c>
      <c r="AV26" s="492">
        <f t="shared" si="21"/>
        <v>23946</v>
      </c>
      <c r="AW26" s="492">
        <f>N26+AF26</f>
        <v>9280</v>
      </c>
      <c r="AX26" s="493">
        <f>O26+AQ26</f>
        <v>3.77</v>
      </c>
      <c r="AY26" s="493">
        <f t="shared" si="22"/>
        <v>0</v>
      </c>
      <c r="AZ26" s="495">
        <f t="shared" si="22"/>
        <v>3.77</v>
      </c>
    </row>
    <row r="27" spans="1:52" ht="14.1" customHeight="1" x14ac:dyDescent="0.2">
      <c r="A27" s="78">
        <v>4</v>
      </c>
      <c r="B27" s="75">
        <v>2437</v>
      </c>
      <c r="C27" s="76">
        <v>600079074</v>
      </c>
      <c r="D27" s="75">
        <v>72743221</v>
      </c>
      <c r="E27" s="77" t="s">
        <v>575</v>
      </c>
      <c r="F27" s="78"/>
      <c r="G27" s="77"/>
      <c r="H27" s="79"/>
      <c r="I27" s="80">
        <v>16775779</v>
      </c>
      <c r="J27" s="81">
        <v>12280080</v>
      </c>
      <c r="K27" s="81">
        <v>0</v>
      </c>
      <c r="L27" s="81">
        <v>4150667</v>
      </c>
      <c r="M27" s="81">
        <v>245602</v>
      </c>
      <c r="N27" s="81">
        <v>99430</v>
      </c>
      <c r="O27" s="82">
        <v>28.8886</v>
      </c>
      <c r="P27" s="82">
        <v>19.475000000000001</v>
      </c>
      <c r="Q27" s="452">
        <v>9.4135999999999989</v>
      </c>
      <c r="R27" s="80">
        <f t="shared" ref="R27:AZ27" si="23">SUM(R23:R26)</f>
        <v>0</v>
      </c>
      <c r="S27" s="81">
        <f t="shared" si="23"/>
        <v>0</v>
      </c>
      <c r="T27" s="81">
        <f t="shared" si="23"/>
        <v>0</v>
      </c>
      <c r="U27" s="81">
        <f t="shared" si="23"/>
        <v>0</v>
      </c>
      <c r="V27" s="81">
        <f t="shared" si="23"/>
        <v>0</v>
      </c>
      <c r="W27" s="81">
        <f t="shared" si="23"/>
        <v>0</v>
      </c>
      <c r="X27" s="81">
        <f t="shared" si="23"/>
        <v>0</v>
      </c>
      <c r="Y27" s="81">
        <f t="shared" si="23"/>
        <v>0</v>
      </c>
      <c r="Z27" s="81">
        <f t="shared" si="23"/>
        <v>0</v>
      </c>
      <c r="AA27" s="81">
        <f t="shared" si="23"/>
        <v>0</v>
      </c>
      <c r="AB27" s="81">
        <f t="shared" si="23"/>
        <v>0</v>
      </c>
      <c r="AC27" s="81">
        <f t="shared" si="23"/>
        <v>0</v>
      </c>
      <c r="AD27" s="81">
        <f t="shared" si="23"/>
        <v>0</v>
      </c>
      <c r="AE27" s="81">
        <f t="shared" si="23"/>
        <v>0</v>
      </c>
      <c r="AF27" s="81">
        <f t="shared" si="23"/>
        <v>0</v>
      </c>
      <c r="AG27" s="81">
        <f t="shared" si="23"/>
        <v>0</v>
      </c>
      <c r="AH27" s="82">
        <f t="shared" si="23"/>
        <v>0</v>
      </c>
      <c r="AI27" s="82">
        <f t="shared" si="23"/>
        <v>0</v>
      </c>
      <c r="AJ27" s="82">
        <f t="shared" si="23"/>
        <v>0</v>
      </c>
      <c r="AK27" s="82">
        <f t="shared" ref="AK27:AL27" si="24">SUM(AK23:AK26)</f>
        <v>0</v>
      </c>
      <c r="AL27" s="82">
        <f t="shared" si="24"/>
        <v>0</v>
      </c>
      <c r="AM27" s="82">
        <f t="shared" si="23"/>
        <v>0</v>
      </c>
      <c r="AN27" s="82">
        <f t="shared" si="23"/>
        <v>0</v>
      </c>
      <c r="AO27" s="82">
        <f t="shared" si="23"/>
        <v>0</v>
      </c>
      <c r="AP27" s="82">
        <f t="shared" si="23"/>
        <v>0</v>
      </c>
      <c r="AQ27" s="83">
        <f t="shared" si="23"/>
        <v>0</v>
      </c>
      <c r="AR27" s="438">
        <f t="shared" si="23"/>
        <v>16775779</v>
      </c>
      <c r="AS27" s="81">
        <f t="shared" si="23"/>
        <v>12280080</v>
      </c>
      <c r="AT27" s="81">
        <f t="shared" si="23"/>
        <v>0</v>
      </c>
      <c r="AU27" s="81">
        <f t="shared" si="23"/>
        <v>4150667</v>
      </c>
      <c r="AV27" s="81">
        <f t="shared" si="23"/>
        <v>245602</v>
      </c>
      <c r="AW27" s="81">
        <f t="shared" si="23"/>
        <v>99430</v>
      </c>
      <c r="AX27" s="82">
        <f t="shared" si="23"/>
        <v>28.8886</v>
      </c>
      <c r="AY27" s="82">
        <f t="shared" si="23"/>
        <v>19.475000000000001</v>
      </c>
      <c r="AZ27" s="83">
        <f t="shared" si="23"/>
        <v>9.4135999999999989</v>
      </c>
    </row>
    <row r="28" spans="1:52" ht="14.1" customHeight="1" x14ac:dyDescent="0.2">
      <c r="A28" s="72">
        <v>5</v>
      </c>
      <c r="B28" s="69">
        <v>2411</v>
      </c>
      <c r="C28" s="70">
        <v>600079554</v>
      </c>
      <c r="D28" s="69">
        <v>72742666</v>
      </c>
      <c r="E28" s="71" t="s">
        <v>576</v>
      </c>
      <c r="F28" s="72">
        <v>3111</v>
      </c>
      <c r="G28" s="71" t="s">
        <v>312</v>
      </c>
      <c r="H28" s="73" t="s">
        <v>278</v>
      </c>
      <c r="I28" s="494">
        <v>7138548</v>
      </c>
      <c r="J28" s="674">
        <v>5225046</v>
      </c>
      <c r="K28" s="674">
        <v>811</v>
      </c>
      <c r="L28" s="489">
        <v>1766340</v>
      </c>
      <c r="M28" s="489">
        <v>104501</v>
      </c>
      <c r="N28" s="489">
        <v>41850</v>
      </c>
      <c r="O28" s="490">
        <v>11.2875</v>
      </c>
      <c r="P28" s="490">
        <v>8.4192999999999998</v>
      </c>
      <c r="Q28" s="500">
        <v>2.8681999999999999</v>
      </c>
      <c r="R28" s="502">
        <f t="shared" si="2"/>
        <v>0</v>
      </c>
      <c r="S28" s="492">
        <v>0</v>
      </c>
      <c r="T28" s="492">
        <v>0</v>
      </c>
      <c r="U28" s="492">
        <v>0</v>
      </c>
      <c r="V28" s="492">
        <f>SUM(R28:U28)</f>
        <v>0</v>
      </c>
      <c r="W28" s="492">
        <v>0</v>
      </c>
      <c r="X28" s="492">
        <v>0</v>
      </c>
      <c r="Y28" s="492">
        <v>0</v>
      </c>
      <c r="Z28" s="492">
        <f t="shared" si="3"/>
        <v>0</v>
      </c>
      <c r="AA28" s="492">
        <f t="shared" si="4"/>
        <v>0</v>
      </c>
      <c r="AB28" s="74">
        <f t="shared" si="5"/>
        <v>0</v>
      </c>
      <c r="AC28" s="74">
        <f t="shared" si="6"/>
        <v>0</v>
      </c>
      <c r="AD28" s="492">
        <v>0</v>
      </c>
      <c r="AE28" s="492">
        <v>0</v>
      </c>
      <c r="AF28" s="492">
        <f>SUM(AD28:AE28)</f>
        <v>0</v>
      </c>
      <c r="AG28" s="492">
        <f>AA28+AB28+AC28+AF28</f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si="7"/>
        <v>0</v>
      </c>
      <c r="AP28" s="493">
        <f t="shared" si="8"/>
        <v>0</v>
      </c>
      <c r="AQ28" s="495">
        <f t="shared" si="9"/>
        <v>0</v>
      </c>
      <c r="AR28" s="501">
        <f>I28+AG28</f>
        <v>7138548</v>
      </c>
      <c r="AS28" s="492">
        <f>J28+V28</f>
        <v>5225046</v>
      </c>
      <c r="AT28" s="492">
        <f t="shared" ref="AT28:AT30" si="25">K28+Z28</f>
        <v>811</v>
      </c>
      <c r="AU28" s="492">
        <f t="shared" ref="AU28:AV30" si="26">L28+AB28</f>
        <v>1766340</v>
      </c>
      <c r="AV28" s="492">
        <f t="shared" si="26"/>
        <v>104501</v>
      </c>
      <c r="AW28" s="492">
        <f>N28+AF28</f>
        <v>41850</v>
      </c>
      <c r="AX28" s="493">
        <f>O28+AQ28</f>
        <v>11.2875</v>
      </c>
      <c r="AY28" s="493">
        <f t="shared" ref="AY28:AZ30" si="27">P28+AO28</f>
        <v>8.4192999999999998</v>
      </c>
      <c r="AZ28" s="495">
        <f t="shared" si="27"/>
        <v>2.8681999999999999</v>
      </c>
    </row>
    <row r="29" spans="1:52" ht="14.1" customHeight="1" x14ac:dyDescent="0.2">
      <c r="A29" s="72">
        <v>5</v>
      </c>
      <c r="B29" s="69">
        <v>2411</v>
      </c>
      <c r="C29" s="70">
        <v>600079554</v>
      </c>
      <c r="D29" s="69">
        <v>72742666</v>
      </c>
      <c r="E29" s="71" t="s">
        <v>576</v>
      </c>
      <c r="F29" s="72">
        <v>3111</v>
      </c>
      <c r="G29" s="71" t="s">
        <v>313</v>
      </c>
      <c r="H29" s="73" t="s">
        <v>279</v>
      </c>
      <c r="I29" s="494">
        <v>117618</v>
      </c>
      <c r="J29" s="489">
        <v>86611</v>
      </c>
      <c r="K29" s="489">
        <v>0</v>
      </c>
      <c r="L29" s="489">
        <v>29275</v>
      </c>
      <c r="M29" s="489">
        <v>1732</v>
      </c>
      <c r="N29" s="489">
        <v>0</v>
      </c>
      <c r="O29" s="490">
        <v>0.25</v>
      </c>
      <c r="P29" s="491">
        <v>0.25</v>
      </c>
      <c r="Q29" s="500">
        <v>0</v>
      </c>
      <c r="R29" s="502">
        <f t="shared" si="2"/>
        <v>0</v>
      </c>
      <c r="S29" s="492">
        <v>0</v>
      </c>
      <c r="T29" s="492">
        <v>0</v>
      </c>
      <c r="U29" s="492">
        <v>0</v>
      </c>
      <c r="V29" s="492">
        <f>SUM(R29:U29)</f>
        <v>0</v>
      </c>
      <c r="W29" s="492">
        <v>0</v>
      </c>
      <c r="X29" s="492">
        <v>0</v>
      </c>
      <c r="Y29" s="492">
        <v>0</v>
      </c>
      <c r="Z29" s="492">
        <f t="shared" ref="Z29" si="28">SUM(W29:Y29)</f>
        <v>0</v>
      </c>
      <c r="AA29" s="492">
        <f t="shared" ref="AA29" si="29">V29+Z29</f>
        <v>0</v>
      </c>
      <c r="AB29" s="74">
        <f t="shared" ref="AB29" si="30">ROUND((V29+W29+X29)*33.8%,0)</f>
        <v>0</v>
      </c>
      <c r="AC29" s="74">
        <f t="shared" ref="AC29" si="31">ROUND(V29*2%,0)</f>
        <v>0</v>
      </c>
      <c r="AD29" s="492">
        <v>0</v>
      </c>
      <c r="AE29" s="492">
        <v>0</v>
      </c>
      <c r="AF29" s="492">
        <f>SUM(AD29:AE29)</f>
        <v>0</v>
      </c>
      <c r="AG29" s="492">
        <f>AA29+AB29+AC29+AF29</f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7"/>
        <v>0</v>
      </c>
      <c r="AP29" s="493">
        <f t="shared" si="8"/>
        <v>0</v>
      </c>
      <c r="AQ29" s="495">
        <f t="shared" ref="AQ29" si="32">SUM(AO29:AP29)</f>
        <v>0</v>
      </c>
      <c r="AR29" s="501">
        <f>I29+AG29</f>
        <v>117618</v>
      </c>
      <c r="AS29" s="492">
        <f>J29+V29</f>
        <v>86611</v>
      </c>
      <c r="AT29" s="492">
        <f t="shared" si="25"/>
        <v>0</v>
      </c>
      <c r="AU29" s="492">
        <f t="shared" si="26"/>
        <v>29275</v>
      </c>
      <c r="AV29" s="492">
        <f t="shared" si="26"/>
        <v>1732</v>
      </c>
      <c r="AW29" s="492">
        <f>N29+AF29</f>
        <v>0</v>
      </c>
      <c r="AX29" s="493">
        <f>O29+AQ29</f>
        <v>0.25</v>
      </c>
      <c r="AY29" s="493">
        <f t="shared" si="27"/>
        <v>0.25</v>
      </c>
      <c r="AZ29" s="495">
        <f t="shared" si="27"/>
        <v>0</v>
      </c>
    </row>
    <row r="30" spans="1:52" ht="14.1" customHeight="1" x14ac:dyDescent="0.2">
      <c r="A30" s="72">
        <v>5</v>
      </c>
      <c r="B30" s="69">
        <v>2411</v>
      </c>
      <c r="C30" s="70">
        <v>600079554</v>
      </c>
      <c r="D30" s="69">
        <v>72742666</v>
      </c>
      <c r="E30" s="71" t="s">
        <v>576</v>
      </c>
      <c r="F30" s="72">
        <v>3141</v>
      </c>
      <c r="G30" s="71" t="s">
        <v>316</v>
      </c>
      <c r="H30" s="73" t="s">
        <v>279</v>
      </c>
      <c r="I30" s="494">
        <v>1049833</v>
      </c>
      <c r="J30" s="489">
        <v>769101</v>
      </c>
      <c r="K30" s="489">
        <v>0</v>
      </c>
      <c r="L30" s="489">
        <v>259956</v>
      </c>
      <c r="M30" s="489">
        <v>15382</v>
      </c>
      <c r="N30" s="489">
        <v>5394</v>
      </c>
      <c r="O30" s="490">
        <v>2.42</v>
      </c>
      <c r="P30" s="491">
        <v>0</v>
      </c>
      <c r="Q30" s="500">
        <v>2.42</v>
      </c>
      <c r="R30" s="502">
        <f t="shared" si="2"/>
        <v>0</v>
      </c>
      <c r="S30" s="492">
        <v>0</v>
      </c>
      <c r="T30" s="492">
        <v>0</v>
      </c>
      <c r="U30" s="492">
        <v>0</v>
      </c>
      <c r="V30" s="492">
        <f>SUM(R30:U30)</f>
        <v>0</v>
      </c>
      <c r="W30" s="492">
        <v>0</v>
      </c>
      <c r="X30" s="492">
        <v>0</v>
      </c>
      <c r="Y30" s="492">
        <v>0</v>
      </c>
      <c r="Z30" s="492">
        <f t="shared" si="3"/>
        <v>0</v>
      </c>
      <c r="AA30" s="492">
        <f t="shared" si="4"/>
        <v>0</v>
      </c>
      <c r="AB30" s="74">
        <f t="shared" si="5"/>
        <v>0</v>
      </c>
      <c r="AC30" s="74">
        <f t="shared" si="6"/>
        <v>0</v>
      </c>
      <c r="AD30" s="492">
        <v>0</v>
      </c>
      <c r="AE30" s="492">
        <v>0</v>
      </c>
      <c r="AF30" s="492">
        <f>SUM(AD30:AE30)</f>
        <v>0</v>
      </c>
      <c r="AG30" s="492">
        <f>AA30+AB30+AC30+AF30</f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si="7"/>
        <v>0</v>
      </c>
      <c r="AP30" s="493">
        <f t="shared" si="8"/>
        <v>0</v>
      </c>
      <c r="AQ30" s="495">
        <f t="shared" si="9"/>
        <v>0</v>
      </c>
      <c r="AR30" s="501">
        <f>I30+AG30</f>
        <v>1049833</v>
      </c>
      <c r="AS30" s="492">
        <f>J30+V30</f>
        <v>769101</v>
      </c>
      <c r="AT30" s="492">
        <f t="shared" si="25"/>
        <v>0</v>
      </c>
      <c r="AU30" s="492">
        <f t="shared" si="26"/>
        <v>259956</v>
      </c>
      <c r="AV30" s="492">
        <f t="shared" si="26"/>
        <v>15382</v>
      </c>
      <c r="AW30" s="492">
        <f>N30+AF30</f>
        <v>5394</v>
      </c>
      <c r="AX30" s="493">
        <f>O30+AQ30</f>
        <v>2.42</v>
      </c>
      <c r="AY30" s="493">
        <f t="shared" si="27"/>
        <v>0</v>
      </c>
      <c r="AZ30" s="495">
        <f t="shared" si="27"/>
        <v>2.42</v>
      </c>
    </row>
    <row r="31" spans="1:52" ht="14.1" customHeight="1" x14ac:dyDescent="0.2">
      <c r="A31" s="78">
        <v>5</v>
      </c>
      <c r="B31" s="75">
        <v>2411</v>
      </c>
      <c r="C31" s="76">
        <v>600079554</v>
      </c>
      <c r="D31" s="75">
        <v>72742666</v>
      </c>
      <c r="E31" s="77" t="s">
        <v>577</v>
      </c>
      <c r="F31" s="78"/>
      <c r="G31" s="77"/>
      <c r="H31" s="79"/>
      <c r="I31" s="80">
        <v>8305999</v>
      </c>
      <c r="J31" s="81">
        <v>6080758</v>
      </c>
      <c r="K31" s="81">
        <v>811</v>
      </c>
      <c r="L31" s="81">
        <v>2055571</v>
      </c>
      <c r="M31" s="81">
        <v>121615</v>
      </c>
      <c r="N31" s="81">
        <v>47244</v>
      </c>
      <c r="O31" s="82">
        <v>13.9575</v>
      </c>
      <c r="P31" s="82">
        <v>8.6692999999999998</v>
      </c>
      <c r="Q31" s="452">
        <v>5.2881999999999998</v>
      </c>
      <c r="R31" s="80">
        <f t="shared" ref="R31:AZ31" si="33">SUM(R28:R30)</f>
        <v>0</v>
      </c>
      <c r="S31" s="81">
        <f t="shared" si="33"/>
        <v>0</v>
      </c>
      <c r="T31" s="81">
        <f t="shared" si="33"/>
        <v>0</v>
      </c>
      <c r="U31" s="81">
        <f t="shared" si="33"/>
        <v>0</v>
      </c>
      <c r="V31" s="81">
        <f t="shared" si="33"/>
        <v>0</v>
      </c>
      <c r="W31" s="81">
        <f t="shared" si="33"/>
        <v>0</v>
      </c>
      <c r="X31" s="81">
        <f t="shared" si="33"/>
        <v>0</v>
      </c>
      <c r="Y31" s="81">
        <f t="shared" si="33"/>
        <v>0</v>
      </c>
      <c r="Z31" s="81">
        <f t="shared" si="33"/>
        <v>0</v>
      </c>
      <c r="AA31" s="81">
        <f t="shared" si="33"/>
        <v>0</v>
      </c>
      <c r="AB31" s="81">
        <f t="shared" si="33"/>
        <v>0</v>
      </c>
      <c r="AC31" s="81">
        <f t="shared" si="33"/>
        <v>0</v>
      </c>
      <c r="AD31" s="81">
        <f t="shared" si="33"/>
        <v>0</v>
      </c>
      <c r="AE31" s="81">
        <f t="shared" si="33"/>
        <v>0</v>
      </c>
      <c r="AF31" s="81">
        <f t="shared" si="33"/>
        <v>0</v>
      </c>
      <c r="AG31" s="81">
        <f t="shared" si="33"/>
        <v>0</v>
      </c>
      <c r="AH31" s="82">
        <f t="shared" si="33"/>
        <v>0</v>
      </c>
      <c r="AI31" s="82">
        <f t="shared" si="33"/>
        <v>0</v>
      </c>
      <c r="AJ31" s="82">
        <f t="shared" si="33"/>
        <v>0</v>
      </c>
      <c r="AK31" s="82">
        <f t="shared" ref="AK31:AL31" si="34">SUM(AK28:AK30)</f>
        <v>0</v>
      </c>
      <c r="AL31" s="82">
        <f t="shared" si="34"/>
        <v>0</v>
      </c>
      <c r="AM31" s="82">
        <f t="shared" si="33"/>
        <v>0</v>
      </c>
      <c r="AN31" s="82">
        <f t="shared" si="33"/>
        <v>0</v>
      </c>
      <c r="AO31" s="82">
        <f t="shared" si="33"/>
        <v>0</v>
      </c>
      <c r="AP31" s="82">
        <f t="shared" si="33"/>
        <v>0</v>
      </c>
      <c r="AQ31" s="83">
        <f t="shared" si="33"/>
        <v>0</v>
      </c>
      <c r="AR31" s="438">
        <f t="shared" si="33"/>
        <v>8305999</v>
      </c>
      <c r="AS31" s="81">
        <f t="shared" si="33"/>
        <v>6080758</v>
      </c>
      <c r="AT31" s="81">
        <f t="shared" si="33"/>
        <v>811</v>
      </c>
      <c r="AU31" s="81">
        <f t="shared" si="33"/>
        <v>2055571</v>
      </c>
      <c r="AV31" s="81">
        <f t="shared" si="33"/>
        <v>121615</v>
      </c>
      <c r="AW31" s="81">
        <f t="shared" si="33"/>
        <v>47244</v>
      </c>
      <c r="AX31" s="82">
        <f t="shared" si="33"/>
        <v>13.9575</v>
      </c>
      <c r="AY31" s="82">
        <f t="shared" si="33"/>
        <v>8.6692999999999998</v>
      </c>
      <c r="AZ31" s="83">
        <f t="shared" si="33"/>
        <v>5.2881999999999998</v>
      </c>
    </row>
    <row r="32" spans="1:52" ht="14.1" customHeight="1" x14ac:dyDescent="0.2">
      <c r="A32" s="72">
        <v>6</v>
      </c>
      <c r="B32" s="69">
        <v>2407</v>
      </c>
      <c r="C32" s="70">
        <v>600079520</v>
      </c>
      <c r="D32" s="69">
        <v>72741465</v>
      </c>
      <c r="E32" s="71" t="s">
        <v>578</v>
      </c>
      <c r="F32" s="72">
        <v>3111</v>
      </c>
      <c r="G32" s="71" t="s">
        <v>312</v>
      </c>
      <c r="H32" s="73" t="s">
        <v>278</v>
      </c>
      <c r="I32" s="494">
        <v>14368240</v>
      </c>
      <c r="J32" s="674">
        <v>10515162</v>
      </c>
      <c r="K32" s="674">
        <v>0</v>
      </c>
      <c r="L32" s="489">
        <v>3554125</v>
      </c>
      <c r="M32" s="489">
        <v>210303</v>
      </c>
      <c r="N32" s="489">
        <v>88650</v>
      </c>
      <c r="O32" s="490">
        <v>22.901199999999999</v>
      </c>
      <c r="P32" s="490">
        <v>17.451599999999999</v>
      </c>
      <c r="Q32" s="500">
        <v>5.4496000000000002</v>
      </c>
      <c r="R32" s="502">
        <f t="shared" si="2"/>
        <v>0</v>
      </c>
      <c r="S32" s="492">
        <v>0</v>
      </c>
      <c r="T32" s="492">
        <v>0</v>
      </c>
      <c r="U32" s="492">
        <v>0</v>
      </c>
      <c r="V32" s="492">
        <f>SUM(R32:U32)</f>
        <v>0</v>
      </c>
      <c r="W32" s="492">
        <v>0</v>
      </c>
      <c r="X32" s="492">
        <v>0</v>
      </c>
      <c r="Y32" s="492">
        <v>0</v>
      </c>
      <c r="Z32" s="492">
        <f t="shared" si="3"/>
        <v>0</v>
      </c>
      <c r="AA32" s="492">
        <f t="shared" si="4"/>
        <v>0</v>
      </c>
      <c r="AB32" s="74">
        <f t="shared" si="5"/>
        <v>0</v>
      </c>
      <c r="AC32" s="74">
        <f t="shared" si="6"/>
        <v>0</v>
      </c>
      <c r="AD32" s="492">
        <v>0</v>
      </c>
      <c r="AE32" s="492">
        <v>0</v>
      </c>
      <c r="AF32" s="492">
        <f>SUM(AD32:AE32)</f>
        <v>0</v>
      </c>
      <c r="AG32" s="492">
        <f>AA32+AB32+AC32+AF32</f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si="7"/>
        <v>0</v>
      </c>
      <c r="AP32" s="493">
        <f t="shared" si="8"/>
        <v>0</v>
      </c>
      <c r="AQ32" s="495">
        <f t="shared" si="9"/>
        <v>0</v>
      </c>
      <c r="AR32" s="501">
        <f>I32+AG32</f>
        <v>14368240</v>
      </c>
      <c r="AS32" s="492">
        <f>J32+V32</f>
        <v>10515162</v>
      </c>
      <c r="AT32" s="492">
        <f t="shared" ref="AT32:AT34" si="35">K32+Z32</f>
        <v>0</v>
      </c>
      <c r="AU32" s="492">
        <f t="shared" ref="AU32:AV34" si="36">L32+AB32</f>
        <v>3554125</v>
      </c>
      <c r="AV32" s="492">
        <f t="shared" si="36"/>
        <v>210303</v>
      </c>
      <c r="AW32" s="492">
        <f>N32+AF32</f>
        <v>88650</v>
      </c>
      <c r="AX32" s="493">
        <f>O32+AQ32</f>
        <v>22.901199999999999</v>
      </c>
      <c r="AY32" s="493">
        <f t="shared" ref="AY32:AZ34" si="37">P32+AO32</f>
        <v>17.451599999999999</v>
      </c>
      <c r="AZ32" s="495">
        <f t="shared" si="37"/>
        <v>5.4496000000000002</v>
      </c>
    </row>
    <row r="33" spans="1:52" ht="14.1" customHeight="1" x14ac:dyDescent="0.2">
      <c r="A33" s="72">
        <v>6</v>
      </c>
      <c r="B33" s="69">
        <v>2407</v>
      </c>
      <c r="C33" s="70">
        <v>600079520</v>
      </c>
      <c r="D33" s="69">
        <v>72741465</v>
      </c>
      <c r="E33" s="71" t="s">
        <v>578</v>
      </c>
      <c r="F33" s="72">
        <v>3111</v>
      </c>
      <c r="G33" s="84" t="s">
        <v>313</v>
      </c>
      <c r="H33" s="73" t="s">
        <v>279</v>
      </c>
      <c r="I33" s="494">
        <v>642964</v>
      </c>
      <c r="J33" s="489">
        <v>473464</v>
      </c>
      <c r="K33" s="489">
        <v>0</v>
      </c>
      <c r="L33" s="489">
        <v>160031</v>
      </c>
      <c r="M33" s="489">
        <v>9469</v>
      </c>
      <c r="N33" s="489">
        <v>0</v>
      </c>
      <c r="O33" s="490">
        <v>1.5</v>
      </c>
      <c r="P33" s="491">
        <v>1.5</v>
      </c>
      <c r="Q33" s="500">
        <v>0</v>
      </c>
      <c r="R33" s="502">
        <f t="shared" si="2"/>
        <v>0</v>
      </c>
      <c r="S33" s="492">
        <v>0</v>
      </c>
      <c r="T33" s="492">
        <v>0</v>
      </c>
      <c r="U33" s="492">
        <v>0</v>
      </c>
      <c r="V33" s="492">
        <f>SUM(R33:U33)</f>
        <v>0</v>
      </c>
      <c r="W33" s="492">
        <v>0</v>
      </c>
      <c r="X33" s="492">
        <v>0</v>
      </c>
      <c r="Y33" s="492">
        <v>0</v>
      </c>
      <c r="Z33" s="492">
        <f t="shared" si="3"/>
        <v>0</v>
      </c>
      <c r="AA33" s="492">
        <f t="shared" si="4"/>
        <v>0</v>
      </c>
      <c r="AB33" s="74">
        <f t="shared" si="5"/>
        <v>0</v>
      </c>
      <c r="AC33" s="74">
        <f t="shared" si="6"/>
        <v>0</v>
      </c>
      <c r="AD33" s="492">
        <v>0</v>
      </c>
      <c r="AE33" s="492">
        <v>0</v>
      </c>
      <c r="AF33" s="492">
        <f>SUM(AD33:AE33)</f>
        <v>0</v>
      </c>
      <c r="AG33" s="492">
        <f>AA33+AB33+AC33+AF33</f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si="7"/>
        <v>0</v>
      </c>
      <c r="AP33" s="493">
        <f t="shared" si="8"/>
        <v>0</v>
      </c>
      <c r="AQ33" s="495">
        <f t="shared" si="9"/>
        <v>0</v>
      </c>
      <c r="AR33" s="501">
        <f>I33+AG33</f>
        <v>642964</v>
      </c>
      <c r="AS33" s="492">
        <f>J33+V33</f>
        <v>473464</v>
      </c>
      <c r="AT33" s="492">
        <f t="shared" si="35"/>
        <v>0</v>
      </c>
      <c r="AU33" s="492">
        <f t="shared" si="36"/>
        <v>160031</v>
      </c>
      <c r="AV33" s="492">
        <f t="shared" si="36"/>
        <v>9469</v>
      </c>
      <c r="AW33" s="492">
        <f>N33+AF33</f>
        <v>0</v>
      </c>
      <c r="AX33" s="493">
        <f>O33+AQ33</f>
        <v>1.5</v>
      </c>
      <c r="AY33" s="493">
        <f t="shared" si="37"/>
        <v>1.5</v>
      </c>
      <c r="AZ33" s="495">
        <f t="shared" si="37"/>
        <v>0</v>
      </c>
    </row>
    <row r="34" spans="1:52" ht="14.1" customHeight="1" x14ac:dyDescent="0.2">
      <c r="A34" s="72">
        <v>6</v>
      </c>
      <c r="B34" s="69">
        <v>2407</v>
      </c>
      <c r="C34" s="70">
        <v>600079520</v>
      </c>
      <c r="D34" s="69">
        <v>72741465</v>
      </c>
      <c r="E34" s="71" t="s">
        <v>578</v>
      </c>
      <c r="F34" s="72">
        <v>3141</v>
      </c>
      <c r="G34" s="71" t="s">
        <v>316</v>
      </c>
      <c r="H34" s="73" t="s">
        <v>279</v>
      </c>
      <c r="I34" s="494">
        <v>1952768</v>
      </c>
      <c r="J34" s="489">
        <v>1428082</v>
      </c>
      <c r="K34" s="489">
        <v>1716</v>
      </c>
      <c r="L34" s="489">
        <v>483272</v>
      </c>
      <c r="M34" s="489">
        <v>28562</v>
      </c>
      <c r="N34" s="489">
        <v>11136</v>
      </c>
      <c r="O34" s="490">
        <v>4.49</v>
      </c>
      <c r="P34" s="491">
        <v>0</v>
      </c>
      <c r="Q34" s="500">
        <v>4.49</v>
      </c>
      <c r="R34" s="502">
        <f t="shared" si="2"/>
        <v>0</v>
      </c>
      <c r="S34" s="492">
        <v>0</v>
      </c>
      <c r="T34" s="492">
        <v>0</v>
      </c>
      <c r="U34" s="492">
        <v>0</v>
      </c>
      <c r="V34" s="492">
        <f>SUM(R34:U34)</f>
        <v>0</v>
      </c>
      <c r="W34" s="492">
        <v>0</v>
      </c>
      <c r="X34" s="492">
        <v>0</v>
      </c>
      <c r="Y34" s="492">
        <v>0</v>
      </c>
      <c r="Z34" s="492">
        <f t="shared" si="3"/>
        <v>0</v>
      </c>
      <c r="AA34" s="492">
        <f t="shared" si="4"/>
        <v>0</v>
      </c>
      <c r="AB34" s="74">
        <f t="shared" si="5"/>
        <v>0</v>
      </c>
      <c r="AC34" s="74">
        <f t="shared" si="6"/>
        <v>0</v>
      </c>
      <c r="AD34" s="492">
        <v>0</v>
      </c>
      <c r="AE34" s="492">
        <v>0</v>
      </c>
      <c r="AF34" s="492">
        <f>SUM(AD34:AE34)</f>
        <v>0</v>
      </c>
      <c r="AG34" s="492">
        <f>AA34+AB34+AC34+AF34</f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7"/>
        <v>0</v>
      </c>
      <c r="AP34" s="493">
        <f t="shared" si="8"/>
        <v>0</v>
      </c>
      <c r="AQ34" s="495">
        <f t="shared" si="9"/>
        <v>0</v>
      </c>
      <c r="AR34" s="501">
        <f>I34+AG34</f>
        <v>1952768</v>
      </c>
      <c r="AS34" s="492">
        <f>J34+V34</f>
        <v>1428082</v>
      </c>
      <c r="AT34" s="492">
        <f t="shared" si="35"/>
        <v>1716</v>
      </c>
      <c r="AU34" s="492">
        <f t="shared" si="36"/>
        <v>483272</v>
      </c>
      <c r="AV34" s="492">
        <f t="shared" si="36"/>
        <v>28562</v>
      </c>
      <c r="AW34" s="492">
        <f>N34+AF34</f>
        <v>11136</v>
      </c>
      <c r="AX34" s="493">
        <f>O34+AQ34</f>
        <v>4.49</v>
      </c>
      <c r="AY34" s="493">
        <f t="shared" si="37"/>
        <v>0</v>
      </c>
      <c r="AZ34" s="495">
        <f t="shared" si="37"/>
        <v>4.49</v>
      </c>
    </row>
    <row r="35" spans="1:52" ht="14.1" customHeight="1" x14ac:dyDescent="0.2">
      <c r="A35" s="78">
        <v>6</v>
      </c>
      <c r="B35" s="75">
        <v>2407</v>
      </c>
      <c r="C35" s="76">
        <v>600079520</v>
      </c>
      <c r="D35" s="75">
        <v>72741465</v>
      </c>
      <c r="E35" s="77" t="s">
        <v>579</v>
      </c>
      <c r="F35" s="78"/>
      <c r="G35" s="77"/>
      <c r="H35" s="79"/>
      <c r="I35" s="80">
        <v>16963972</v>
      </c>
      <c r="J35" s="81">
        <v>12416708</v>
      </c>
      <c r="K35" s="81">
        <v>1716</v>
      </c>
      <c r="L35" s="81">
        <v>4197428</v>
      </c>
      <c r="M35" s="81">
        <v>248334</v>
      </c>
      <c r="N35" s="81">
        <v>99786</v>
      </c>
      <c r="O35" s="82">
        <v>28.891199999999998</v>
      </c>
      <c r="P35" s="82">
        <v>18.951599999999999</v>
      </c>
      <c r="Q35" s="452">
        <v>9.9396000000000004</v>
      </c>
      <c r="R35" s="80">
        <f t="shared" ref="R35:AZ35" si="38">SUM(R32:R34)</f>
        <v>0</v>
      </c>
      <c r="S35" s="81">
        <f t="shared" si="38"/>
        <v>0</v>
      </c>
      <c r="T35" s="81">
        <f t="shared" si="38"/>
        <v>0</v>
      </c>
      <c r="U35" s="81">
        <f t="shared" si="38"/>
        <v>0</v>
      </c>
      <c r="V35" s="81">
        <f t="shared" si="38"/>
        <v>0</v>
      </c>
      <c r="W35" s="81">
        <f t="shared" si="38"/>
        <v>0</v>
      </c>
      <c r="X35" s="81">
        <f t="shared" si="38"/>
        <v>0</v>
      </c>
      <c r="Y35" s="81">
        <f t="shared" si="38"/>
        <v>0</v>
      </c>
      <c r="Z35" s="81">
        <f t="shared" si="38"/>
        <v>0</v>
      </c>
      <c r="AA35" s="81">
        <f t="shared" si="38"/>
        <v>0</v>
      </c>
      <c r="AB35" s="81">
        <f t="shared" si="38"/>
        <v>0</v>
      </c>
      <c r="AC35" s="81">
        <f t="shared" si="38"/>
        <v>0</v>
      </c>
      <c r="AD35" s="81">
        <f t="shared" si="38"/>
        <v>0</v>
      </c>
      <c r="AE35" s="81">
        <f t="shared" si="38"/>
        <v>0</v>
      </c>
      <c r="AF35" s="81">
        <f t="shared" si="38"/>
        <v>0</v>
      </c>
      <c r="AG35" s="81">
        <f t="shared" si="38"/>
        <v>0</v>
      </c>
      <c r="AH35" s="82">
        <f t="shared" si="38"/>
        <v>0</v>
      </c>
      <c r="AI35" s="82">
        <f t="shared" si="38"/>
        <v>0</v>
      </c>
      <c r="AJ35" s="82">
        <f t="shared" si="38"/>
        <v>0</v>
      </c>
      <c r="AK35" s="82">
        <f t="shared" ref="AK35:AL35" si="39">SUM(AK32:AK34)</f>
        <v>0</v>
      </c>
      <c r="AL35" s="82">
        <f t="shared" si="39"/>
        <v>0</v>
      </c>
      <c r="AM35" s="82">
        <f t="shared" si="38"/>
        <v>0</v>
      </c>
      <c r="AN35" s="82">
        <f t="shared" si="38"/>
        <v>0</v>
      </c>
      <c r="AO35" s="82">
        <f t="shared" si="38"/>
        <v>0</v>
      </c>
      <c r="AP35" s="82">
        <f t="shared" si="38"/>
        <v>0</v>
      </c>
      <c r="AQ35" s="83">
        <f t="shared" si="38"/>
        <v>0</v>
      </c>
      <c r="AR35" s="438">
        <f t="shared" si="38"/>
        <v>16963972</v>
      </c>
      <c r="AS35" s="81">
        <f t="shared" si="38"/>
        <v>12416708</v>
      </c>
      <c r="AT35" s="81">
        <f t="shared" si="38"/>
        <v>1716</v>
      </c>
      <c r="AU35" s="81">
        <f t="shared" si="38"/>
        <v>4197428</v>
      </c>
      <c r="AV35" s="81">
        <f t="shared" si="38"/>
        <v>248334</v>
      </c>
      <c r="AW35" s="81">
        <f t="shared" si="38"/>
        <v>99786</v>
      </c>
      <c r="AX35" s="82">
        <f t="shared" si="38"/>
        <v>28.891199999999998</v>
      </c>
      <c r="AY35" s="82">
        <f t="shared" si="38"/>
        <v>18.951599999999999</v>
      </c>
      <c r="AZ35" s="83">
        <f t="shared" si="38"/>
        <v>9.9396000000000004</v>
      </c>
    </row>
    <row r="36" spans="1:52" ht="14.1" customHeight="1" x14ac:dyDescent="0.2">
      <c r="A36" s="72">
        <v>7</v>
      </c>
      <c r="B36" s="69">
        <v>2422</v>
      </c>
      <c r="C36" s="70">
        <v>600079082</v>
      </c>
      <c r="D36" s="69">
        <v>72742585</v>
      </c>
      <c r="E36" s="71" t="s">
        <v>580</v>
      </c>
      <c r="F36" s="72">
        <v>3111</v>
      </c>
      <c r="G36" s="71" t="s">
        <v>312</v>
      </c>
      <c r="H36" s="73" t="s">
        <v>278</v>
      </c>
      <c r="I36" s="494">
        <v>8950014</v>
      </c>
      <c r="J36" s="674">
        <v>6531622</v>
      </c>
      <c r="K36" s="674">
        <v>21840</v>
      </c>
      <c r="L36" s="489">
        <v>2215070</v>
      </c>
      <c r="M36" s="489">
        <v>130632</v>
      </c>
      <c r="N36" s="489">
        <v>50850</v>
      </c>
      <c r="O36" s="490">
        <v>14.348699999999999</v>
      </c>
      <c r="P36" s="490">
        <v>10.8065</v>
      </c>
      <c r="Q36" s="500">
        <v>3.5422000000000002</v>
      </c>
      <c r="R36" s="502">
        <f t="shared" si="2"/>
        <v>0</v>
      </c>
      <c r="S36" s="492">
        <v>0</v>
      </c>
      <c r="T36" s="492">
        <v>0</v>
      </c>
      <c r="U36" s="492">
        <v>0</v>
      </c>
      <c r="V36" s="492">
        <f>SUM(R36:U36)</f>
        <v>0</v>
      </c>
      <c r="W36" s="492">
        <v>0</v>
      </c>
      <c r="X36" s="492">
        <v>0</v>
      </c>
      <c r="Y36" s="492">
        <v>0</v>
      </c>
      <c r="Z36" s="492">
        <f t="shared" si="3"/>
        <v>0</v>
      </c>
      <c r="AA36" s="492">
        <f t="shared" si="4"/>
        <v>0</v>
      </c>
      <c r="AB36" s="74">
        <f t="shared" si="5"/>
        <v>0</v>
      </c>
      <c r="AC36" s="74">
        <f t="shared" si="6"/>
        <v>0</v>
      </c>
      <c r="AD36" s="492">
        <v>0</v>
      </c>
      <c r="AE36" s="492">
        <v>0</v>
      </c>
      <c r="AF36" s="492">
        <f>SUM(AD36:AE36)</f>
        <v>0</v>
      </c>
      <c r="AG36" s="492">
        <f>AA36+AB36+AC36+AF36</f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7"/>
        <v>0</v>
      </c>
      <c r="AP36" s="493">
        <f t="shared" si="8"/>
        <v>0</v>
      </c>
      <c r="AQ36" s="495">
        <f t="shared" si="9"/>
        <v>0</v>
      </c>
      <c r="AR36" s="501">
        <f>I36+AG36</f>
        <v>8950014</v>
      </c>
      <c r="AS36" s="492">
        <f>J36+V36</f>
        <v>6531622</v>
      </c>
      <c r="AT36" s="492">
        <f t="shared" ref="AT36:AT38" si="40">K36+Z36</f>
        <v>21840</v>
      </c>
      <c r="AU36" s="492">
        <f t="shared" ref="AU36:AV38" si="41">L36+AB36</f>
        <v>2215070</v>
      </c>
      <c r="AV36" s="492">
        <f t="shared" si="41"/>
        <v>130632</v>
      </c>
      <c r="AW36" s="492">
        <f>N36+AF36</f>
        <v>50850</v>
      </c>
      <c r="AX36" s="493">
        <f>O36+AQ36</f>
        <v>14.348699999999999</v>
      </c>
      <c r="AY36" s="493">
        <f t="shared" ref="AY36:AZ38" si="42">P36+AO36</f>
        <v>10.8065</v>
      </c>
      <c r="AZ36" s="495">
        <f t="shared" si="42"/>
        <v>3.5422000000000002</v>
      </c>
    </row>
    <row r="37" spans="1:52" ht="14.1" customHeight="1" x14ac:dyDescent="0.2">
      <c r="A37" s="72">
        <v>7</v>
      </c>
      <c r="B37" s="69">
        <v>2422</v>
      </c>
      <c r="C37" s="70">
        <v>600079082</v>
      </c>
      <c r="D37" s="69">
        <v>72742585</v>
      </c>
      <c r="E37" s="71" t="s">
        <v>580</v>
      </c>
      <c r="F37" s="72">
        <v>3111</v>
      </c>
      <c r="G37" s="84" t="s">
        <v>313</v>
      </c>
      <c r="H37" s="73" t="s">
        <v>279</v>
      </c>
      <c r="I37" s="494">
        <v>746004</v>
      </c>
      <c r="J37" s="489">
        <v>549340</v>
      </c>
      <c r="K37" s="489">
        <v>0</v>
      </c>
      <c r="L37" s="489">
        <v>185677</v>
      </c>
      <c r="M37" s="489">
        <v>10987</v>
      </c>
      <c r="N37" s="489">
        <v>0</v>
      </c>
      <c r="O37" s="490">
        <v>1.5899999999999999</v>
      </c>
      <c r="P37" s="491">
        <v>1.5899999999999999</v>
      </c>
      <c r="Q37" s="500">
        <v>0</v>
      </c>
      <c r="R37" s="502">
        <f t="shared" si="2"/>
        <v>0</v>
      </c>
      <c r="S37" s="492">
        <v>0</v>
      </c>
      <c r="T37" s="492">
        <v>0</v>
      </c>
      <c r="U37" s="492">
        <v>0</v>
      </c>
      <c r="V37" s="492">
        <f>SUM(R37:U37)</f>
        <v>0</v>
      </c>
      <c r="W37" s="492">
        <v>0</v>
      </c>
      <c r="X37" s="492">
        <v>0</v>
      </c>
      <c r="Y37" s="492">
        <v>0</v>
      </c>
      <c r="Z37" s="492">
        <f t="shared" si="3"/>
        <v>0</v>
      </c>
      <c r="AA37" s="492">
        <f t="shared" si="4"/>
        <v>0</v>
      </c>
      <c r="AB37" s="74">
        <f t="shared" si="5"/>
        <v>0</v>
      </c>
      <c r="AC37" s="74">
        <f t="shared" si="6"/>
        <v>0</v>
      </c>
      <c r="AD37" s="492">
        <v>0</v>
      </c>
      <c r="AE37" s="492">
        <v>0</v>
      </c>
      <c r="AF37" s="492">
        <f>SUM(AD37:AE37)</f>
        <v>0</v>
      </c>
      <c r="AG37" s="492">
        <f>AA37+AB37+AC37+AF37</f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7"/>
        <v>0</v>
      </c>
      <c r="AP37" s="493">
        <f t="shared" si="8"/>
        <v>0</v>
      </c>
      <c r="AQ37" s="495">
        <f t="shared" si="9"/>
        <v>0</v>
      </c>
      <c r="AR37" s="501">
        <f>I37+AG37</f>
        <v>746004</v>
      </c>
      <c r="AS37" s="492">
        <f>J37+V37</f>
        <v>549340</v>
      </c>
      <c r="AT37" s="492">
        <f t="shared" si="40"/>
        <v>0</v>
      </c>
      <c r="AU37" s="492">
        <f t="shared" si="41"/>
        <v>185677</v>
      </c>
      <c r="AV37" s="492">
        <f t="shared" si="41"/>
        <v>10987</v>
      </c>
      <c r="AW37" s="492">
        <f>N37+AF37</f>
        <v>0</v>
      </c>
      <c r="AX37" s="493">
        <f>O37+AQ37</f>
        <v>1.5899999999999999</v>
      </c>
      <c r="AY37" s="493">
        <f t="shared" si="42"/>
        <v>1.5899999999999999</v>
      </c>
      <c r="AZ37" s="495">
        <f t="shared" si="42"/>
        <v>0</v>
      </c>
    </row>
    <row r="38" spans="1:52" ht="14.1" customHeight="1" x14ac:dyDescent="0.2">
      <c r="A38" s="72">
        <v>7</v>
      </c>
      <c r="B38" s="69">
        <v>2422</v>
      </c>
      <c r="C38" s="70">
        <v>600079082</v>
      </c>
      <c r="D38" s="69">
        <v>72742585</v>
      </c>
      <c r="E38" s="71" t="s">
        <v>580</v>
      </c>
      <c r="F38" s="72">
        <v>3141</v>
      </c>
      <c r="G38" s="71" t="s">
        <v>316</v>
      </c>
      <c r="H38" s="73" t="s">
        <v>279</v>
      </c>
      <c r="I38" s="494">
        <v>1211005</v>
      </c>
      <c r="J38" s="489">
        <v>885649</v>
      </c>
      <c r="K38" s="489">
        <v>1300</v>
      </c>
      <c r="L38" s="489">
        <v>299789</v>
      </c>
      <c r="M38" s="489">
        <v>17713</v>
      </c>
      <c r="N38" s="489">
        <v>6554</v>
      </c>
      <c r="O38" s="490">
        <v>2.79</v>
      </c>
      <c r="P38" s="491">
        <v>0</v>
      </c>
      <c r="Q38" s="500">
        <v>2.79</v>
      </c>
      <c r="R38" s="502">
        <f t="shared" si="2"/>
        <v>0</v>
      </c>
      <c r="S38" s="492">
        <v>0</v>
      </c>
      <c r="T38" s="492">
        <v>0</v>
      </c>
      <c r="U38" s="492">
        <v>0</v>
      </c>
      <c r="V38" s="492">
        <f>SUM(R38:U38)</f>
        <v>0</v>
      </c>
      <c r="W38" s="492">
        <v>0</v>
      </c>
      <c r="X38" s="492">
        <v>0</v>
      </c>
      <c r="Y38" s="492">
        <v>0</v>
      </c>
      <c r="Z38" s="492">
        <f t="shared" si="3"/>
        <v>0</v>
      </c>
      <c r="AA38" s="492">
        <f t="shared" si="4"/>
        <v>0</v>
      </c>
      <c r="AB38" s="74">
        <f t="shared" si="5"/>
        <v>0</v>
      </c>
      <c r="AC38" s="74">
        <f t="shared" si="6"/>
        <v>0</v>
      </c>
      <c r="AD38" s="492">
        <v>0</v>
      </c>
      <c r="AE38" s="492">
        <v>0</v>
      </c>
      <c r="AF38" s="492">
        <f>SUM(AD38:AE38)</f>
        <v>0</v>
      </c>
      <c r="AG38" s="492">
        <f>AA38+AB38+AC38+AF38</f>
        <v>0</v>
      </c>
      <c r="AH38" s="493">
        <v>0</v>
      </c>
      <c r="AI38" s="493">
        <v>0</v>
      </c>
      <c r="AJ38" s="493">
        <v>0</v>
      </c>
      <c r="AK38" s="493">
        <v>0</v>
      </c>
      <c r="AL38" s="493">
        <v>0</v>
      </c>
      <c r="AM38" s="493">
        <v>0</v>
      </c>
      <c r="AN38" s="493">
        <v>0</v>
      </c>
      <c r="AO38" s="493">
        <f t="shared" si="7"/>
        <v>0</v>
      </c>
      <c r="AP38" s="493">
        <f t="shared" si="8"/>
        <v>0</v>
      </c>
      <c r="AQ38" s="495">
        <f t="shared" si="9"/>
        <v>0</v>
      </c>
      <c r="AR38" s="501">
        <f>I38+AG38</f>
        <v>1211005</v>
      </c>
      <c r="AS38" s="492">
        <f>J38+V38</f>
        <v>885649</v>
      </c>
      <c r="AT38" s="492">
        <f t="shared" si="40"/>
        <v>1300</v>
      </c>
      <c r="AU38" s="492">
        <f t="shared" si="41"/>
        <v>299789</v>
      </c>
      <c r="AV38" s="492">
        <f t="shared" si="41"/>
        <v>17713</v>
      </c>
      <c r="AW38" s="492">
        <f>N38+AF38</f>
        <v>6554</v>
      </c>
      <c r="AX38" s="493">
        <f>O38+AQ38</f>
        <v>2.79</v>
      </c>
      <c r="AY38" s="493">
        <f t="shared" si="42"/>
        <v>0</v>
      </c>
      <c r="AZ38" s="495">
        <f t="shared" si="42"/>
        <v>2.79</v>
      </c>
    </row>
    <row r="39" spans="1:52" ht="14.1" customHeight="1" x14ac:dyDescent="0.2">
      <c r="A39" s="78">
        <v>7</v>
      </c>
      <c r="B39" s="75">
        <v>2422</v>
      </c>
      <c r="C39" s="76">
        <v>600079082</v>
      </c>
      <c r="D39" s="75">
        <v>72742585</v>
      </c>
      <c r="E39" s="77" t="s">
        <v>581</v>
      </c>
      <c r="F39" s="78"/>
      <c r="G39" s="77"/>
      <c r="H39" s="79"/>
      <c r="I39" s="80">
        <v>10907023</v>
      </c>
      <c r="J39" s="81">
        <v>7966611</v>
      </c>
      <c r="K39" s="81">
        <v>23140</v>
      </c>
      <c r="L39" s="81">
        <v>2700536</v>
      </c>
      <c r="M39" s="81">
        <v>159332</v>
      </c>
      <c r="N39" s="81">
        <v>57404</v>
      </c>
      <c r="O39" s="82">
        <v>18.7287</v>
      </c>
      <c r="P39" s="82">
        <v>12.3965</v>
      </c>
      <c r="Q39" s="452">
        <v>6.3322000000000003</v>
      </c>
      <c r="R39" s="80">
        <f t="shared" ref="R39:AZ39" si="43">SUM(R36:R38)</f>
        <v>0</v>
      </c>
      <c r="S39" s="81">
        <f t="shared" si="43"/>
        <v>0</v>
      </c>
      <c r="T39" s="81">
        <f t="shared" si="43"/>
        <v>0</v>
      </c>
      <c r="U39" s="81">
        <f t="shared" si="43"/>
        <v>0</v>
      </c>
      <c r="V39" s="81">
        <f t="shared" si="43"/>
        <v>0</v>
      </c>
      <c r="W39" s="81">
        <f t="shared" si="43"/>
        <v>0</v>
      </c>
      <c r="X39" s="81">
        <f t="shared" si="43"/>
        <v>0</v>
      </c>
      <c r="Y39" s="81">
        <f t="shared" si="43"/>
        <v>0</v>
      </c>
      <c r="Z39" s="81">
        <f t="shared" si="43"/>
        <v>0</v>
      </c>
      <c r="AA39" s="81">
        <f t="shared" si="43"/>
        <v>0</v>
      </c>
      <c r="AB39" s="81">
        <f t="shared" si="43"/>
        <v>0</v>
      </c>
      <c r="AC39" s="81">
        <f t="shared" si="43"/>
        <v>0</v>
      </c>
      <c r="AD39" s="81">
        <f t="shared" si="43"/>
        <v>0</v>
      </c>
      <c r="AE39" s="81">
        <f t="shared" si="43"/>
        <v>0</v>
      </c>
      <c r="AF39" s="81">
        <f t="shared" si="43"/>
        <v>0</v>
      </c>
      <c r="AG39" s="81">
        <f t="shared" si="43"/>
        <v>0</v>
      </c>
      <c r="AH39" s="82">
        <f t="shared" si="43"/>
        <v>0</v>
      </c>
      <c r="AI39" s="82">
        <f t="shared" si="43"/>
        <v>0</v>
      </c>
      <c r="AJ39" s="82">
        <f t="shared" si="43"/>
        <v>0</v>
      </c>
      <c r="AK39" s="82">
        <f t="shared" ref="AK39:AL39" si="44">SUM(AK36:AK38)</f>
        <v>0</v>
      </c>
      <c r="AL39" s="82">
        <f t="shared" si="44"/>
        <v>0</v>
      </c>
      <c r="AM39" s="82">
        <f t="shared" si="43"/>
        <v>0</v>
      </c>
      <c r="AN39" s="82">
        <f t="shared" si="43"/>
        <v>0</v>
      </c>
      <c r="AO39" s="82">
        <f t="shared" si="43"/>
        <v>0</v>
      </c>
      <c r="AP39" s="82">
        <f t="shared" si="43"/>
        <v>0</v>
      </c>
      <c r="AQ39" s="83">
        <f t="shared" si="43"/>
        <v>0</v>
      </c>
      <c r="AR39" s="438">
        <f t="shared" si="43"/>
        <v>10907023</v>
      </c>
      <c r="AS39" s="81">
        <f t="shared" si="43"/>
        <v>7966611</v>
      </c>
      <c r="AT39" s="81">
        <f t="shared" si="43"/>
        <v>23140</v>
      </c>
      <c r="AU39" s="81">
        <f t="shared" si="43"/>
        <v>2700536</v>
      </c>
      <c r="AV39" s="81">
        <f t="shared" si="43"/>
        <v>159332</v>
      </c>
      <c r="AW39" s="81">
        <f t="shared" si="43"/>
        <v>57404</v>
      </c>
      <c r="AX39" s="82">
        <f t="shared" si="43"/>
        <v>18.7287</v>
      </c>
      <c r="AY39" s="82">
        <f t="shared" si="43"/>
        <v>12.3965</v>
      </c>
      <c r="AZ39" s="83">
        <f t="shared" si="43"/>
        <v>6.3322000000000003</v>
      </c>
    </row>
    <row r="40" spans="1:52" ht="14.1" customHeight="1" x14ac:dyDescent="0.2">
      <c r="A40" s="72">
        <v>8</v>
      </c>
      <c r="B40" s="69">
        <v>2427</v>
      </c>
      <c r="C40" s="70">
        <v>600079091</v>
      </c>
      <c r="D40" s="69">
        <v>72741627</v>
      </c>
      <c r="E40" s="71" t="s">
        <v>582</v>
      </c>
      <c r="F40" s="72">
        <v>3111</v>
      </c>
      <c r="G40" s="71" t="s">
        <v>312</v>
      </c>
      <c r="H40" s="73" t="s">
        <v>278</v>
      </c>
      <c r="I40" s="494">
        <v>5393156</v>
      </c>
      <c r="J40" s="674">
        <v>3947206</v>
      </c>
      <c r="K40" s="674">
        <v>0</v>
      </c>
      <c r="L40" s="489">
        <v>1334156</v>
      </c>
      <c r="M40" s="489">
        <v>78944</v>
      </c>
      <c r="N40" s="489">
        <v>32850</v>
      </c>
      <c r="O40" s="490">
        <v>8.3759999999999994</v>
      </c>
      <c r="P40" s="490">
        <v>6.2417999999999996</v>
      </c>
      <c r="Q40" s="500">
        <v>2.1341999999999999</v>
      </c>
      <c r="R40" s="502">
        <f t="shared" si="2"/>
        <v>0</v>
      </c>
      <c r="S40" s="492">
        <v>0</v>
      </c>
      <c r="T40" s="492">
        <v>0</v>
      </c>
      <c r="U40" s="492">
        <v>0</v>
      </c>
      <c r="V40" s="492">
        <f>SUM(R40:U40)</f>
        <v>0</v>
      </c>
      <c r="W40" s="492">
        <v>0</v>
      </c>
      <c r="X40" s="492">
        <v>0</v>
      </c>
      <c r="Y40" s="492">
        <v>0</v>
      </c>
      <c r="Z40" s="492">
        <f t="shared" si="3"/>
        <v>0</v>
      </c>
      <c r="AA40" s="492">
        <f t="shared" si="4"/>
        <v>0</v>
      </c>
      <c r="AB40" s="74">
        <f t="shared" si="5"/>
        <v>0</v>
      </c>
      <c r="AC40" s="74">
        <f t="shared" si="6"/>
        <v>0</v>
      </c>
      <c r="AD40" s="492">
        <v>0</v>
      </c>
      <c r="AE40" s="492">
        <v>0</v>
      </c>
      <c r="AF40" s="492">
        <f>SUM(AD40:AE40)</f>
        <v>0</v>
      </c>
      <c r="AG40" s="492">
        <f>AA40+AB40+AC40+AF40</f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7"/>
        <v>0</v>
      </c>
      <c r="AP40" s="493">
        <f t="shared" si="8"/>
        <v>0</v>
      </c>
      <c r="AQ40" s="495">
        <f t="shared" si="9"/>
        <v>0</v>
      </c>
      <c r="AR40" s="501">
        <f>I40+AG40</f>
        <v>5393156</v>
      </c>
      <c r="AS40" s="492">
        <f>J40+V40</f>
        <v>3947206</v>
      </c>
      <c r="AT40" s="492">
        <f t="shared" ref="AT40:AT41" si="45">K40+Z40</f>
        <v>0</v>
      </c>
      <c r="AU40" s="492">
        <f>L40+AB40</f>
        <v>1334156</v>
      </c>
      <c r="AV40" s="492">
        <f>M40+AC40</f>
        <v>78944</v>
      </c>
      <c r="AW40" s="492">
        <f>N40+AF40</f>
        <v>32850</v>
      </c>
      <c r="AX40" s="493">
        <f>O40+AQ40</f>
        <v>8.3759999999999994</v>
      </c>
      <c r="AY40" s="493">
        <f>P40+AO40</f>
        <v>6.2417999999999996</v>
      </c>
      <c r="AZ40" s="495">
        <f>Q40+AP40</f>
        <v>2.1341999999999999</v>
      </c>
    </row>
    <row r="41" spans="1:52" ht="14.1" customHeight="1" x14ac:dyDescent="0.2">
      <c r="A41" s="72">
        <v>8</v>
      </c>
      <c r="B41" s="69">
        <v>2427</v>
      </c>
      <c r="C41" s="70">
        <v>600079091</v>
      </c>
      <c r="D41" s="69">
        <v>72741627</v>
      </c>
      <c r="E41" s="71" t="s">
        <v>582</v>
      </c>
      <c r="F41" s="72">
        <v>3141</v>
      </c>
      <c r="G41" s="71" t="s">
        <v>316</v>
      </c>
      <c r="H41" s="73" t="s">
        <v>279</v>
      </c>
      <c r="I41" s="494">
        <v>356429</v>
      </c>
      <c r="J41" s="489">
        <v>260424</v>
      </c>
      <c r="K41" s="489">
        <v>0</v>
      </c>
      <c r="L41" s="489">
        <v>88023</v>
      </c>
      <c r="M41" s="489">
        <v>5208</v>
      </c>
      <c r="N41" s="489">
        <v>2774</v>
      </c>
      <c r="O41" s="490">
        <v>0.82</v>
      </c>
      <c r="P41" s="491">
        <v>0</v>
      </c>
      <c r="Q41" s="500">
        <v>0.82</v>
      </c>
      <c r="R41" s="502">
        <f t="shared" si="2"/>
        <v>0</v>
      </c>
      <c r="S41" s="492">
        <v>0</v>
      </c>
      <c r="T41" s="492">
        <v>0</v>
      </c>
      <c r="U41" s="492">
        <v>0</v>
      </c>
      <c r="V41" s="492">
        <f>SUM(R41:U41)</f>
        <v>0</v>
      </c>
      <c r="W41" s="492">
        <v>0</v>
      </c>
      <c r="X41" s="492">
        <v>0</v>
      </c>
      <c r="Y41" s="492">
        <v>0</v>
      </c>
      <c r="Z41" s="492">
        <f t="shared" si="3"/>
        <v>0</v>
      </c>
      <c r="AA41" s="492">
        <f t="shared" si="4"/>
        <v>0</v>
      </c>
      <c r="AB41" s="74">
        <f t="shared" si="5"/>
        <v>0</v>
      </c>
      <c r="AC41" s="74">
        <f t="shared" si="6"/>
        <v>0</v>
      </c>
      <c r="AD41" s="492">
        <v>0</v>
      </c>
      <c r="AE41" s="492">
        <v>0</v>
      </c>
      <c r="AF41" s="492">
        <f>SUM(AD41:AE41)</f>
        <v>0</v>
      </c>
      <c r="AG41" s="492">
        <f>AA41+AB41+AC41+AF41</f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7"/>
        <v>0</v>
      </c>
      <c r="AP41" s="493">
        <f t="shared" si="8"/>
        <v>0</v>
      </c>
      <c r="AQ41" s="495">
        <f t="shared" si="9"/>
        <v>0</v>
      </c>
      <c r="AR41" s="501">
        <f>I41+AG41</f>
        <v>356429</v>
      </c>
      <c r="AS41" s="492">
        <f>J41+V41</f>
        <v>260424</v>
      </c>
      <c r="AT41" s="492">
        <f t="shared" si="45"/>
        <v>0</v>
      </c>
      <c r="AU41" s="492">
        <f>L41+AB41</f>
        <v>88023</v>
      </c>
      <c r="AV41" s="492">
        <f>M41+AC41</f>
        <v>5208</v>
      </c>
      <c r="AW41" s="492">
        <f>N41+AF41</f>
        <v>2774</v>
      </c>
      <c r="AX41" s="493">
        <f>O41+AQ41</f>
        <v>0.82</v>
      </c>
      <c r="AY41" s="493">
        <f>P41+AO41</f>
        <v>0</v>
      </c>
      <c r="AZ41" s="495">
        <f>Q41+AP41</f>
        <v>0.82</v>
      </c>
    </row>
    <row r="42" spans="1:52" ht="14.1" customHeight="1" x14ac:dyDescent="0.2">
      <c r="A42" s="78">
        <v>8</v>
      </c>
      <c r="B42" s="75">
        <v>2427</v>
      </c>
      <c r="C42" s="76">
        <v>600079091</v>
      </c>
      <c r="D42" s="75">
        <v>72741627</v>
      </c>
      <c r="E42" s="77" t="s">
        <v>583</v>
      </c>
      <c r="F42" s="78"/>
      <c r="G42" s="77"/>
      <c r="H42" s="79"/>
      <c r="I42" s="80">
        <v>5749585</v>
      </c>
      <c r="J42" s="81">
        <v>4207630</v>
      </c>
      <c r="K42" s="81">
        <v>0</v>
      </c>
      <c r="L42" s="81">
        <v>1422179</v>
      </c>
      <c r="M42" s="81">
        <v>84152</v>
      </c>
      <c r="N42" s="81">
        <v>35624</v>
      </c>
      <c r="O42" s="82">
        <v>9.1959999999999997</v>
      </c>
      <c r="P42" s="82">
        <v>6.2417999999999996</v>
      </c>
      <c r="Q42" s="452">
        <v>2.9541999999999997</v>
      </c>
      <c r="R42" s="80">
        <f t="shared" ref="R42:AZ42" si="46">SUM(R40:R41)</f>
        <v>0</v>
      </c>
      <c r="S42" s="81">
        <f t="shared" si="46"/>
        <v>0</v>
      </c>
      <c r="T42" s="81">
        <f t="shared" si="46"/>
        <v>0</v>
      </c>
      <c r="U42" s="81">
        <f t="shared" si="46"/>
        <v>0</v>
      </c>
      <c r="V42" s="81">
        <f t="shared" si="46"/>
        <v>0</v>
      </c>
      <c r="W42" s="81">
        <f t="shared" si="46"/>
        <v>0</v>
      </c>
      <c r="X42" s="81">
        <f t="shared" si="46"/>
        <v>0</v>
      </c>
      <c r="Y42" s="81">
        <f t="shared" si="46"/>
        <v>0</v>
      </c>
      <c r="Z42" s="81">
        <f t="shared" si="46"/>
        <v>0</v>
      </c>
      <c r="AA42" s="81">
        <f t="shared" si="46"/>
        <v>0</v>
      </c>
      <c r="AB42" s="81">
        <f t="shared" si="46"/>
        <v>0</v>
      </c>
      <c r="AC42" s="81">
        <f t="shared" si="46"/>
        <v>0</v>
      </c>
      <c r="AD42" s="81">
        <f t="shared" si="46"/>
        <v>0</v>
      </c>
      <c r="AE42" s="81">
        <f t="shared" si="46"/>
        <v>0</v>
      </c>
      <c r="AF42" s="81">
        <f t="shared" si="46"/>
        <v>0</v>
      </c>
      <c r="AG42" s="81">
        <f t="shared" si="46"/>
        <v>0</v>
      </c>
      <c r="AH42" s="82">
        <f t="shared" si="46"/>
        <v>0</v>
      </c>
      <c r="AI42" s="82">
        <f t="shared" si="46"/>
        <v>0</v>
      </c>
      <c r="AJ42" s="82">
        <f t="shared" si="46"/>
        <v>0</v>
      </c>
      <c r="AK42" s="82">
        <f t="shared" ref="AK42:AL42" si="47">SUM(AK40:AK41)</f>
        <v>0</v>
      </c>
      <c r="AL42" s="82">
        <f t="shared" si="47"/>
        <v>0</v>
      </c>
      <c r="AM42" s="82">
        <f t="shared" si="46"/>
        <v>0</v>
      </c>
      <c r="AN42" s="82">
        <f t="shared" si="46"/>
        <v>0</v>
      </c>
      <c r="AO42" s="82">
        <f t="shared" si="46"/>
        <v>0</v>
      </c>
      <c r="AP42" s="82">
        <f t="shared" si="46"/>
        <v>0</v>
      </c>
      <c r="AQ42" s="83">
        <f t="shared" si="46"/>
        <v>0</v>
      </c>
      <c r="AR42" s="438">
        <f t="shared" si="46"/>
        <v>5749585</v>
      </c>
      <c r="AS42" s="81">
        <f t="shared" si="46"/>
        <v>4207630</v>
      </c>
      <c r="AT42" s="81">
        <f t="shared" si="46"/>
        <v>0</v>
      </c>
      <c r="AU42" s="81">
        <f t="shared" si="46"/>
        <v>1422179</v>
      </c>
      <c r="AV42" s="81">
        <f t="shared" si="46"/>
        <v>84152</v>
      </c>
      <c r="AW42" s="81">
        <f t="shared" si="46"/>
        <v>35624</v>
      </c>
      <c r="AX42" s="82">
        <f t="shared" si="46"/>
        <v>9.1959999999999997</v>
      </c>
      <c r="AY42" s="82">
        <f t="shared" si="46"/>
        <v>6.2417999999999996</v>
      </c>
      <c r="AZ42" s="83">
        <f t="shared" si="46"/>
        <v>2.9541999999999997</v>
      </c>
    </row>
    <row r="43" spans="1:52" ht="14.1" customHeight="1" x14ac:dyDescent="0.2">
      <c r="A43" s="72">
        <v>9</v>
      </c>
      <c r="B43" s="69">
        <v>2327</v>
      </c>
      <c r="C43" s="70">
        <v>691002606</v>
      </c>
      <c r="D43" s="69">
        <v>72076950</v>
      </c>
      <c r="E43" s="71" t="s">
        <v>584</v>
      </c>
      <c r="F43" s="72">
        <v>3111</v>
      </c>
      <c r="G43" s="71" t="s">
        <v>312</v>
      </c>
      <c r="H43" s="73" t="s">
        <v>278</v>
      </c>
      <c r="I43" s="494">
        <v>9326480</v>
      </c>
      <c r="J43" s="674">
        <v>6829698</v>
      </c>
      <c r="K43" s="674">
        <v>0</v>
      </c>
      <c r="L43" s="489">
        <v>2308438</v>
      </c>
      <c r="M43" s="489">
        <v>136594</v>
      </c>
      <c r="N43" s="489">
        <v>51750</v>
      </c>
      <c r="O43" s="490">
        <v>14.761800000000001</v>
      </c>
      <c r="P43" s="490">
        <v>11.2096</v>
      </c>
      <c r="Q43" s="500">
        <v>3.5522</v>
      </c>
      <c r="R43" s="502">
        <f t="shared" si="2"/>
        <v>0</v>
      </c>
      <c r="S43" s="492">
        <v>0</v>
      </c>
      <c r="T43" s="492">
        <v>0</v>
      </c>
      <c r="U43" s="492">
        <v>0</v>
      </c>
      <c r="V43" s="492">
        <f>SUM(R43:U43)</f>
        <v>0</v>
      </c>
      <c r="W43" s="492">
        <v>0</v>
      </c>
      <c r="X43" s="492">
        <v>0</v>
      </c>
      <c r="Y43" s="492">
        <v>0</v>
      </c>
      <c r="Z43" s="492">
        <f t="shared" si="3"/>
        <v>0</v>
      </c>
      <c r="AA43" s="492">
        <f t="shared" si="4"/>
        <v>0</v>
      </c>
      <c r="AB43" s="74">
        <f t="shared" si="5"/>
        <v>0</v>
      </c>
      <c r="AC43" s="74">
        <f t="shared" si="6"/>
        <v>0</v>
      </c>
      <c r="AD43" s="492">
        <v>0</v>
      </c>
      <c r="AE43" s="492">
        <v>0</v>
      </c>
      <c r="AF43" s="492">
        <f>SUM(AD43:AE43)</f>
        <v>0</v>
      </c>
      <c r="AG43" s="492">
        <f>AA43+AB43+AC43+AF43</f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7"/>
        <v>0</v>
      </c>
      <c r="AP43" s="493">
        <f t="shared" si="8"/>
        <v>0</v>
      </c>
      <c r="AQ43" s="495">
        <f t="shared" si="9"/>
        <v>0</v>
      </c>
      <c r="AR43" s="501">
        <f>I43+AG43</f>
        <v>9326480</v>
      </c>
      <c r="AS43" s="492">
        <f>J43+V43</f>
        <v>6829698</v>
      </c>
      <c r="AT43" s="492">
        <f t="shared" ref="AT43:AT45" si="48">K43+Z43</f>
        <v>0</v>
      </c>
      <c r="AU43" s="492">
        <f t="shared" ref="AU43:AV45" si="49">L43+AB43</f>
        <v>2308438</v>
      </c>
      <c r="AV43" s="492">
        <f t="shared" si="49"/>
        <v>136594</v>
      </c>
      <c r="AW43" s="492">
        <f>N43+AF43</f>
        <v>51750</v>
      </c>
      <c r="AX43" s="493">
        <f>O43+AQ43</f>
        <v>14.761800000000001</v>
      </c>
      <c r="AY43" s="493">
        <f t="shared" ref="AY43:AZ45" si="50">P43+AO43</f>
        <v>11.2096</v>
      </c>
      <c r="AZ43" s="495">
        <f t="shared" si="50"/>
        <v>3.5522</v>
      </c>
    </row>
    <row r="44" spans="1:52" ht="14.1" customHeight="1" x14ac:dyDescent="0.2">
      <c r="A44" s="72">
        <v>9</v>
      </c>
      <c r="B44" s="69">
        <v>2327</v>
      </c>
      <c r="C44" s="70">
        <v>691002606</v>
      </c>
      <c r="D44" s="69">
        <v>72076950</v>
      </c>
      <c r="E44" s="71" t="s">
        <v>584</v>
      </c>
      <c r="F44" s="72">
        <v>3111</v>
      </c>
      <c r="G44" s="84" t="s">
        <v>313</v>
      </c>
      <c r="H44" s="73" t="s">
        <v>279</v>
      </c>
      <c r="I44" s="494">
        <v>470470</v>
      </c>
      <c r="J44" s="489">
        <v>346443</v>
      </c>
      <c r="K44" s="489">
        <v>0</v>
      </c>
      <c r="L44" s="489">
        <v>117098</v>
      </c>
      <c r="M44" s="489">
        <v>6929</v>
      </c>
      <c r="N44" s="489">
        <v>0</v>
      </c>
      <c r="O44" s="490">
        <v>1</v>
      </c>
      <c r="P44" s="491">
        <v>1</v>
      </c>
      <c r="Q44" s="500">
        <v>0</v>
      </c>
      <c r="R44" s="502">
        <f t="shared" si="2"/>
        <v>0</v>
      </c>
      <c r="S44" s="492">
        <v>0</v>
      </c>
      <c r="T44" s="492">
        <v>0</v>
      </c>
      <c r="U44" s="492">
        <v>0</v>
      </c>
      <c r="V44" s="492">
        <f>SUM(R44:U44)</f>
        <v>0</v>
      </c>
      <c r="W44" s="492">
        <v>0</v>
      </c>
      <c r="X44" s="492">
        <v>0</v>
      </c>
      <c r="Y44" s="492">
        <v>0</v>
      </c>
      <c r="Z44" s="492">
        <f t="shared" si="3"/>
        <v>0</v>
      </c>
      <c r="AA44" s="492">
        <f t="shared" si="4"/>
        <v>0</v>
      </c>
      <c r="AB44" s="74">
        <f t="shared" si="5"/>
        <v>0</v>
      </c>
      <c r="AC44" s="74">
        <f t="shared" si="6"/>
        <v>0</v>
      </c>
      <c r="AD44" s="492">
        <v>0</v>
      </c>
      <c r="AE44" s="492">
        <v>0</v>
      </c>
      <c r="AF44" s="492">
        <f>SUM(AD44:AE44)</f>
        <v>0</v>
      </c>
      <c r="AG44" s="492">
        <f>AA44+AB44+AC44+AF44</f>
        <v>0</v>
      </c>
      <c r="AH44" s="493">
        <v>0</v>
      </c>
      <c r="AI44" s="493">
        <v>0</v>
      </c>
      <c r="AJ44" s="493">
        <v>0</v>
      </c>
      <c r="AK44" s="493">
        <v>0</v>
      </c>
      <c r="AL44" s="493">
        <v>0</v>
      </c>
      <c r="AM44" s="493">
        <v>0</v>
      </c>
      <c r="AN44" s="493">
        <v>0</v>
      </c>
      <c r="AO44" s="493">
        <f t="shared" si="7"/>
        <v>0</v>
      </c>
      <c r="AP44" s="493">
        <f t="shared" si="8"/>
        <v>0</v>
      </c>
      <c r="AQ44" s="495">
        <f t="shared" si="9"/>
        <v>0</v>
      </c>
      <c r="AR44" s="501">
        <f>I44+AG44</f>
        <v>470470</v>
      </c>
      <c r="AS44" s="492">
        <f>J44+V44</f>
        <v>346443</v>
      </c>
      <c r="AT44" s="492">
        <f t="shared" si="48"/>
        <v>0</v>
      </c>
      <c r="AU44" s="492">
        <f t="shared" si="49"/>
        <v>117098</v>
      </c>
      <c r="AV44" s="492">
        <f t="shared" si="49"/>
        <v>6929</v>
      </c>
      <c r="AW44" s="492">
        <f>N44+AF44</f>
        <v>0</v>
      </c>
      <c r="AX44" s="493">
        <f>O44+AQ44</f>
        <v>1</v>
      </c>
      <c r="AY44" s="493">
        <f t="shared" si="50"/>
        <v>1</v>
      </c>
      <c r="AZ44" s="495">
        <f t="shared" si="50"/>
        <v>0</v>
      </c>
    </row>
    <row r="45" spans="1:52" ht="14.1" customHeight="1" x14ac:dyDescent="0.2">
      <c r="A45" s="72">
        <v>9</v>
      </c>
      <c r="B45" s="69">
        <v>2327</v>
      </c>
      <c r="C45" s="70">
        <v>691002606</v>
      </c>
      <c r="D45" s="69">
        <v>72076950</v>
      </c>
      <c r="E45" s="71" t="s">
        <v>584</v>
      </c>
      <c r="F45" s="72">
        <v>3141</v>
      </c>
      <c r="G45" s="71" t="s">
        <v>316</v>
      </c>
      <c r="H45" s="73" t="s">
        <v>279</v>
      </c>
      <c r="I45" s="494">
        <v>1244004</v>
      </c>
      <c r="J45" s="489">
        <v>911059</v>
      </c>
      <c r="K45" s="489">
        <v>0</v>
      </c>
      <c r="L45" s="489">
        <v>307938</v>
      </c>
      <c r="M45" s="489">
        <v>18221</v>
      </c>
      <c r="N45" s="489">
        <v>6786</v>
      </c>
      <c r="O45" s="490">
        <v>2.87</v>
      </c>
      <c r="P45" s="491">
        <v>0</v>
      </c>
      <c r="Q45" s="500">
        <v>2.87</v>
      </c>
      <c r="R45" s="502">
        <f t="shared" si="2"/>
        <v>0</v>
      </c>
      <c r="S45" s="492">
        <v>0</v>
      </c>
      <c r="T45" s="492">
        <v>0</v>
      </c>
      <c r="U45" s="492">
        <v>0</v>
      </c>
      <c r="V45" s="492">
        <f>SUM(R45:U45)</f>
        <v>0</v>
      </c>
      <c r="W45" s="492">
        <v>0</v>
      </c>
      <c r="X45" s="492">
        <v>0</v>
      </c>
      <c r="Y45" s="492">
        <v>0</v>
      </c>
      <c r="Z45" s="492">
        <f t="shared" si="3"/>
        <v>0</v>
      </c>
      <c r="AA45" s="492">
        <f t="shared" si="4"/>
        <v>0</v>
      </c>
      <c r="AB45" s="74">
        <f t="shared" si="5"/>
        <v>0</v>
      </c>
      <c r="AC45" s="74">
        <f t="shared" si="6"/>
        <v>0</v>
      </c>
      <c r="AD45" s="492">
        <v>0</v>
      </c>
      <c r="AE45" s="492">
        <v>0</v>
      </c>
      <c r="AF45" s="492">
        <f>SUM(AD45:AE45)</f>
        <v>0</v>
      </c>
      <c r="AG45" s="492">
        <f>AA45+AB45+AC45+AF45</f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si="7"/>
        <v>0</v>
      </c>
      <c r="AP45" s="493">
        <f t="shared" si="8"/>
        <v>0</v>
      </c>
      <c r="AQ45" s="495">
        <f t="shared" si="9"/>
        <v>0</v>
      </c>
      <c r="AR45" s="501">
        <f>I45+AG45</f>
        <v>1244004</v>
      </c>
      <c r="AS45" s="492">
        <f>J45+V45</f>
        <v>911059</v>
      </c>
      <c r="AT45" s="492">
        <f t="shared" si="48"/>
        <v>0</v>
      </c>
      <c r="AU45" s="492">
        <f t="shared" si="49"/>
        <v>307938</v>
      </c>
      <c r="AV45" s="492">
        <f t="shared" si="49"/>
        <v>18221</v>
      </c>
      <c r="AW45" s="492">
        <f>N45+AF45</f>
        <v>6786</v>
      </c>
      <c r="AX45" s="493">
        <f>O45+AQ45</f>
        <v>2.87</v>
      </c>
      <c r="AY45" s="493">
        <f t="shared" si="50"/>
        <v>0</v>
      </c>
      <c r="AZ45" s="495">
        <f t="shared" si="50"/>
        <v>2.87</v>
      </c>
    </row>
    <row r="46" spans="1:52" ht="14.1" customHeight="1" x14ac:dyDescent="0.2">
      <c r="A46" s="78">
        <v>9</v>
      </c>
      <c r="B46" s="75">
        <v>2327</v>
      </c>
      <c r="C46" s="76">
        <v>691002606</v>
      </c>
      <c r="D46" s="75">
        <v>72076950</v>
      </c>
      <c r="E46" s="77" t="s">
        <v>585</v>
      </c>
      <c r="F46" s="78"/>
      <c r="G46" s="77"/>
      <c r="H46" s="79"/>
      <c r="I46" s="80">
        <v>11040954</v>
      </c>
      <c r="J46" s="81">
        <v>8087200</v>
      </c>
      <c r="K46" s="81">
        <v>0</v>
      </c>
      <c r="L46" s="81">
        <v>2733474</v>
      </c>
      <c r="M46" s="81">
        <v>161744</v>
      </c>
      <c r="N46" s="81">
        <v>58536</v>
      </c>
      <c r="O46" s="82">
        <v>18.631800000000002</v>
      </c>
      <c r="P46" s="82">
        <v>12.2096</v>
      </c>
      <c r="Q46" s="452">
        <v>6.4222000000000001</v>
      </c>
      <c r="R46" s="80">
        <f t="shared" ref="R46:AZ46" si="51">SUM(R43:R45)</f>
        <v>0</v>
      </c>
      <c r="S46" s="81">
        <f t="shared" si="51"/>
        <v>0</v>
      </c>
      <c r="T46" s="81">
        <f t="shared" si="51"/>
        <v>0</v>
      </c>
      <c r="U46" s="81">
        <f t="shared" si="51"/>
        <v>0</v>
      </c>
      <c r="V46" s="81">
        <f t="shared" si="51"/>
        <v>0</v>
      </c>
      <c r="W46" s="81">
        <f t="shared" si="51"/>
        <v>0</v>
      </c>
      <c r="X46" s="81">
        <f t="shared" si="51"/>
        <v>0</v>
      </c>
      <c r="Y46" s="81">
        <f t="shared" si="51"/>
        <v>0</v>
      </c>
      <c r="Z46" s="81">
        <f t="shared" si="51"/>
        <v>0</v>
      </c>
      <c r="AA46" s="81">
        <f t="shared" si="51"/>
        <v>0</v>
      </c>
      <c r="AB46" s="81">
        <f t="shared" si="51"/>
        <v>0</v>
      </c>
      <c r="AC46" s="81">
        <f t="shared" si="51"/>
        <v>0</v>
      </c>
      <c r="AD46" s="81">
        <f t="shared" si="51"/>
        <v>0</v>
      </c>
      <c r="AE46" s="81">
        <f t="shared" si="51"/>
        <v>0</v>
      </c>
      <c r="AF46" s="81">
        <f t="shared" si="51"/>
        <v>0</v>
      </c>
      <c r="AG46" s="81">
        <f t="shared" si="51"/>
        <v>0</v>
      </c>
      <c r="AH46" s="82">
        <f t="shared" si="51"/>
        <v>0</v>
      </c>
      <c r="AI46" s="82">
        <f t="shared" si="51"/>
        <v>0</v>
      </c>
      <c r="AJ46" s="82">
        <f t="shared" si="51"/>
        <v>0</v>
      </c>
      <c r="AK46" s="82">
        <f t="shared" ref="AK46:AL46" si="52">SUM(AK43:AK45)</f>
        <v>0</v>
      </c>
      <c r="AL46" s="82">
        <f t="shared" si="52"/>
        <v>0</v>
      </c>
      <c r="AM46" s="82">
        <f t="shared" si="51"/>
        <v>0</v>
      </c>
      <c r="AN46" s="82">
        <f t="shared" si="51"/>
        <v>0</v>
      </c>
      <c r="AO46" s="82">
        <f t="shared" si="51"/>
        <v>0</v>
      </c>
      <c r="AP46" s="82">
        <f t="shared" si="51"/>
        <v>0</v>
      </c>
      <c r="AQ46" s="83">
        <f t="shared" si="51"/>
        <v>0</v>
      </c>
      <c r="AR46" s="438">
        <f t="shared" si="51"/>
        <v>11040954</v>
      </c>
      <c r="AS46" s="81">
        <f t="shared" si="51"/>
        <v>8087200</v>
      </c>
      <c r="AT46" s="81">
        <f t="shared" si="51"/>
        <v>0</v>
      </c>
      <c r="AU46" s="81">
        <f t="shared" si="51"/>
        <v>2733474</v>
      </c>
      <c r="AV46" s="81">
        <f t="shared" si="51"/>
        <v>161744</v>
      </c>
      <c r="AW46" s="81">
        <f t="shared" si="51"/>
        <v>58536</v>
      </c>
      <c r="AX46" s="82">
        <f t="shared" si="51"/>
        <v>18.631800000000002</v>
      </c>
      <c r="AY46" s="82">
        <f t="shared" si="51"/>
        <v>12.2096</v>
      </c>
      <c r="AZ46" s="83">
        <f t="shared" si="51"/>
        <v>6.4222000000000001</v>
      </c>
    </row>
    <row r="47" spans="1:52" ht="14.1" customHeight="1" x14ac:dyDescent="0.2">
      <c r="A47" s="72">
        <v>10</v>
      </c>
      <c r="B47" s="69">
        <v>2321</v>
      </c>
      <c r="C47" s="70">
        <v>600079287</v>
      </c>
      <c r="D47" s="69">
        <v>72742976</v>
      </c>
      <c r="E47" s="71" t="s">
        <v>586</v>
      </c>
      <c r="F47" s="72">
        <v>3111</v>
      </c>
      <c r="G47" s="71" t="s">
        <v>312</v>
      </c>
      <c r="H47" s="73" t="s">
        <v>278</v>
      </c>
      <c r="I47" s="494">
        <v>8890598</v>
      </c>
      <c r="J47" s="674">
        <v>6506405</v>
      </c>
      <c r="K47" s="674">
        <v>0</v>
      </c>
      <c r="L47" s="489">
        <v>2199165</v>
      </c>
      <c r="M47" s="489">
        <v>130128</v>
      </c>
      <c r="N47" s="489">
        <v>54900</v>
      </c>
      <c r="O47" s="490">
        <v>14.4038</v>
      </c>
      <c r="P47" s="490">
        <v>10.451599999999999</v>
      </c>
      <c r="Q47" s="500">
        <v>3.9522000000000004</v>
      </c>
      <c r="R47" s="502">
        <f t="shared" si="2"/>
        <v>0</v>
      </c>
      <c r="S47" s="492">
        <v>0</v>
      </c>
      <c r="T47" s="492">
        <v>0</v>
      </c>
      <c r="U47" s="492">
        <v>0</v>
      </c>
      <c r="V47" s="492">
        <f>SUM(R47:U47)</f>
        <v>0</v>
      </c>
      <c r="W47" s="492">
        <v>0</v>
      </c>
      <c r="X47" s="492">
        <v>0</v>
      </c>
      <c r="Y47" s="492">
        <v>0</v>
      </c>
      <c r="Z47" s="492">
        <f t="shared" si="3"/>
        <v>0</v>
      </c>
      <c r="AA47" s="492">
        <f t="shared" si="4"/>
        <v>0</v>
      </c>
      <c r="AB47" s="74">
        <f t="shared" si="5"/>
        <v>0</v>
      </c>
      <c r="AC47" s="74">
        <f t="shared" si="6"/>
        <v>0</v>
      </c>
      <c r="AD47" s="492">
        <v>0</v>
      </c>
      <c r="AE47" s="492">
        <v>0</v>
      </c>
      <c r="AF47" s="492">
        <f>SUM(AD47:AE47)</f>
        <v>0</v>
      </c>
      <c r="AG47" s="492">
        <f>AA47+AB47+AC47+AF47</f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7"/>
        <v>0</v>
      </c>
      <c r="AP47" s="493">
        <f t="shared" si="8"/>
        <v>0</v>
      </c>
      <c r="AQ47" s="495">
        <f t="shared" si="9"/>
        <v>0</v>
      </c>
      <c r="AR47" s="501">
        <f>I47+AG47</f>
        <v>8890598</v>
      </c>
      <c r="AS47" s="492">
        <f>J47+V47</f>
        <v>6506405</v>
      </c>
      <c r="AT47" s="492">
        <f t="shared" ref="AT47:AT48" si="53">K47+Z47</f>
        <v>0</v>
      </c>
      <c r="AU47" s="492">
        <f>L47+AB47</f>
        <v>2199165</v>
      </c>
      <c r="AV47" s="492">
        <f>M47+AC47</f>
        <v>130128</v>
      </c>
      <c r="AW47" s="492">
        <f>N47+AF47</f>
        <v>54900</v>
      </c>
      <c r="AX47" s="493">
        <f>O47+AQ47</f>
        <v>14.4038</v>
      </c>
      <c r="AY47" s="493">
        <f>P47+AO47</f>
        <v>10.451599999999999</v>
      </c>
      <c r="AZ47" s="495">
        <f>Q47+AP47</f>
        <v>3.9522000000000004</v>
      </c>
    </row>
    <row r="48" spans="1:52" ht="14.1" customHeight="1" x14ac:dyDescent="0.2">
      <c r="A48" s="72">
        <v>10</v>
      </c>
      <c r="B48" s="69">
        <v>2321</v>
      </c>
      <c r="C48" s="70">
        <v>600079287</v>
      </c>
      <c r="D48" s="69">
        <v>72742976</v>
      </c>
      <c r="E48" s="71" t="s">
        <v>586</v>
      </c>
      <c r="F48" s="72">
        <v>3141</v>
      </c>
      <c r="G48" s="71" t="s">
        <v>316</v>
      </c>
      <c r="H48" s="73" t="s">
        <v>279</v>
      </c>
      <c r="I48" s="494">
        <v>1574885</v>
      </c>
      <c r="J48" s="489">
        <v>1154456</v>
      </c>
      <c r="K48" s="489">
        <v>0</v>
      </c>
      <c r="L48" s="489">
        <v>390206</v>
      </c>
      <c r="M48" s="489">
        <v>23089</v>
      </c>
      <c r="N48" s="489">
        <v>7134</v>
      </c>
      <c r="O48" s="490">
        <v>3.6399999999999997</v>
      </c>
      <c r="P48" s="491">
        <v>0</v>
      </c>
      <c r="Q48" s="500">
        <v>3.6399999999999997</v>
      </c>
      <c r="R48" s="502">
        <f t="shared" si="2"/>
        <v>0</v>
      </c>
      <c r="S48" s="492">
        <v>0</v>
      </c>
      <c r="T48" s="492">
        <v>0</v>
      </c>
      <c r="U48" s="492">
        <v>0</v>
      </c>
      <c r="V48" s="492">
        <f>SUM(R48:U48)</f>
        <v>0</v>
      </c>
      <c r="W48" s="492">
        <v>0</v>
      </c>
      <c r="X48" s="492">
        <v>0</v>
      </c>
      <c r="Y48" s="492">
        <v>0</v>
      </c>
      <c r="Z48" s="492">
        <f t="shared" si="3"/>
        <v>0</v>
      </c>
      <c r="AA48" s="492">
        <f t="shared" si="4"/>
        <v>0</v>
      </c>
      <c r="AB48" s="74">
        <f t="shared" si="5"/>
        <v>0</v>
      </c>
      <c r="AC48" s="74">
        <f t="shared" si="6"/>
        <v>0</v>
      </c>
      <c r="AD48" s="492">
        <v>0</v>
      </c>
      <c r="AE48" s="492">
        <v>0</v>
      </c>
      <c r="AF48" s="492">
        <f>SUM(AD48:AE48)</f>
        <v>0</v>
      </c>
      <c r="AG48" s="492">
        <f>AA48+AB48+AC48+AF48</f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7"/>
        <v>0</v>
      </c>
      <c r="AP48" s="493">
        <f t="shared" si="8"/>
        <v>0</v>
      </c>
      <c r="AQ48" s="495">
        <f t="shared" si="9"/>
        <v>0</v>
      </c>
      <c r="AR48" s="501">
        <f>I48+AG48</f>
        <v>1574885</v>
      </c>
      <c r="AS48" s="492">
        <f>J48+V48</f>
        <v>1154456</v>
      </c>
      <c r="AT48" s="492">
        <f t="shared" si="53"/>
        <v>0</v>
      </c>
      <c r="AU48" s="492">
        <f>L48+AB48</f>
        <v>390206</v>
      </c>
      <c r="AV48" s="492">
        <f>M48+AC48</f>
        <v>23089</v>
      </c>
      <c r="AW48" s="492">
        <f>N48+AF48</f>
        <v>7134</v>
      </c>
      <c r="AX48" s="493">
        <f>O48+AQ48</f>
        <v>3.6399999999999997</v>
      </c>
      <c r="AY48" s="493">
        <f>P48+AO48</f>
        <v>0</v>
      </c>
      <c r="AZ48" s="495">
        <f>Q48+AP48</f>
        <v>3.6399999999999997</v>
      </c>
    </row>
    <row r="49" spans="1:52" ht="14.1" customHeight="1" x14ac:dyDescent="0.2">
      <c r="A49" s="78">
        <v>10</v>
      </c>
      <c r="B49" s="75">
        <v>2321</v>
      </c>
      <c r="C49" s="76">
        <v>600079287</v>
      </c>
      <c r="D49" s="75">
        <v>72742976</v>
      </c>
      <c r="E49" s="77" t="s">
        <v>587</v>
      </c>
      <c r="F49" s="78"/>
      <c r="G49" s="77"/>
      <c r="H49" s="79"/>
      <c r="I49" s="80">
        <v>10465483</v>
      </c>
      <c r="J49" s="81">
        <v>7660861</v>
      </c>
      <c r="K49" s="81">
        <v>0</v>
      </c>
      <c r="L49" s="81">
        <v>2589371</v>
      </c>
      <c r="M49" s="81">
        <v>153217</v>
      </c>
      <c r="N49" s="81">
        <v>62034</v>
      </c>
      <c r="O49" s="82">
        <v>18.043800000000001</v>
      </c>
      <c r="P49" s="82">
        <v>10.451599999999999</v>
      </c>
      <c r="Q49" s="452">
        <v>7.5922000000000001</v>
      </c>
      <c r="R49" s="80">
        <f t="shared" ref="R49:AZ49" si="54">SUM(R47:R48)</f>
        <v>0</v>
      </c>
      <c r="S49" s="81">
        <f t="shared" si="54"/>
        <v>0</v>
      </c>
      <c r="T49" s="81">
        <f t="shared" si="54"/>
        <v>0</v>
      </c>
      <c r="U49" s="81">
        <f t="shared" si="54"/>
        <v>0</v>
      </c>
      <c r="V49" s="81">
        <f t="shared" si="54"/>
        <v>0</v>
      </c>
      <c r="W49" s="81">
        <f t="shared" si="54"/>
        <v>0</v>
      </c>
      <c r="X49" s="81">
        <f t="shared" si="54"/>
        <v>0</v>
      </c>
      <c r="Y49" s="81">
        <f t="shared" si="54"/>
        <v>0</v>
      </c>
      <c r="Z49" s="81">
        <f t="shared" si="54"/>
        <v>0</v>
      </c>
      <c r="AA49" s="81">
        <f t="shared" si="54"/>
        <v>0</v>
      </c>
      <c r="AB49" s="81">
        <f t="shared" si="54"/>
        <v>0</v>
      </c>
      <c r="AC49" s="81">
        <f t="shared" si="54"/>
        <v>0</v>
      </c>
      <c r="AD49" s="81">
        <f t="shared" si="54"/>
        <v>0</v>
      </c>
      <c r="AE49" s="81">
        <f t="shared" si="54"/>
        <v>0</v>
      </c>
      <c r="AF49" s="81">
        <f t="shared" si="54"/>
        <v>0</v>
      </c>
      <c r="AG49" s="81">
        <f t="shared" si="54"/>
        <v>0</v>
      </c>
      <c r="AH49" s="82">
        <f t="shared" si="54"/>
        <v>0</v>
      </c>
      <c r="AI49" s="82">
        <f t="shared" si="54"/>
        <v>0</v>
      </c>
      <c r="AJ49" s="82">
        <f t="shared" si="54"/>
        <v>0</v>
      </c>
      <c r="AK49" s="82">
        <f t="shared" ref="AK49:AL49" si="55">SUM(AK47:AK48)</f>
        <v>0</v>
      </c>
      <c r="AL49" s="82">
        <f t="shared" si="55"/>
        <v>0</v>
      </c>
      <c r="AM49" s="82">
        <f t="shared" si="54"/>
        <v>0</v>
      </c>
      <c r="AN49" s="82">
        <f t="shared" si="54"/>
        <v>0</v>
      </c>
      <c r="AO49" s="82">
        <f t="shared" si="54"/>
        <v>0</v>
      </c>
      <c r="AP49" s="82">
        <f t="shared" si="54"/>
        <v>0</v>
      </c>
      <c r="AQ49" s="83">
        <f t="shared" si="54"/>
        <v>0</v>
      </c>
      <c r="AR49" s="438">
        <f t="shared" si="54"/>
        <v>10465483</v>
      </c>
      <c r="AS49" s="81">
        <f t="shared" si="54"/>
        <v>7660861</v>
      </c>
      <c r="AT49" s="81">
        <f t="shared" si="54"/>
        <v>0</v>
      </c>
      <c r="AU49" s="81">
        <f t="shared" si="54"/>
        <v>2589371</v>
      </c>
      <c r="AV49" s="81">
        <f t="shared" si="54"/>
        <v>153217</v>
      </c>
      <c r="AW49" s="81">
        <f t="shared" si="54"/>
        <v>62034</v>
      </c>
      <c r="AX49" s="82">
        <f t="shared" si="54"/>
        <v>18.043800000000001</v>
      </c>
      <c r="AY49" s="82">
        <f t="shared" si="54"/>
        <v>10.451599999999999</v>
      </c>
      <c r="AZ49" s="83">
        <f t="shared" si="54"/>
        <v>7.5922000000000001</v>
      </c>
    </row>
    <row r="50" spans="1:52" ht="14.1" customHeight="1" x14ac:dyDescent="0.2">
      <c r="A50" s="72">
        <v>11</v>
      </c>
      <c r="B50" s="69">
        <v>2423</v>
      </c>
      <c r="C50" s="70">
        <v>600079368</v>
      </c>
      <c r="D50" s="69">
        <v>72742828</v>
      </c>
      <c r="E50" s="71" t="s">
        <v>588</v>
      </c>
      <c r="F50" s="72">
        <v>3111</v>
      </c>
      <c r="G50" s="71" t="s">
        <v>312</v>
      </c>
      <c r="H50" s="73" t="s">
        <v>278</v>
      </c>
      <c r="I50" s="494">
        <v>3696037</v>
      </c>
      <c r="J50" s="674">
        <v>2692300</v>
      </c>
      <c r="K50" s="674">
        <v>13000</v>
      </c>
      <c r="L50" s="489">
        <v>914391</v>
      </c>
      <c r="M50" s="489">
        <v>53846</v>
      </c>
      <c r="N50" s="489">
        <v>22500</v>
      </c>
      <c r="O50" s="490">
        <v>5.6555999999999997</v>
      </c>
      <c r="P50" s="490">
        <v>4.2257999999999996</v>
      </c>
      <c r="Q50" s="500">
        <v>1.4298</v>
      </c>
      <c r="R50" s="502">
        <f t="shared" si="2"/>
        <v>0</v>
      </c>
      <c r="S50" s="492">
        <v>0</v>
      </c>
      <c r="T50" s="492">
        <v>0</v>
      </c>
      <c r="U50" s="492">
        <v>0</v>
      </c>
      <c r="V50" s="492">
        <f>SUM(R50:U50)</f>
        <v>0</v>
      </c>
      <c r="W50" s="492">
        <v>0</v>
      </c>
      <c r="X50" s="492">
        <v>0</v>
      </c>
      <c r="Y50" s="492">
        <v>0</v>
      </c>
      <c r="Z50" s="492">
        <f t="shared" si="3"/>
        <v>0</v>
      </c>
      <c r="AA50" s="492">
        <f t="shared" si="4"/>
        <v>0</v>
      </c>
      <c r="AB50" s="74">
        <f t="shared" si="5"/>
        <v>0</v>
      </c>
      <c r="AC50" s="74">
        <f t="shared" si="6"/>
        <v>0</v>
      </c>
      <c r="AD50" s="492">
        <v>0</v>
      </c>
      <c r="AE50" s="492">
        <v>0</v>
      </c>
      <c r="AF50" s="492">
        <f>SUM(AD50:AE50)</f>
        <v>0</v>
      </c>
      <c r="AG50" s="492">
        <f>AA50+AB50+AC50+AF50</f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7"/>
        <v>0</v>
      </c>
      <c r="AP50" s="493">
        <f t="shared" si="8"/>
        <v>0</v>
      </c>
      <c r="AQ50" s="495">
        <f t="shared" si="9"/>
        <v>0</v>
      </c>
      <c r="AR50" s="501">
        <f>I50+AG50</f>
        <v>3696037</v>
      </c>
      <c r="AS50" s="492">
        <f>J50+V50</f>
        <v>2692300</v>
      </c>
      <c r="AT50" s="492">
        <f t="shared" ref="AT50:AT51" si="56">K50+Z50</f>
        <v>13000</v>
      </c>
      <c r="AU50" s="492">
        <f>L50+AB50</f>
        <v>914391</v>
      </c>
      <c r="AV50" s="492">
        <f>M50+AC50</f>
        <v>53846</v>
      </c>
      <c r="AW50" s="492">
        <f>N50+AF50</f>
        <v>22500</v>
      </c>
      <c r="AX50" s="493">
        <f>O50+AQ50</f>
        <v>5.6555999999999997</v>
      </c>
      <c r="AY50" s="493">
        <f>P50+AO50</f>
        <v>4.2257999999999996</v>
      </c>
      <c r="AZ50" s="495">
        <f>Q50+AP50</f>
        <v>1.4298</v>
      </c>
    </row>
    <row r="51" spans="1:52" ht="14.1" customHeight="1" x14ac:dyDescent="0.2">
      <c r="A51" s="72">
        <v>11</v>
      </c>
      <c r="B51" s="69">
        <v>2423</v>
      </c>
      <c r="C51" s="70">
        <v>600079368</v>
      </c>
      <c r="D51" s="69">
        <v>72742828</v>
      </c>
      <c r="E51" s="71" t="s">
        <v>588</v>
      </c>
      <c r="F51" s="72">
        <v>3141</v>
      </c>
      <c r="G51" s="71" t="s">
        <v>316</v>
      </c>
      <c r="H51" s="73" t="s">
        <v>279</v>
      </c>
      <c r="I51" s="494">
        <v>687718</v>
      </c>
      <c r="J51" s="489">
        <v>504284</v>
      </c>
      <c r="K51" s="489">
        <v>0</v>
      </c>
      <c r="L51" s="489">
        <v>170448</v>
      </c>
      <c r="M51" s="489">
        <v>10086</v>
      </c>
      <c r="N51" s="489">
        <v>2900</v>
      </c>
      <c r="O51" s="490">
        <v>1.59</v>
      </c>
      <c r="P51" s="491">
        <v>0</v>
      </c>
      <c r="Q51" s="500">
        <v>1.59</v>
      </c>
      <c r="R51" s="502">
        <f t="shared" si="2"/>
        <v>0</v>
      </c>
      <c r="S51" s="492">
        <v>0</v>
      </c>
      <c r="T51" s="492">
        <v>0</v>
      </c>
      <c r="U51" s="492">
        <v>0</v>
      </c>
      <c r="V51" s="492">
        <f>SUM(R51:U51)</f>
        <v>0</v>
      </c>
      <c r="W51" s="492">
        <v>0</v>
      </c>
      <c r="X51" s="492">
        <v>0</v>
      </c>
      <c r="Y51" s="492">
        <v>0</v>
      </c>
      <c r="Z51" s="492">
        <f t="shared" si="3"/>
        <v>0</v>
      </c>
      <c r="AA51" s="492">
        <f t="shared" si="4"/>
        <v>0</v>
      </c>
      <c r="AB51" s="74">
        <f t="shared" si="5"/>
        <v>0</v>
      </c>
      <c r="AC51" s="74">
        <f t="shared" si="6"/>
        <v>0</v>
      </c>
      <c r="AD51" s="492">
        <v>0</v>
      </c>
      <c r="AE51" s="492">
        <v>0</v>
      </c>
      <c r="AF51" s="492">
        <f>SUM(AD51:AE51)</f>
        <v>0</v>
      </c>
      <c r="AG51" s="492">
        <f>AA51+AB51+AC51+AF51</f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7"/>
        <v>0</v>
      </c>
      <c r="AP51" s="493">
        <f t="shared" si="8"/>
        <v>0</v>
      </c>
      <c r="AQ51" s="495">
        <f t="shared" si="9"/>
        <v>0</v>
      </c>
      <c r="AR51" s="501">
        <f>I51+AG51</f>
        <v>687718</v>
      </c>
      <c r="AS51" s="492">
        <f>J51+V51</f>
        <v>504284</v>
      </c>
      <c r="AT51" s="492">
        <f t="shared" si="56"/>
        <v>0</v>
      </c>
      <c r="AU51" s="492">
        <f>L51+AB51</f>
        <v>170448</v>
      </c>
      <c r="AV51" s="492">
        <f>M51+AC51</f>
        <v>10086</v>
      </c>
      <c r="AW51" s="492">
        <f>N51+AF51</f>
        <v>2900</v>
      </c>
      <c r="AX51" s="493">
        <f>O51+AQ51</f>
        <v>1.59</v>
      </c>
      <c r="AY51" s="493">
        <f>P51+AO51</f>
        <v>0</v>
      </c>
      <c r="AZ51" s="495">
        <f>Q51+AP51</f>
        <v>1.59</v>
      </c>
    </row>
    <row r="52" spans="1:52" ht="14.1" customHeight="1" x14ac:dyDescent="0.2">
      <c r="A52" s="78">
        <v>11</v>
      </c>
      <c r="B52" s="75">
        <v>2423</v>
      </c>
      <c r="C52" s="76">
        <v>600079368</v>
      </c>
      <c r="D52" s="75">
        <v>72742828</v>
      </c>
      <c r="E52" s="77" t="s">
        <v>589</v>
      </c>
      <c r="F52" s="78"/>
      <c r="G52" s="77"/>
      <c r="H52" s="79"/>
      <c r="I52" s="80">
        <v>4383755</v>
      </c>
      <c r="J52" s="81">
        <v>3196584</v>
      </c>
      <c r="K52" s="81">
        <v>13000</v>
      </c>
      <c r="L52" s="81">
        <v>1084839</v>
      </c>
      <c r="M52" s="81">
        <v>63932</v>
      </c>
      <c r="N52" s="81">
        <v>25400</v>
      </c>
      <c r="O52" s="82">
        <v>7.2455999999999996</v>
      </c>
      <c r="P52" s="82">
        <v>4.2257999999999996</v>
      </c>
      <c r="Q52" s="452">
        <v>3.0198</v>
      </c>
      <c r="R52" s="80">
        <f t="shared" ref="R52:AZ52" si="57">SUM(R50:R51)</f>
        <v>0</v>
      </c>
      <c r="S52" s="81">
        <f t="shared" si="57"/>
        <v>0</v>
      </c>
      <c r="T52" s="81">
        <f t="shared" si="57"/>
        <v>0</v>
      </c>
      <c r="U52" s="81">
        <f t="shared" si="57"/>
        <v>0</v>
      </c>
      <c r="V52" s="81">
        <f t="shared" si="57"/>
        <v>0</v>
      </c>
      <c r="W52" s="81">
        <f t="shared" si="57"/>
        <v>0</v>
      </c>
      <c r="X52" s="81">
        <f t="shared" si="57"/>
        <v>0</v>
      </c>
      <c r="Y52" s="81">
        <f t="shared" si="57"/>
        <v>0</v>
      </c>
      <c r="Z52" s="81">
        <f t="shared" si="57"/>
        <v>0</v>
      </c>
      <c r="AA52" s="81">
        <f t="shared" si="57"/>
        <v>0</v>
      </c>
      <c r="AB52" s="81">
        <f t="shared" si="57"/>
        <v>0</v>
      </c>
      <c r="AC52" s="81">
        <f t="shared" si="57"/>
        <v>0</v>
      </c>
      <c r="AD52" s="81">
        <f t="shared" si="57"/>
        <v>0</v>
      </c>
      <c r="AE52" s="81">
        <f t="shared" si="57"/>
        <v>0</v>
      </c>
      <c r="AF52" s="81">
        <f t="shared" si="57"/>
        <v>0</v>
      </c>
      <c r="AG52" s="81">
        <f t="shared" si="57"/>
        <v>0</v>
      </c>
      <c r="AH52" s="82">
        <f t="shared" si="57"/>
        <v>0</v>
      </c>
      <c r="AI52" s="82">
        <f t="shared" si="57"/>
        <v>0</v>
      </c>
      <c r="AJ52" s="82">
        <f t="shared" si="57"/>
        <v>0</v>
      </c>
      <c r="AK52" s="82">
        <f t="shared" ref="AK52:AL52" si="58">SUM(AK50:AK51)</f>
        <v>0</v>
      </c>
      <c r="AL52" s="82">
        <f t="shared" si="58"/>
        <v>0</v>
      </c>
      <c r="AM52" s="82">
        <f t="shared" si="57"/>
        <v>0</v>
      </c>
      <c r="AN52" s="82">
        <f t="shared" si="57"/>
        <v>0</v>
      </c>
      <c r="AO52" s="82">
        <f t="shared" si="57"/>
        <v>0</v>
      </c>
      <c r="AP52" s="82">
        <f t="shared" si="57"/>
        <v>0</v>
      </c>
      <c r="AQ52" s="83">
        <f t="shared" si="57"/>
        <v>0</v>
      </c>
      <c r="AR52" s="438">
        <f t="shared" si="57"/>
        <v>4383755</v>
      </c>
      <c r="AS52" s="81">
        <f t="shared" si="57"/>
        <v>3196584</v>
      </c>
      <c r="AT52" s="81">
        <f t="shared" si="57"/>
        <v>13000</v>
      </c>
      <c r="AU52" s="81">
        <f t="shared" si="57"/>
        <v>1084839</v>
      </c>
      <c r="AV52" s="81">
        <f t="shared" si="57"/>
        <v>63932</v>
      </c>
      <c r="AW52" s="81">
        <f t="shared" si="57"/>
        <v>25400</v>
      </c>
      <c r="AX52" s="82">
        <f t="shared" si="57"/>
        <v>7.2455999999999996</v>
      </c>
      <c r="AY52" s="82">
        <f t="shared" si="57"/>
        <v>4.2257999999999996</v>
      </c>
      <c r="AZ52" s="83">
        <f t="shared" si="57"/>
        <v>3.0198</v>
      </c>
    </row>
    <row r="53" spans="1:52" ht="14.1" customHeight="1" x14ac:dyDescent="0.2">
      <c r="A53" s="72">
        <v>12</v>
      </c>
      <c r="B53" s="69">
        <v>2428</v>
      </c>
      <c r="C53" s="70">
        <v>600079112</v>
      </c>
      <c r="D53" s="69">
        <v>72743140</v>
      </c>
      <c r="E53" s="71" t="s">
        <v>590</v>
      </c>
      <c r="F53" s="72">
        <v>3111</v>
      </c>
      <c r="G53" s="71" t="s">
        <v>312</v>
      </c>
      <c r="H53" s="73" t="s">
        <v>278</v>
      </c>
      <c r="I53" s="494">
        <v>7239712</v>
      </c>
      <c r="J53" s="674">
        <v>5253235</v>
      </c>
      <c r="K53" s="674">
        <v>46800</v>
      </c>
      <c r="L53" s="489">
        <v>1791412</v>
      </c>
      <c r="M53" s="489">
        <v>105065</v>
      </c>
      <c r="N53" s="489">
        <v>43200</v>
      </c>
      <c r="O53" s="490">
        <v>11.4124</v>
      </c>
      <c r="P53" s="490">
        <v>8.7742000000000004</v>
      </c>
      <c r="Q53" s="500">
        <v>2.6381999999999999</v>
      </c>
      <c r="R53" s="502">
        <f t="shared" si="2"/>
        <v>0</v>
      </c>
      <c r="S53" s="492">
        <v>0</v>
      </c>
      <c r="T53" s="492">
        <v>0</v>
      </c>
      <c r="U53" s="492">
        <v>0</v>
      </c>
      <c r="V53" s="492">
        <f>SUM(R53:U53)</f>
        <v>0</v>
      </c>
      <c r="W53" s="492">
        <v>0</v>
      </c>
      <c r="X53" s="492">
        <v>0</v>
      </c>
      <c r="Y53" s="492">
        <v>0</v>
      </c>
      <c r="Z53" s="492">
        <f t="shared" si="3"/>
        <v>0</v>
      </c>
      <c r="AA53" s="492">
        <f t="shared" si="4"/>
        <v>0</v>
      </c>
      <c r="AB53" s="74">
        <f t="shared" si="5"/>
        <v>0</v>
      </c>
      <c r="AC53" s="74">
        <f t="shared" si="6"/>
        <v>0</v>
      </c>
      <c r="AD53" s="492">
        <v>0</v>
      </c>
      <c r="AE53" s="492">
        <v>0</v>
      </c>
      <c r="AF53" s="492">
        <f>SUM(AD53:AE53)</f>
        <v>0</v>
      </c>
      <c r="AG53" s="492">
        <f>AA53+AB53+AC53+AF53</f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si="7"/>
        <v>0</v>
      </c>
      <c r="AP53" s="493">
        <f t="shared" si="8"/>
        <v>0</v>
      </c>
      <c r="AQ53" s="495">
        <f t="shared" si="9"/>
        <v>0</v>
      </c>
      <c r="AR53" s="501">
        <f>I53+AG53</f>
        <v>7239712</v>
      </c>
      <c r="AS53" s="492">
        <f>J53+V53</f>
        <v>5253235</v>
      </c>
      <c r="AT53" s="492">
        <f t="shared" ref="AT53:AT54" si="59">K53+Z53</f>
        <v>46800</v>
      </c>
      <c r="AU53" s="492">
        <f>L53+AB53</f>
        <v>1791412</v>
      </c>
      <c r="AV53" s="492">
        <f>M53+AC53</f>
        <v>105065</v>
      </c>
      <c r="AW53" s="492">
        <f>N53+AF53</f>
        <v>43200</v>
      </c>
      <c r="AX53" s="493">
        <f>O53+AQ53</f>
        <v>11.4124</v>
      </c>
      <c r="AY53" s="493">
        <f>P53+AO53</f>
        <v>8.7742000000000004</v>
      </c>
      <c r="AZ53" s="495">
        <f>Q53+AP53</f>
        <v>2.6381999999999999</v>
      </c>
    </row>
    <row r="54" spans="1:52" ht="14.1" customHeight="1" x14ac:dyDescent="0.2">
      <c r="A54" s="72">
        <v>12</v>
      </c>
      <c r="B54" s="69">
        <v>2428</v>
      </c>
      <c r="C54" s="70">
        <v>600079112</v>
      </c>
      <c r="D54" s="69">
        <v>72743140</v>
      </c>
      <c r="E54" s="71" t="s">
        <v>590</v>
      </c>
      <c r="F54" s="72">
        <v>3141</v>
      </c>
      <c r="G54" s="71" t="s">
        <v>316</v>
      </c>
      <c r="H54" s="73" t="s">
        <v>279</v>
      </c>
      <c r="I54" s="494">
        <v>1073794</v>
      </c>
      <c r="J54" s="489">
        <v>785976</v>
      </c>
      <c r="K54" s="489">
        <v>650</v>
      </c>
      <c r="L54" s="489">
        <v>265880</v>
      </c>
      <c r="M54" s="489">
        <v>15720</v>
      </c>
      <c r="N54" s="489">
        <v>5568</v>
      </c>
      <c r="O54" s="490">
        <v>2.48</v>
      </c>
      <c r="P54" s="491">
        <v>0</v>
      </c>
      <c r="Q54" s="500">
        <v>2.48</v>
      </c>
      <c r="R54" s="502">
        <f t="shared" si="2"/>
        <v>0</v>
      </c>
      <c r="S54" s="492">
        <v>0</v>
      </c>
      <c r="T54" s="492">
        <v>0</v>
      </c>
      <c r="U54" s="492">
        <v>0</v>
      </c>
      <c r="V54" s="492">
        <f>SUM(R54:U54)</f>
        <v>0</v>
      </c>
      <c r="W54" s="492">
        <v>0</v>
      </c>
      <c r="X54" s="492">
        <v>0</v>
      </c>
      <c r="Y54" s="492">
        <v>0</v>
      </c>
      <c r="Z54" s="492">
        <f t="shared" si="3"/>
        <v>0</v>
      </c>
      <c r="AA54" s="492">
        <f t="shared" si="4"/>
        <v>0</v>
      </c>
      <c r="AB54" s="74">
        <f t="shared" si="5"/>
        <v>0</v>
      </c>
      <c r="AC54" s="74">
        <f t="shared" si="6"/>
        <v>0</v>
      </c>
      <c r="AD54" s="492">
        <v>0</v>
      </c>
      <c r="AE54" s="492">
        <v>0</v>
      </c>
      <c r="AF54" s="492">
        <f>SUM(AD54:AE54)</f>
        <v>0</v>
      </c>
      <c r="AG54" s="492">
        <f>AA54+AB54+AC54+AF54</f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7"/>
        <v>0</v>
      </c>
      <c r="AP54" s="493">
        <f t="shared" si="8"/>
        <v>0</v>
      </c>
      <c r="AQ54" s="495">
        <f t="shared" si="9"/>
        <v>0</v>
      </c>
      <c r="AR54" s="501">
        <f>I54+AG54</f>
        <v>1073794</v>
      </c>
      <c r="AS54" s="492">
        <f>J54+V54</f>
        <v>785976</v>
      </c>
      <c r="AT54" s="492">
        <f t="shared" si="59"/>
        <v>650</v>
      </c>
      <c r="AU54" s="492">
        <f>L54+AB54</f>
        <v>265880</v>
      </c>
      <c r="AV54" s="492">
        <f>M54+AC54</f>
        <v>15720</v>
      </c>
      <c r="AW54" s="492">
        <f>N54+AF54</f>
        <v>5568</v>
      </c>
      <c r="AX54" s="493">
        <f>O54+AQ54</f>
        <v>2.48</v>
      </c>
      <c r="AY54" s="493">
        <f>P54+AO54</f>
        <v>0</v>
      </c>
      <c r="AZ54" s="495">
        <f>Q54+AP54</f>
        <v>2.48</v>
      </c>
    </row>
    <row r="55" spans="1:52" ht="14.1" customHeight="1" x14ac:dyDescent="0.2">
      <c r="A55" s="78">
        <v>12</v>
      </c>
      <c r="B55" s="75">
        <v>2428</v>
      </c>
      <c r="C55" s="76">
        <v>600079112</v>
      </c>
      <c r="D55" s="75">
        <v>72743140</v>
      </c>
      <c r="E55" s="77" t="s">
        <v>591</v>
      </c>
      <c r="F55" s="78"/>
      <c r="G55" s="77"/>
      <c r="H55" s="79"/>
      <c r="I55" s="80">
        <v>8313506</v>
      </c>
      <c r="J55" s="81">
        <v>6039211</v>
      </c>
      <c r="K55" s="81">
        <v>47450</v>
      </c>
      <c r="L55" s="81">
        <v>2057292</v>
      </c>
      <c r="M55" s="81">
        <v>120785</v>
      </c>
      <c r="N55" s="81">
        <v>48768</v>
      </c>
      <c r="O55" s="82">
        <v>13.8924</v>
      </c>
      <c r="P55" s="82">
        <v>8.7742000000000004</v>
      </c>
      <c r="Q55" s="452">
        <v>5.1181999999999999</v>
      </c>
      <c r="R55" s="80">
        <f t="shared" ref="R55:AZ55" si="60">SUM(R53:R54)</f>
        <v>0</v>
      </c>
      <c r="S55" s="81">
        <f t="shared" si="60"/>
        <v>0</v>
      </c>
      <c r="T55" s="81">
        <f t="shared" si="60"/>
        <v>0</v>
      </c>
      <c r="U55" s="81">
        <f t="shared" si="60"/>
        <v>0</v>
      </c>
      <c r="V55" s="81">
        <f t="shared" si="60"/>
        <v>0</v>
      </c>
      <c r="W55" s="81">
        <f t="shared" si="60"/>
        <v>0</v>
      </c>
      <c r="X55" s="81">
        <f t="shared" si="60"/>
        <v>0</v>
      </c>
      <c r="Y55" s="81">
        <f t="shared" si="60"/>
        <v>0</v>
      </c>
      <c r="Z55" s="81">
        <f t="shared" si="60"/>
        <v>0</v>
      </c>
      <c r="AA55" s="81">
        <f t="shared" si="60"/>
        <v>0</v>
      </c>
      <c r="AB55" s="81">
        <f t="shared" si="60"/>
        <v>0</v>
      </c>
      <c r="AC55" s="81">
        <f t="shared" si="60"/>
        <v>0</v>
      </c>
      <c r="AD55" s="81">
        <f t="shared" si="60"/>
        <v>0</v>
      </c>
      <c r="AE55" s="81">
        <f t="shared" si="60"/>
        <v>0</v>
      </c>
      <c r="AF55" s="81">
        <f t="shared" si="60"/>
        <v>0</v>
      </c>
      <c r="AG55" s="81">
        <f t="shared" si="60"/>
        <v>0</v>
      </c>
      <c r="AH55" s="82">
        <f t="shared" si="60"/>
        <v>0</v>
      </c>
      <c r="AI55" s="82">
        <f t="shared" si="60"/>
        <v>0</v>
      </c>
      <c r="AJ55" s="82">
        <f t="shared" si="60"/>
        <v>0</v>
      </c>
      <c r="AK55" s="82">
        <f t="shared" ref="AK55:AL55" si="61">SUM(AK53:AK54)</f>
        <v>0</v>
      </c>
      <c r="AL55" s="82">
        <f t="shared" si="61"/>
        <v>0</v>
      </c>
      <c r="AM55" s="82">
        <f t="shared" si="60"/>
        <v>0</v>
      </c>
      <c r="AN55" s="82">
        <f t="shared" si="60"/>
        <v>0</v>
      </c>
      <c r="AO55" s="82">
        <f t="shared" si="60"/>
        <v>0</v>
      </c>
      <c r="AP55" s="82">
        <f t="shared" si="60"/>
        <v>0</v>
      </c>
      <c r="AQ55" s="83">
        <f t="shared" si="60"/>
        <v>0</v>
      </c>
      <c r="AR55" s="438">
        <f t="shared" si="60"/>
        <v>8313506</v>
      </c>
      <c r="AS55" s="81">
        <f t="shared" si="60"/>
        <v>6039211</v>
      </c>
      <c r="AT55" s="81">
        <f t="shared" si="60"/>
        <v>47450</v>
      </c>
      <c r="AU55" s="81">
        <f t="shared" si="60"/>
        <v>2057292</v>
      </c>
      <c r="AV55" s="81">
        <f t="shared" si="60"/>
        <v>120785</v>
      </c>
      <c r="AW55" s="81">
        <f t="shared" si="60"/>
        <v>48768</v>
      </c>
      <c r="AX55" s="82">
        <f t="shared" si="60"/>
        <v>13.8924</v>
      </c>
      <c r="AY55" s="82">
        <f t="shared" si="60"/>
        <v>8.7742000000000004</v>
      </c>
      <c r="AZ55" s="83">
        <f t="shared" si="60"/>
        <v>5.1181999999999999</v>
      </c>
    </row>
    <row r="56" spans="1:52" ht="14.1" customHeight="1" x14ac:dyDescent="0.2">
      <c r="A56" s="72">
        <v>13</v>
      </c>
      <c r="B56" s="69">
        <v>2413</v>
      </c>
      <c r="C56" s="70">
        <v>600079601</v>
      </c>
      <c r="D56" s="69">
        <v>72742909</v>
      </c>
      <c r="E56" s="71" t="s">
        <v>592</v>
      </c>
      <c r="F56" s="72">
        <v>3111</v>
      </c>
      <c r="G56" s="71" t="s">
        <v>312</v>
      </c>
      <c r="H56" s="73" t="s">
        <v>278</v>
      </c>
      <c r="I56" s="494">
        <v>5286397</v>
      </c>
      <c r="J56" s="674">
        <v>3868923</v>
      </c>
      <c r="K56" s="674">
        <v>0</v>
      </c>
      <c r="L56" s="489">
        <v>1307696</v>
      </c>
      <c r="M56" s="489">
        <v>77378</v>
      </c>
      <c r="N56" s="489">
        <v>32400</v>
      </c>
      <c r="O56" s="490">
        <v>8.3765999999999998</v>
      </c>
      <c r="P56" s="490">
        <v>6.2423999999999999</v>
      </c>
      <c r="Q56" s="500">
        <v>2.1341999999999999</v>
      </c>
      <c r="R56" s="502">
        <f t="shared" si="2"/>
        <v>0</v>
      </c>
      <c r="S56" s="492">
        <v>0</v>
      </c>
      <c r="T56" s="492">
        <v>0</v>
      </c>
      <c r="U56" s="492">
        <v>0</v>
      </c>
      <c r="V56" s="492">
        <f>SUM(R56:U56)</f>
        <v>0</v>
      </c>
      <c r="W56" s="492">
        <v>0</v>
      </c>
      <c r="X56" s="492">
        <v>0</v>
      </c>
      <c r="Y56" s="492">
        <v>0</v>
      </c>
      <c r="Z56" s="492">
        <f t="shared" si="3"/>
        <v>0</v>
      </c>
      <c r="AA56" s="492">
        <f t="shared" si="4"/>
        <v>0</v>
      </c>
      <c r="AB56" s="74">
        <f t="shared" si="5"/>
        <v>0</v>
      </c>
      <c r="AC56" s="74">
        <f t="shared" si="6"/>
        <v>0</v>
      </c>
      <c r="AD56" s="492">
        <v>0</v>
      </c>
      <c r="AE56" s="492">
        <v>0</v>
      </c>
      <c r="AF56" s="492">
        <f>SUM(AD56:AE56)</f>
        <v>0</v>
      </c>
      <c r="AG56" s="492">
        <f>AA56+AB56+AC56+AF56</f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7"/>
        <v>0</v>
      </c>
      <c r="AP56" s="493">
        <f t="shared" si="8"/>
        <v>0</v>
      </c>
      <c r="AQ56" s="495">
        <f t="shared" si="9"/>
        <v>0</v>
      </c>
      <c r="AR56" s="501">
        <f>I56+AG56</f>
        <v>5286397</v>
      </c>
      <c r="AS56" s="492">
        <f>J56+V56</f>
        <v>3868923</v>
      </c>
      <c r="AT56" s="492">
        <f t="shared" ref="AT56:AT58" si="62">K56+Z56</f>
        <v>0</v>
      </c>
      <c r="AU56" s="492">
        <f t="shared" ref="AU56:AV58" si="63">L56+AB56</f>
        <v>1307696</v>
      </c>
      <c r="AV56" s="492">
        <f t="shared" si="63"/>
        <v>77378</v>
      </c>
      <c r="AW56" s="492">
        <f>N56+AF56</f>
        <v>32400</v>
      </c>
      <c r="AX56" s="493">
        <f>O56+AQ56</f>
        <v>8.3765999999999998</v>
      </c>
      <c r="AY56" s="493">
        <f t="shared" ref="AY56:AZ58" si="64">P56+AO56</f>
        <v>6.2423999999999999</v>
      </c>
      <c r="AZ56" s="495">
        <f t="shared" si="64"/>
        <v>2.1341999999999999</v>
      </c>
    </row>
    <row r="57" spans="1:52" ht="14.1" customHeight="1" x14ac:dyDescent="0.2">
      <c r="A57" s="72">
        <v>13</v>
      </c>
      <c r="B57" s="69">
        <v>2413</v>
      </c>
      <c r="C57" s="70">
        <v>600079601</v>
      </c>
      <c r="D57" s="69">
        <v>72742909</v>
      </c>
      <c r="E57" s="71" t="s">
        <v>592</v>
      </c>
      <c r="F57" s="72">
        <v>3111</v>
      </c>
      <c r="G57" s="84" t="s">
        <v>313</v>
      </c>
      <c r="H57" s="73" t="s">
        <v>279</v>
      </c>
      <c r="I57" s="494">
        <v>0</v>
      </c>
      <c r="J57" s="489">
        <v>0</v>
      </c>
      <c r="K57" s="489">
        <v>0</v>
      </c>
      <c r="L57" s="489">
        <v>0</v>
      </c>
      <c r="M57" s="489">
        <v>0</v>
      </c>
      <c r="N57" s="489">
        <v>0</v>
      </c>
      <c r="O57" s="490">
        <v>0</v>
      </c>
      <c r="P57" s="491">
        <v>0</v>
      </c>
      <c r="Q57" s="500">
        <v>0</v>
      </c>
      <c r="R57" s="502">
        <f t="shared" si="2"/>
        <v>0</v>
      </c>
      <c r="S57" s="492">
        <v>0</v>
      </c>
      <c r="T57" s="492">
        <v>0</v>
      </c>
      <c r="U57" s="492">
        <v>0</v>
      </c>
      <c r="V57" s="492">
        <f>SUM(R57:U57)</f>
        <v>0</v>
      </c>
      <c r="W57" s="492">
        <v>0</v>
      </c>
      <c r="X57" s="492">
        <v>0</v>
      </c>
      <c r="Y57" s="492">
        <v>0</v>
      </c>
      <c r="Z57" s="492">
        <f t="shared" si="3"/>
        <v>0</v>
      </c>
      <c r="AA57" s="492">
        <f t="shared" si="4"/>
        <v>0</v>
      </c>
      <c r="AB57" s="74">
        <f t="shared" si="5"/>
        <v>0</v>
      </c>
      <c r="AC57" s="74">
        <f t="shared" si="6"/>
        <v>0</v>
      </c>
      <c r="AD57" s="492">
        <v>0</v>
      </c>
      <c r="AE57" s="492">
        <v>0</v>
      </c>
      <c r="AF57" s="492">
        <f>SUM(AD57:AE57)</f>
        <v>0</v>
      </c>
      <c r="AG57" s="492">
        <f>AA57+AB57+AC57+AF57</f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7"/>
        <v>0</v>
      </c>
      <c r="AP57" s="493">
        <f t="shared" si="8"/>
        <v>0</v>
      </c>
      <c r="AQ57" s="495">
        <f t="shared" si="9"/>
        <v>0</v>
      </c>
      <c r="AR57" s="501">
        <f>I57+AG57</f>
        <v>0</v>
      </c>
      <c r="AS57" s="492">
        <f>J57+V57</f>
        <v>0</v>
      </c>
      <c r="AT57" s="492">
        <f t="shared" si="62"/>
        <v>0</v>
      </c>
      <c r="AU57" s="492">
        <f t="shared" si="63"/>
        <v>0</v>
      </c>
      <c r="AV57" s="492">
        <f t="shared" si="63"/>
        <v>0</v>
      </c>
      <c r="AW57" s="492">
        <f>N57+AF57</f>
        <v>0</v>
      </c>
      <c r="AX57" s="493">
        <f>O57+AQ57</f>
        <v>0</v>
      </c>
      <c r="AY57" s="493">
        <f t="shared" si="64"/>
        <v>0</v>
      </c>
      <c r="AZ57" s="495">
        <f t="shared" si="64"/>
        <v>0</v>
      </c>
    </row>
    <row r="58" spans="1:52" ht="14.1" customHeight="1" x14ac:dyDescent="0.2">
      <c r="A58" s="72">
        <v>13</v>
      </c>
      <c r="B58" s="69">
        <v>2413</v>
      </c>
      <c r="C58" s="70">
        <v>600079601</v>
      </c>
      <c r="D58" s="69">
        <v>72742909</v>
      </c>
      <c r="E58" s="71" t="s">
        <v>592</v>
      </c>
      <c r="F58" s="72">
        <v>3141</v>
      </c>
      <c r="G58" s="71" t="s">
        <v>316</v>
      </c>
      <c r="H58" s="73" t="s">
        <v>279</v>
      </c>
      <c r="I58" s="494">
        <v>880114</v>
      </c>
      <c r="J58" s="489">
        <v>645021</v>
      </c>
      <c r="K58" s="489">
        <v>0</v>
      </c>
      <c r="L58" s="489">
        <v>218017</v>
      </c>
      <c r="M58" s="489">
        <v>12900</v>
      </c>
      <c r="N58" s="489">
        <v>4176</v>
      </c>
      <c r="O58" s="490">
        <v>2.0299999999999998</v>
      </c>
      <c r="P58" s="491">
        <v>0</v>
      </c>
      <c r="Q58" s="500">
        <v>2.0299999999999998</v>
      </c>
      <c r="R58" s="502">
        <f t="shared" si="2"/>
        <v>0</v>
      </c>
      <c r="S58" s="492">
        <v>0</v>
      </c>
      <c r="T58" s="492">
        <v>0</v>
      </c>
      <c r="U58" s="492">
        <v>0</v>
      </c>
      <c r="V58" s="492">
        <f>SUM(R58:U58)</f>
        <v>0</v>
      </c>
      <c r="W58" s="492">
        <v>0</v>
      </c>
      <c r="X58" s="492">
        <v>0</v>
      </c>
      <c r="Y58" s="492">
        <v>0</v>
      </c>
      <c r="Z58" s="492">
        <f t="shared" si="3"/>
        <v>0</v>
      </c>
      <c r="AA58" s="492">
        <f t="shared" si="4"/>
        <v>0</v>
      </c>
      <c r="AB58" s="74">
        <f t="shared" si="5"/>
        <v>0</v>
      </c>
      <c r="AC58" s="74">
        <f t="shared" si="6"/>
        <v>0</v>
      </c>
      <c r="AD58" s="492">
        <v>0</v>
      </c>
      <c r="AE58" s="492">
        <v>0</v>
      </c>
      <c r="AF58" s="492">
        <f>SUM(AD58:AE58)</f>
        <v>0</v>
      </c>
      <c r="AG58" s="492">
        <f>AA58+AB58+AC58+AF58</f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7"/>
        <v>0</v>
      </c>
      <c r="AP58" s="493">
        <f t="shared" si="8"/>
        <v>0</v>
      </c>
      <c r="AQ58" s="495">
        <f t="shared" si="9"/>
        <v>0</v>
      </c>
      <c r="AR58" s="501">
        <f>I58+AG58</f>
        <v>880114</v>
      </c>
      <c r="AS58" s="492">
        <f>J58+V58</f>
        <v>645021</v>
      </c>
      <c r="AT58" s="492">
        <f t="shared" si="62"/>
        <v>0</v>
      </c>
      <c r="AU58" s="492">
        <f t="shared" si="63"/>
        <v>218017</v>
      </c>
      <c r="AV58" s="492">
        <f t="shared" si="63"/>
        <v>12900</v>
      </c>
      <c r="AW58" s="492">
        <f>N58+AF58</f>
        <v>4176</v>
      </c>
      <c r="AX58" s="493">
        <f>O58+AQ58</f>
        <v>2.0299999999999998</v>
      </c>
      <c r="AY58" s="493">
        <f t="shared" si="64"/>
        <v>0</v>
      </c>
      <c r="AZ58" s="495">
        <f t="shared" si="64"/>
        <v>2.0299999999999998</v>
      </c>
    </row>
    <row r="59" spans="1:52" ht="14.1" customHeight="1" x14ac:dyDescent="0.2">
      <c r="A59" s="78">
        <v>13</v>
      </c>
      <c r="B59" s="75">
        <v>2413</v>
      </c>
      <c r="C59" s="76">
        <v>600079601</v>
      </c>
      <c r="D59" s="75">
        <v>72742909</v>
      </c>
      <c r="E59" s="77" t="s">
        <v>593</v>
      </c>
      <c r="F59" s="78"/>
      <c r="G59" s="77"/>
      <c r="H59" s="79"/>
      <c r="I59" s="80">
        <v>6166511</v>
      </c>
      <c r="J59" s="81">
        <v>4513944</v>
      </c>
      <c r="K59" s="81">
        <v>0</v>
      </c>
      <c r="L59" s="81">
        <v>1525713</v>
      </c>
      <c r="M59" s="81">
        <v>90278</v>
      </c>
      <c r="N59" s="81">
        <v>36576</v>
      </c>
      <c r="O59" s="82">
        <v>10.406599999999999</v>
      </c>
      <c r="P59" s="82">
        <v>6.2423999999999999</v>
      </c>
      <c r="Q59" s="452">
        <v>4.1641999999999992</v>
      </c>
      <c r="R59" s="80">
        <f t="shared" ref="R59:AZ59" si="65">SUM(R56:R58)</f>
        <v>0</v>
      </c>
      <c r="S59" s="81">
        <f t="shared" si="65"/>
        <v>0</v>
      </c>
      <c r="T59" s="81">
        <f t="shared" si="65"/>
        <v>0</v>
      </c>
      <c r="U59" s="81">
        <f t="shared" si="65"/>
        <v>0</v>
      </c>
      <c r="V59" s="81">
        <f t="shared" si="65"/>
        <v>0</v>
      </c>
      <c r="W59" s="81">
        <f t="shared" si="65"/>
        <v>0</v>
      </c>
      <c r="X59" s="81">
        <f t="shared" si="65"/>
        <v>0</v>
      </c>
      <c r="Y59" s="81">
        <f t="shared" si="65"/>
        <v>0</v>
      </c>
      <c r="Z59" s="81">
        <f t="shared" si="65"/>
        <v>0</v>
      </c>
      <c r="AA59" s="81">
        <f t="shared" si="65"/>
        <v>0</v>
      </c>
      <c r="AB59" s="81">
        <f t="shared" si="65"/>
        <v>0</v>
      </c>
      <c r="AC59" s="81">
        <f t="shared" si="65"/>
        <v>0</v>
      </c>
      <c r="AD59" s="81">
        <f t="shared" si="65"/>
        <v>0</v>
      </c>
      <c r="AE59" s="81">
        <f t="shared" si="65"/>
        <v>0</v>
      </c>
      <c r="AF59" s="81">
        <f t="shared" si="65"/>
        <v>0</v>
      </c>
      <c r="AG59" s="81">
        <f t="shared" si="65"/>
        <v>0</v>
      </c>
      <c r="AH59" s="82">
        <f t="shared" si="65"/>
        <v>0</v>
      </c>
      <c r="AI59" s="82">
        <f t="shared" si="65"/>
        <v>0</v>
      </c>
      <c r="AJ59" s="82">
        <f t="shared" si="65"/>
        <v>0</v>
      </c>
      <c r="AK59" s="82">
        <f t="shared" ref="AK59:AL59" si="66">SUM(AK56:AK58)</f>
        <v>0</v>
      </c>
      <c r="AL59" s="82">
        <f t="shared" si="66"/>
        <v>0</v>
      </c>
      <c r="AM59" s="82">
        <f t="shared" si="65"/>
        <v>0</v>
      </c>
      <c r="AN59" s="82">
        <f t="shared" si="65"/>
        <v>0</v>
      </c>
      <c r="AO59" s="82">
        <f t="shared" si="65"/>
        <v>0</v>
      </c>
      <c r="AP59" s="82">
        <f t="shared" si="65"/>
        <v>0</v>
      </c>
      <c r="AQ59" s="83">
        <f t="shared" si="65"/>
        <v>0</v>
      </c>
      <c r="AR59" s="438">
        <f t="shared" si="65"/>
        <v>6166511</v>
      </c>
      <c r="AS59" s="81">
        <f t="shared" si="65"/>
        <v>4513944</v>
      </c>
      <c r="AT59" s="81">
        <f t="shared" si="65"/>
        <v>0</v>
      </c>
      <c r="AU59" s="81">
        <f t="shared" si="65"/>
        <v>1525713</v>
      </c>
      <c r="AV59" s="81">
        <f t="shared" si="65"/>
        <v>90278</v>
      </c>
      <c r="AW59" s="81">
        <f t="shared" si="65"/>
        <v>36576</v>
      </c>
      <c r="AX59" s="82">
        <f t="shared" si="65"/>
        <v>10.406599999999999</v>
      </c>
      <c r="AY59" s="82">
        <f t="shared" si="65"/>
        <v>6.2423999999999999</v>
      </c>
      <c r="AZ59" s="83">
        <f t="shared" si="65"/>
        <v>4.1641999999999992</v>
      </c>
    </row>
    <row r="60" spans="1:52" ht="14.1" customHeight="1" x14ac:dyDescent="0.2">
      <c r="A60" s="72">
        <v>14</v>
      </c>
      <c r="B60" s="69">
        <v>2410</v>
      </c>
      <c r="C60" s="70">
        <v>600079121</v>
      </c>
      <c r="D60" s="69">
        <v>72742348</v>
      </c>
      <c r="E60" s="71" t="s">
        <v>594</v>
      </c>
      <c r="F60" s="72">
        <v>3111</v>
      </c>
      <c r="G60" s="71" t="s">
        <v>312</v>
      </c>
      <c r="H60" s="73" t="s">
        <v>278</v>
      </c>
      <c r="I60" s="494">
        <v>7318081</v>
      </c>
      <c r="J60" s="674">
        <v>5336193</v>
      </c>
      <c r="K60" s="674">
        <v>17550</v>
      </c>
      <c r="L60" s="489">
        <v>1809565</v>
      </c>
      <c r="M60" s="489">
        <v>106723</v>
      </c>
      <c r="N60" s="489">
        <v>48050</v>
      </c>
      <c r="O60" s="490">
        <v>11.505800000000001</v>
      </c>
      <c r="P60" s="490">
        <v>8.5406000000000013</v>
      </c>
      <c r="Q60" s="500">
        <v>2.9651999999999998</v>
      </c>
      <c r="R60" s="502">
        <f t="shared" si="2"/>
        <v>0</v>
      </c>
      <c r="S60" s="492">
        <v>0</v>
      </c>
      <c r="T60" s="492">
        <v>0</v>
      </c>
      <c r="U60" s="492">
        <v>0</v>
      </c>
      <c r="V60" s="492">
        <f>SUM(R60:U60)</f>
        <v>0</v>
      </c>
      <c r="W60" s="492">
        <v>0</v>
      </c>
      <c r="X60" s="492">
        <v>0</v>
      </c>
      <c r="Y60" s="492">
        <v>0</v>
      </c>
      <c r="Z60" s="492">
        <f t="shared" si="3"/>
        <v>0</v>
      </c>
      <c r="AA60" s="492">
        <f t="shared" si="4"/>
        <v>0</v>
      </c>
      <c r="AB60" s="74">
        <f t="shared" si="5"/>
        <v>0</v>
      </c>
      <c r="AC60" s="74">
        <f t="shared" si="6"/>
        <v>0</v>
      </c>
      <c r="AD60" s="492">
        <v>0</v>
      </c>
      <c r="AE60" s="492">
        <v>0</v>
      </c>
      <c r="AF60" s="492">
        <f>SUM(AD60:AE60)</f>
        <v>0</v>
      </c>
      <c r="AG60" s="492">
        <f>AA60+AB60+AC60+AF60</f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7"/>
        <v>0</v>
      </c>
      <c r="AP60" s="493">
        <f t="shared" si="8"/>
        <v>0</v>
      </c>
      <c r="AQ60" s="495">
        <f t="shared" si="9"/>
        <v>0</v>
      </c>
      <c r="AR60" s="501">
        <f>I60+AG60</f>
        <v>7318081</v>
      </c>
      <c r="AS60" s="492">
        <f>J60+V60</f>
        <v>5336193</v>
      </c>
      <c r="AT60" s="492">
        <f t="shared" ref="AT60:AT62" si="67">K60+Z60</f>
        <v>17550</v>
      </c>
      <c r="AU60" s="492">
        <f t="shared" ref="AU60:AV62" si="68">L60+AB60</f>
        <v>1809565</v>
      </c>
      <c r="AV60" s="492">
        <f t="shared" si="68"/>
        <v>106723</v>
      </c>
      <c r="AW60" s="492">
        <f>N60+AF60</f>
        <v>48050</v>
      </c>
      <c r="AX60" s="493">
        <f>O60+AQ60</f>
        <v>11.505800000000001</v>
      </c>
      <c r="AY60" s="493">
        <f t="shared" ref="AY60:AZ62" si="69">P60+AO60</f>
        <v>8.5406000000000013</v>
      </c>
      <c r="AZ60" s="495">
        <f t="shared" si="69"/>
        <v>2.9651999999999998</v>
      </c>
    </row>
    <row r="61" spans="1:52" ht="14.1" customHeight="1" x14ac:dyDescent="0.2">
      <c r="A61" s="72">
        <v>14</v>
      </c>
      <c r="B61" s="69">
        <v>2410</v>
      </c>
      <c r="C61" s="70">
        <v>600079121</v>
      </c>
      <c r="D61" s="69">
        <v>72742348</v>
      </c>
      <c r="E61" s="71" t="s">
        <v>594</v>
      </c>
      <c r="F61" s="72">
        <v>3111</v>
      </c>
      <c r="G61" s="48" t="s">
        <v>314</v>
      </c>
      <c r="H61" s="73" t="s">
        <v>278</v>
      </c>
      <c r="I61" s="494">
        <v>427265</v>
      </c>
      <c r="J61" s="489">
        <v>314628</v>
      </c>
      <c r="K61" s="489">
        <v>0</v>
      </c>
      <c r="L61" s="489">
        <v>106344</v>
      </c>
      <c r="M61" s="489">
        <v>6293</v>
      </c>
      <c r="N61" s="489">
        <v>0</v>
      </c>
      <c r="O61" s="490">
        <v>1</v>
      </c>
      <c r="P61" s="490">
        <v>1</v>
      </c>
      <c r="Q61" s="500">
        <v>0</v>
      </c>
      <c r="R61" s="502">
        <f t="shared" si="2"/>
        <v>0</v>
      </c>
      <c r="S61" s="492">
        <v>0</v>
      </c>
      <c r="T61" s="492">
        <v>0</v>
      </c>
      <c r="U61" s="492">
        <v>0</v>
      </c>
      <c r="V61" s="492">
        <f>SUM(R61:U61)</f>
        <v>0</v>
      </c>
      <c r="W61" s="492">
        <v>0</v>
      </c>
      <c r="X61" s="492">
        <v>0</v>
      </c>
      <c r="Y61" s="492">
        <v>0</v>
      </c>
      <c r="Z61" s="492">
        <f t="shared" si="3"/>
        <v>0</v>
      </c>
      <c r="AA61" s="492">
        <f t="shared" si="4"/>
        <v>0</v>
      </c>
      <c r="AB61" s="74">
        <f t="shared" si="5"/>
        <v>0</v>
      </c>
      <c r="AC61" s="74">
        <f t="shared" si="6"/>
        <v>0</v>
      </c>
      <c r="AD61" s="492">
        <v>0</v>
      </c>
      <c r="AE61" s="492">
        <v>0</v>
      </c>
      <c r="AF61" s="492">
        <f>SUM(AD61:AE61)</f>
        <v>0</v>
      </c>
      <c r="AG61" s="492">
        <f>AA61+AB61+AC61+AF61</f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7"/>
        <v>0</v>
      </c>
      <c r="AP61" s="493">
        <f t="shared" si="8"/>
        <v>0</v>
      </c>
      <c r="AQ61" s="495">
        <f t="shared" si="9"/>
        <v>0</v>
      </c>
      <c r="AR61" s="501">
        <f>I61+AG61</f>
        <v>427265</v>
      </c>
      <c r="AS61" s="492">
        <f>J61+V61</f>
        <v>314628</v>
      </c>
      <c r="AT61" s="492">
        <f t="shared" si="67"/>
        <v>0</v>
      </c>
      <c r="AU61" s="492">
        <f t="shared" si="68"/>
        <v>106344</v>
      </c>
      <c r="AV61" s="492">
        <f t="shared" si="68"/>
        <v>6293</v>
      </c>
      <c r="AW61" s="492">
        <f>N61+AF61</f>
        <v>0</v>
      </c>
      <c r="AX61" s="493">
        <f>O61+AQ61</f>
        <v>1</v>
      </c>
      <c r="AY61" s="493">
        <f t="shared" si="69"/>
        <v>1</v>
      </c>
      <c r="AZ61" s="495">
        <f t="shared" si="69"/>
        <v>0</v>
      </c>
    </row>
    <row r="62" spans="1:52" ht="14.1" customHeight="1" x14ac:dyDescent="0.2">
      <c r="A62" s="72">
        <v>14</v>
      </c>
      <c r="B62" s="69">
        <v>2410</v>
      </c>
      <c r="C62" s="70">
        <v>600079121</v>
      </c>
      <c r="D62" s="69">
        <v>72742348</v>
      </c>
      <c r="E62" s="71" t="s">
        <v>594</v>
      </c>
      <c r="F62" s="72">
        <v>3141</v>
      </c>
      <c r="G62" s="71" t="s">
        <v>316</v>
      </c>
      <c r="H62" s="73" t="s">
        <v>279</v>
      </c>
      <c r="I62" s="494">
        <v>985813</v>
      </c>
      <c r="J62" s="489">
        <v>722300</v>
      </c>
      <c r="K62" s="489">
        <v>0</v>
      </c>
      <c r="L62" s="489">
        <v>244137</v>
      </c>
      <c r="M62" s="489">
        <v>14446</v>
      </c>
      <c r="N62" s="489">
        <v>4930</v>
      </c>
      <c r="O62" s="490">
        <v>2.27</v>
      </c>
      <c r="P62" s="491">
        <v>0</v>
      </c>
      <c r="Q62" s="500">
        <v>2.27</v>
      </c>
      <c r="R62" s="502">
        <f t="shared" si="2"/>
        <v>0</v>
      </c>
      <c r="S62" s="492">
        <v>0</v>
      </c>
      <c r="T62" s="492">
        <v>0</v>
      </c>
      <c r="U62" s="492">
        <v>0</v>
      </c>
      <c r="V62" s="492">
        <f>SUM(R62:U62)</f>
        <v>0</v>
      </c>
      <c r="W62" s="492">
        <v>0</v>
      </c>
      <c r="X62" s="492">
        <v>0</v>
      </c>
      <c r="Y62" s="492">
        <v>0</v>
      </c>
      <c r="Z62" s="492">
        <f t="shared" si="3"/>
        <v>0</v>
      </c>
      <c r="AA62" s="492">
        <f t="shared" si="4"/>
        <v>0</v>
      </c>
      <c r="AB62" s="74">
        <f t="shared" si="5"/>
        <v>0</v>
      </c>
      <c r="AC62" s="74">
        <f t="shared" si="6"/>
        <v>0</v>
      </c>
      <c r="AD62" s="492">
        <v>0</v>
      </c>
      <c r="AE62" s="492">
        <v>0</v>
      </c>
      <c r="AF62" s="492">
        <f>SUM(AD62:AE62)</f>
        <v>0</v>
      </c>
      <c r="AG62" s="492">
        <f>AA62+AB62+AC62+AF62</f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7"/>
        <v>0</v>
      </c>
      <c r="AP62" s="493">
        <f t="shared" si="8"/>
        <v>0</v>
      </c>
      <c r="AQ62" s="495">
        <f t="shared" si="9"/>
        <v>0</v>
      </c>
      <c r="AR62" s="501">
        <f>I62+AG62</f>
        <v>985813</v>
      </c>
      <c r="AS62" s="492">
        <f>J62+V62</f>
        <v>722300</v>
      </c>
      <c r="AT62" s="492">
        <f t="shared" si="67"/>
        <v>0</v>
      </c>
      <c r="AU62" s="492">
        <f t="shared" si="68"/>
        <v>244137</v>
      </c>
      <c r="AV62" s="492">
        <f t="shared" si="68"/>
        <v>14446</v>
      </c>
      <c r="AW62" s="492">
        <f>N62+AF62</f>
        <v>4930</v>
      </c>
      <c r="AX62" s="493">
        <f>O62+AQ62</f>
        <v>2.27</v>
      </c>
      <c r="AY62" s="493">
        <f t="shared" si="69"/>
        <v>0</v>
      </c>
      <c r="AZ62" s="495">
        <f t="shared" si="69"/>
        <v>2.27</v>
      </c>
    </row>
    <row r="63" spans="1:52" ht="14.1" customHeight="1" x14ac:dyDescent="0.2">
      <c r="A63" s="78">
        <v>14</v>
      </c>
      <c r="B63" s="75">
        <v>2410</v>
      </c>
      <c r="C63" s="76">
        <v>600079121</v>
      </c>
      <c r="D63" s="75">
        <v>72742348</v>
      </c>
      <c r="E63" s="77" t="s">
        <v>595</v>
      </c>
      <c r="F63" s="78"/>
      <c r="G63" s="77"/>
      <c r="H63" s="79"/>
      <c r="I63" s="80">
        <v>8731159</v>
      </c>
      <c r="J63" s="81">
        <v>6373121</v>
      </c>
      <c r="K63" s="81">
        <v>17550</v>
      </c>
      <c r="L63" s="81">
        <v>2160046</v>
      </c>
      <c r="M63" s="81">
        <v>127462</v>
      </c>
      <c r="N63" s="81">
        <v>52980</v>
      </c>
      <c r="O63" s="82">
        <v>14.7758</v>
      </c>
      <c r="P63" s="82">
        <v>9.5406000000000013</v>
      </c>
      <c r="Q63" s="452">
        <v>5.2351999999999999</v>
      </c>
      <c r="R63" s="80">
        <f t="shared" ref="R63:AZ63" si="70">SUM(R60:R62)</f>
        <v>0</v>
      </c>
      <c r="S63" s="81">
        <f t="shared" si="70"/>
        <v>0</v>
      </c>
      <c r="T63" s="81">
        <f t="shared" si="70"/>
        <v>0</v>
      </c>
      <c r="U63" s="81">
        <f t="shared" si="70"/>
        <v>0</v>
      </c>
      <c r="V63" s="81">
        <f t="shared" si="70"/>
        <v>0</v>
      </c>
      <c r="W63" s="81">
        <f t="shared" si="70"/>
        <v>0</v>
      </c>
      <c r="X63" s="81">
        <f t="shared" si="70"/>
        <v>0</v>
      </c>
      <c r="Y63" s="81">
        <f t="shared" si="70"/>
        <v>0</v>
      </c>
      <c r="Z63" s="81">
        <f t="shared" si="70"/>
        <v>0</v>
      </c>
      <c r="AA63" s="81">
        <f t="shared" si="70"/>
        <v>0</v>
      </c>
      <c r="AB63" s="81">
        <f t="shared" si="70"/>
        <v>0</v>
      </c>
      <c r="AC63" s="81">
        <f t="shared" si="70"/>
        <v>0</v>
      </c>
      <c r="AD63" s="81">
        <f t="shared" si="70"/>
        <v>0</v>
      </c>
      <c r="AE63" s="81">
        <f t="shared" si="70"/>
        <v>0</v>
      </c>
      <c r="AF63" s="81">
        <f t="shared" si="70"/>
        <v>0</v>
      </c>
      <c r="AG63" s="81">
        <f t="shared" si="70"/>
        <v>0</v>
      </c>
      <c r="AH63" s="82">
        <f t="shared" si="70"/>
        <v>0</v>
      </c>
      <c r="AI63" s="82">
        <f t="shared" si="70"/>
        <v>0</v>
      </c>
      <c r="AJ63" s="82">
        <f t="shared" si="70"/>
        <v>0</v>
      </c>
      <c r="AK63" s="82">
        <f t="shared" ref="AK63:AL63" si="71">SUM(AK60:AK62)</f>
        <v>0</v>
      </c>
      <c r="AL63" s="82">
        <f t="shared" si="71"/>
        <v>0</v>
      </c>
      <c r="AM63" s="82">
        <f t="shared" si="70"/>
        <v>0</v>
      </c>
      <c r="AN63" s="82">
        <f t="shared" si="70"/>
        <v>0</v>
      </c>
      <c r="AO63" s="82">
        <f t="shared" si="70"/>
        <v>0</v>
      </c>
      <c r="AP63" s="82">
        <f t="shared" si="70"/>
        <v>0</v>
      </c>
      <c r="AQ63" s="83">
        <f t="shared" si="70"/>
        <v>0</v>
      </c>
      <c r="AR63" s="438">
        <f t="shared" si="70"/>
        <v>8731159</v>
      </c>
      <c r="AS63" s="81">
        <f t="shared" si="70"/>
        <v>6373121</v>
      </c>
      <c r="AT63" s="81">
        <f t="shared" si="70"/>
        <v>17550</v>
      </c>
      <c r="AU63" s="81">
        <f t="shared" si="70"/>
        <v>2160046</v>
      </c>
      <c r="AV63" s="81">
        <f t="shared" si="70"/>
        <v>127462</v>
      </c>
      <c r="AW63" s="81">
        <f t="shared" si="70"/>
        <v>52980</v>
      </c>
      <c r="AX63" s="82">
        <f t="shared" si="70"/>
        <v>14.7758</v>
      </c>
      <c r="AY63" s="82">
        <f t="shared" si="70"/>
        <v>9.5406000000000013</v>
      </c>
      <c r="AZ63" s="83">
        <f t="shared" si="70"/>
        <v>5.2351999999999999</v>
      </c>
    </row>
    <row r="64" spans="1:52" ht="14.1" customHeight="1" x14ac:dyDescent="0.2">
      <c r="A64" s="72">
        <v>15</v>
      </c>
      <c r="B64" s="69">
        <v>2436</v>
      </c>
      <c r="C64" s="70">
        <v>600079538</v>
      </c>
      <c r="D64" s="69">
        <v>72741546</v>
      </c>
      <c r="E64" s="71" t="s">
        <v>596</v>
      </c>
      <c r="F64" s="72">
        <v>3111</v>
      </c>
      <c r="G64" s="71" t="s">
        <v>312</v>
      </c>
      <c r="H64" s="73" t="s">
        <v>278</v>
      </c>
      <c r="I64" s="494">
        <v>4847600</v>
      </c>
      <c r="J64" s="674">
        <v>3516544</v>
      </c>
      <c r="K64" s="674">
        <v>35750</v>
      </c>
      <c r="L64" s="489">
        <v>1200675</v>
      </c>
      <c r="M64" s="489">
        <v>70331</v>
      </c>
      <c r="N64" s="489">
        <v>24300</v>
      </c>
      <c r="O64" s="490">
        <v>8.1461000000000006</v>
      </c>
      <c r="P64" s="490">
        <v>6.1819000000000006</v>
      </c>
      <c r="Q64" s="500">
        <v>1.9641999999999999</v>
      </c>
      <c r="R64" s="502">
        <f t="shared" si="2"/>
        <v>0</v>
      </c>
      <c r="S64" s="492">
        <v>0</v>
      </c>
      <c r="T64" s="492">
        <v>0</v>
      </c>
      <c r="U64" s="492">
        <v>0</v>
      </c>
      <c r="V64" s="492">
        <f>SUM(R64:U64)</f>
        <v>0</v>
      </c>
      <c r="W64" s="492">
        <v>0</v>
      </c>
      <c r="X64" s="492">
        <v>0</v>
      </c>
      <c r="Y64" s="492">
        <v>0</v>
      </c>
      <c r="Z64" s="492">
        <f t="shared" si="3"/>
        <v>0</v>
      </c>
      <c r="AA64" s="492">
        <f t="shared" si="4"/>
        <v>0</v>
      </c>
      <c r="AB64" s="74">
        <f t="shared" si="5"/>
        <v>0</v>
      </c>
      <c r="AC64" s="74">
        <f t="shared" si="6"/>
        <v>0</v>
      </c>
      <c r="AD64" s="492">
        <v>0</v>
      </c>
      <c r="AE64" s="492">
        <v>0</v>
      </c>
      <c r="AF64" s="492">
        <f>SUM(AD64:AE64)</f>
        <v>0</v>
      </c>
      <c r="AG64" s="492">
        <f>AA64+AB64+AC64+AF64</f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si="7"/>
        <v>0</v>
      </c>
      <c r="AP64" s="493">
        <f t="shared" si="8"/>
        <v>0</v>
      </c>
      <c r="AQ64" s="495">
        <f t="shared" si="9"/>
        <v>0</v>
      </c>
      <c r="AR64" s="501">
        <f>I64+AG64</f>
        <v>4847600</v>
      </c>
      <c r="AS64" s="492">
        <f>J64+V64</f>
        <v>3516544</v>
      </c>
      <c r="AT64" s="492">
        <f t="shared" ref="AT64:AT66" si="72">K64+Z64</f>
        <v>35750</v>
      </c>
      <c r="AU64" s="492">
        <f t="shared" ref="AU64:AV66" si="73">L64+AB64</f>
        <v>1200675</v>
      </c>
      <c r="AV64" s="492">
        <f t="shared" si="73"/>
        <v>70331</v>
      </c>
      <c r="AW64" s="492">
        <f>N64+AF64</f>
        <v>24300</v>
      </c>
      <c r="AX64" s="493">
        <f>O64+AQ64</f>
        <v>8.1461000000000006</v>
      </c>
      <c r="AY64" s="493">
        <f t="shared" ref="AY64:AZ66" si="74">P64+AO64</f>
        <v>6.1819000000000006</v>
      </c>
      <c r="AZ64" s="495">
        <f t="shared" si="74"/>
        <v>1.9641999999999999</v>
      </c>
    </row>
    <row r="65" spans="1:52" ht="14.1" customHeight="1" x14ac:dyDescent="0.2">
      <c r="A65" s="72">
        <v>15</v>
      </c>
      <c r="B65" s="69">
        <v>2436</v>
      </c>
      <c r="C65" s="70">
        <v>600079538</v>
      </c>
      <c r="D65" s="69">
        <v>72741546</v>
      </c>
      <c r="E65" s="71" t="s">
        <v>596</v>
      </c>
      <c r="F65" s="72">
        <v>3111</v>
      </c>
      <c r="G65" s="84" t="s">
        <v>313</v>
      </c>
      <c r="H65" s="73" t="s">
        <v>279</v>
      </c>
      <c r="I65" s="494">
        <v>0</v>
      </c>
      <c r="J65" s="489">
        <v>0</v>
      </c>
      <c r="K65" s="489">
        <v>0</v>
      </c>
      <c r="L65" s="489">
        <v>0</v>
      </c>
      <c r="M65" s="489">
        <v>0</v>
      </c>
      <c r="N65" s="489">
        <v>0</v>
      </c>
      <c r="O65" s="490">
        <v>0</v>
      </c>
      <c r="P65" s="491">
        <v>0</v>
      </c>
      <c r="Q65" s="500">
        <v>0</v>
      </c>
      <c r="R65" s="502">
        <f t="shared" si="2"/>
        <v>0</v>
      </c>
      <c r="S65" s="492">
        <v>0</v>
      </c>
      <c r="T65" s="492">
        <v>0</v>
      </c>
      <c r="U65" s="492">
        <v>0</v>
      </c>
      <c r="V65" s="492">
        <f>SUM(R65:U65)</f>
        <v>0</v>
      </c>
      <c r="W65" s="492">
        <v>0</v>
      </c>
      <c r="X65" s="492">
        <v>0</v>
      </c>
      <c r="Y65" s="492">
        <v>0</v>
      </c>
      <c r="Z65" s="492">
        <f t="shared" si="3"/>
        <v>0</v>
      </c>
      <c r="AA65" s="492">
        <f t="shared" si="4"/>
        <v>0</v>
      </c>
      <c r="AB65" s="74">
        <f t="shared" si="5"/>
        <v>0</v>
      </c>
      <c r="AC65" s="74">
        <f t="shared" si="6"/>
        <v>0</v>
      </c>
      <c r="AD65" s="492">
        <v>0</v>
      </c>
      <c r="AE65" s="492">
        <v>0</v>
      </c>
      <c r="AF65" s="492">
        <f>SUM(AD65:AE65)</f>
        <v>0</v>
      </c>
      <c r="AG65" s="492">
        <f>AA65+AB65+AC65+AF65</f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si="7"/>
        <v>0</v>
      </c>
      <c r="AP65" s="493">
        <f t="shared" si="8"/>
        <v>0</v>
      </c>
      <c r="AQ65" s="495">
        <f t="shared" si="9"/>
        <v>0</v>
      </c>
      <c r="AR65" s="501">
        <f>I65+AG65</f>
        <v>0</v>
      </c>
      <c r="AS65" s="492">
        <f>J65+V65</f>
        <v>0</v>
      </c>
      <c r="AT65" s="492">
        <f t="shared" si="72"/>
        <v>0</v>
      </c>
      <c r="AU65" s="492">
        <f t="shared" si="73"/>
        <v>0</v>
      </c>
      <c r="AV65" s="492">
        <f t="shared" si="73"/>
        <v>0</v>
      </c>
      <c r="AW65" s="492">
        <f>N65+AF65</f>
        <v>0</v>
      </c>
      <c r="AX65" s="493">
        <f>O65+AQ65</f>
        <v>0</v>
      </c>
      <c r="AY65" s="493">
        <f t="shared" si="74"/>
        <v>0</v>
      </c>
      <c r="AZ65" s="495">
        <f t="shared" si="74"/>
        <v>0</v>
      </c>
    </row>
    <row r="66" spans="1:52" ht="14.1" customHeight="1" x14ac:dyDescent="0.2">
      <c r="A66" s="72">
        <v>15</v>
      </c>
      <c r="B66" s="69">
        <v>2436</v>
      </c>
      <c r="C66" s="70">
        <v>600079538</v>
      </c>
      <c r="D66" s="69">
        <v>72741546</v>
      </c>
      <c r="E66" s="71" t="s">
        <v>596</v>
      </c>
      <c r="F66" s="72">
        <v>3141</v>
      </c>
      <c r="G66" s="71" t="s">
        <v>316</v>
      </c>
      <c r="H66" s="73" t="s">
        <v>279</v>
      </c>
      <c r="I66" s="494">
        <v>724713</v>
      </c>
      <c r="J66" s="489">
        <v>531356</v>
      </c>
      <c r="K66" s="489">
        <v>0</v>
      </c>
      <c r="L66" s="489">
        <v>179598</v>
      </c>
      <c r="M66" s="489">
        <v>10627</v>
      </c>
      <c r="N66" s="489">
        <v>3132</v>
      </c>
      <c r="O66" s="490">
        <v>1.67</v>
      </c>
      <c r="P66" s="491">
        <v>0</v>
      </c>
      <c r="Q66" s="500">
        <v>1.67</v>
      </c>
      <c r="R66" s="502">
        <f t="shared" si="2"/>
        <v>0</v>
      </c>
      <c r="S66" s="492">
        <v>0</v>
      </c>
      <c r="T66" s="492">
        <v>0</v>
      </c>
      <c r="U66" s="492">
        <v>0</v>
      </c>
      <c r="V66" s="492">
        <f>SUM(R66:U66)</f>
        <v>0</v>
      </c>
      <c r="W66" s="492">
        <v>0</v>
      </c>
      <c r="X66" s="492">
        <v>0</v>
      </c>
      <c r="Y66" s="492">
        <v>0</v>
      </c>
      <c r="Z66" s="492">
        <f t="shared" si="3"/>
        <v>0</v>
      </c>
      <c r="AA66" s="492">
        <f t="shared" si="4"/>
        <v>0</v>
      </c>
      <c r="AB66" s="74">
        <f t="shared" si="5"/>
        <v>0</v>
      </c>
      <c r="AC66" s="74">
        <f t="shared" si="6"/>
        <v>0</v>
      </c>
      <c r="AD66" s="492">
        <v>0</v>
      </c>
      <c r="AE66" s="492">
        <v>0</v>
      </c>
      <c r="AF66" s="492">
        <f>SUM(AD66:AE66)</f>
        <v>0</v>
      </c>
      <c r="AG66" s="492">
        <f>AA66+AB66+AC66+AF66</f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7"/>
        <v>0</v>
      </c>
      <c r="AP66" s="493">
        <f t="shared" si="8"/>
        <v>0</v>
      </c>
      <c r="AQ66" s="495">
        <f t="shared" si="9"/>
        <v>0</v>
      </c>
      <c r="AR66" s="501">
        <f>I66+AG66</f>
        <v>724713</v>
      </c>
      <c r="AS66" s="492">
        <f>J66+V66</f>
        <v>531356</v>
      </c>
      <c r="AT66" s="492">
        <f t="shared" si="72"/>
        <v>0</v>
      </c>
      <c r="AU66" s="492">
        <f t="shared" si="73"/>
        <v>179598</v>
      </c>
      <c r="AV66" s="492">
        <f t="shared" si="73"/>
        <v>10627</v>
      </c>
      <c r="AW66" s="492">
        <f>N66+AF66</f>
        <v>3132</v>
      </c>
      <c r="AX66" s="493">
        <f>O66+AQ66</f>
        <v>1.67</v>
      </c>
      <c r="AY66" s="493">
        <f t="shared" si="74"/>
        <v>0</v>
      </c>
      <c r="AZ66" s="495">
        <f t="shared" si="74"/>
        <v>1.67</v>
      </c>
    </row>
    <row r="67" spans="1:52" ht="14.1" customHeight="1" x14ac:dyDescent="0.2">
      <c r="A67" s="78">
        <v>15</v>
      </c>
      <c r="B67" s="75">
        <v>2436</v>
      </c>
      <c r="C67" s="76">
        <v>600079538</v>
      </c>
      <c r="D67" s="75">
        <v>72741546</v>
      </c>
      <c r="E67" s="77" t="s">
        <v>597</v>
      </c>
      <c r="F67" s="78"/>
      <c r="G67" s="77"/>
      <c r="H67" s="79"/>
      <c r="I67" s="80">
        <v>5572313</v>
      </c>
      <c r="J67" s="81">
        <v>4047900</v>
      </c>
      <c r="K67" s="81">
        <v>35750</v>
      </c>
      <c r="L67" s="81">
        <v>1380273</v>
      </c>
      <c r="M67" s="81">
        <v>80958</v>
      </c>
      <c r="N67" s="81">
        <v>27432</v>
      </c>
      <c r="O67" s="82">
        <v>9.8161000000000005</v>
      </c>
      <c r="P67" s="82">
        <v>6.1819000000000006</v>
      </c>
      <c r="Q67" s="452">
        <v>3.6341999999999999</v>
      </c>
      <c r="R67" s="80">
        <f t="shared" ref="R67:AZ67" si="75">SUM(R64:R66)</f>
        <v>0</v>
      </c>
      <c r="S67" s="81">
        <f t="shared" si="75"/>
        <v>0</v>
      </c>
      <c r="T67" s="81">
        <f t="shared" si="75"/>
        <v>0</v>
      </c>
      <c r="U67" s="81">
        <f t="shared" si="75"/>
        <v>0</v>
      </c>
      <c r="V67" s="81">
        <f t="shared" si="75"/>
        <v>0</v>
      </c>
      <c r="W67" s="81">
        <f t="shared" si="75"/>
        <v>0</v>
      </c>
      <c r="X67" s="81">
        <f t="shared" si="75"/>
        <v>0</v>
      </c>
      <c r="Y67" s="81">
        <f t="shared" si="75"/>
        <v>0</v>
      </c>
      <c r="Z67" s="81">
        <f t="shared" si="75"/>
        <v>0</v>
      </c>
      <c r="AA67" s="81">
        <f t="shared" si="75"/>
        <v>0</v>
      </c>
      <c r="AB67" s="81">
        <f t="shared" si="75"/>
        <v>0</v>
      </c>
      <c r="AC67" s="81">
        <f t="shared" si="75"/>
        <v>0</v>
      </c>
      <c r="AD67" s="81">
        <f t="shared" si="75"/>
        <v>0</v>
      </c>
      <c r="AE67" s="81">
        <f t="shared" si="75"/>
        <v>0</v>
      </c>
      <c r="AF67" s="81">
        <f t="shared" si="75"/>
        <v>0</v>
      </c>
      <c r="AG67" s="81">
        <f t="shared" si="75"/>
        <v>0</v>
      </c>
      <c r="AH67" s="82">
        <f t="shared" si="75"/>
        <v>0</v>
      </c>
      <c r="AI67" s="82">
        <f t="shared" si="75"/>
        <v>0</v>
      </c>
      <c r="AJ67" s="82">
        <f t="shared" si="75"/>
        <v>0</v>
      </c>
      <c r="AK67" s="82">
        <f t="shared" ref="AK67:AL67" si="76">SUM(AK64:AK66)</f>
        <v>0</v>
      </c>
      <c r="AL67" s="82">
        <f t="shared" si="76"/>
        <v>0</v>
      </c>
      <c r="AM67" s="82">
        <f t="shared" si="75"/>
        <v>0</v>
      </c>
      <c r="AN67" s="82">
        <f t="shared" si="75"/>
        <v>0</v>
      </c>
      <c r="AO67" s="82">
        <f t="shared" si="75"/>
        <v>0</v>
      </c>
      <c r="AP67" s="82">
        <f t="shared" si="75"/>
        <v>0</v>
      </c>
      <c r="AQ67" s="83">
        <f t="shared" si="75"/>
        <v>0</v>
      </c>
      <c r="AR67" s="438">
        <f t="shared" si="75"/>
        <v>5572313</v>
      </c>
      <c r="AS67" s="81">
        <f t="shared" si="75"/>
        <v>4047900</v>
      </c>
      <c r="AT67" s="81">
        <f t="shared" si="75"/>
        <v>35750</v>
      </c>
      <c r="AU67" s="81">
        <f t="shared" si="75"/>
        <v>1380273</v>
      </c>
      <c r="AV67" s="81">
        <f t="shared" si="75"/>
        <v>80958</v>
      </c>
      <c r="AW67" s="81">
        <f t="shared" si="75"/>
        <v>27432</v>
      </c>
      <c r="AX67" s="82">
        <f t="shared" si="75"/>
        <v>9.8161000000000005</v>
      </c>
      <c r="AY67" s="82">
        <f t="shared" si="75"/>
        <v>6.1819000000000006</v>
      </c>
      <c r="AZ67" s="83">
        <f t="shared" si="75"/>
        <v>3.6341999999999999</v>
      </c>
    </row>
    <row r="68" spans="1:52" ht="14.1" customHeight="1" x14ac:dyDescent="0.2">
      <c r="A68" s="72">
        <v>16</v>
      </c>
      <c r="B68" s="69">
        <v>2424</v>
      </c>
      <c r="C68" s="70">
        <v>600079147</v>
      </c>
      <c r="D68" s="69">
        <v>72741945</v>
      </c>
      <c r="E68" s="71" t="s">
        <v>598</v>
      </c>
      <c r="F68" s="72">
        <v>3111</v>
      </c>
      <c r="G68" s="71" t="s">
        <v>312</v>
      </c>
      <c r="H68" s="73" t="s">
        <v>278</v>
      </c>
      <c r="I68" s="494">
        <v>3380882</v>
      </c>
      <c r="J68" s="674">
        <v>2475024</v>
      </c>
      <c r="K68" s="674">
        <v>0</v>
      </c>
      <c r="L68" s="489">
        <v>836558</v>
      </c>
      <c r="M68" s="489">
        <v>49500</v>
      </c>
      <c r="N68" s="489">
        <v>19800</v>
      </c>
      <c r="O68" s="490">
        <v>5.4897999999999998</v>
      </c>
      <c r="P68" s="490">
        <v>4</v>
      </c>
      <c r="Q68" s="500">
        <v>1.4898</v>
      </c>
      <c r="R68" s="502">
        <f t="shared" si="2"/>
        <v>0</v>
      </c>
      <c r="S68" s="492">
        <v>0</v>
      </c>
      <c r="T68" s="492">
        <v>0</v>
      </c>
      <c r="U68" s="492">
        <v>0</v>
      </c>
      <c r="V68" s="492">
        <f>SUM(R68:U68)</f>
        <v>0</v>
      </c>
      <c r="W68" s="492">
        <v>0</v>
      </c>
      <c r="X68" s="492">
        <v>0</v>
      </c>
      <c r="Y68" s="492">
        <v>0</v>
      </c>
      <c r="Z68" s="492">
        <f t="shared" si="3"/>
        <v>0</v>
      </c>
      <c r="AA68" s="492">
        <f t="shared" si="4"/>
        <v>0</v>
      </c>
      <c r="AB68" s="74">
        <f t="shared" si="5"/>
        <v>0</v>
      </c>
      <c r="AC68" s="74">
        <f t="shared" si="6"/>
        <v>0</v>
      </c>
      <c r="AD68" s="492">
        <v>0</v>
      </c>
      <c r="AE68" s="492">
        <v>0</v>
      </c>
      <c r="AF68" s="492">
        <f>SUM(AD68:AE68)</f>
        <v>0</v>
      </c>
      <c r="AG68" s="492">
        <f>AA68+AB68+AC68+AF68</f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si="7"/>
        <v>0</v>
      </c>
      <c r="AP68" s="493">
        <f t="shared" si="8"/>
        <v>0</v>
      </c>
      <c r="AQ68" s="495">
        <f t="shared" si="9"/>
        <v>0</v>
      </c>
      <c r="AR68" s="501">
        <f>I68+AG68</f>
        <v>3380882</v>
      </c>
      <c r="AS68" s="492">
        <f>J68+V68</f>
        <v>2475024</v>
      </c>
      <c r="AT68" s="492">
        <f t="shared" ref="AT68:AT69" si="77">K68+Z68</f>
        <v>0</v>
      </c>
      <c r="AU68" s="492">
        <f>L68+AB68</f>
        <v>836558</v>
      </c>
      <c r="AV68" s="492">
        <f>M68+AC68</f>
        <v>49500</v>
      </c>
      <c r="AW68" s="492">
        <f>N68+AF68</f>
        <v>19800</v>
      </c>
      <c r="AX68" s="493">
        <f>O68+AQ68</f>
        <v>5.4897999999999998</v>
      </c>
      <c r="AY68" s="493">
        <f>P68+AO68</f>
        <v>4</v>
      </c>
      <c r="AZ68" s="495">
        <f>Q68+AP68</f>
        <v>1.4898</v>
      </c>
    </row>
    <row r="69" spans="1:52" ht="14.1" customHeight="1" x14ac:dyDescent="0.2">
      <c r="A69" s="72">
        <v>16</v>
      </c>
      <c r="B69" s="69">
        <v>2424</v>
      </c>
      <c r="C69" s="70">
        <v>600079147</v>
      </c>
      <c r="D69" s="69">
        <v>72741945</v>
      </c>
      <c r="E69" s="71" t="s">
        <v>598</v>
      </c>
      <c r="F69" s="72">
        <v>3141</v>
      </c>
      <c r="G69" s="71" t="s">
        <v>316</v>
      </c>
      <c r="H69" s="73" t="s">
        <v>279</v>
      </c>
      <c r="I69" s="494">
        <v>629784</v>
      </c>
      <c r="J69" s="489">
        <v>461879</v>
      </c>
      <c r="K69" s="489">
        <v>0</v>
      </c>
      <c r="L69" s="489">
        <v>156115</v>
      </c>
      <c r="M69" s="489">
        <v>9238</v>
      </c>
      <c r="N69" s="489">
        <v>2552</v>
      </c>
      <c r="O69" s="490">
        <v>1.45</v>
      </c>
      <c r="P69" s="491">
        <v>0</v>
      </c>
      <c r="Q69" s="500">
        <v>1.45</v>
      </c>
      <c r="R69" s="502">
        <f t="shared" si="2"/>
        <v>0</v>
      </c>
      <c r="S69" s="492">
        <v>0</v>
      </c>
      <c r="T69" s="492">
        <v>0</v>
      </c>
      <c r="U69" s="492">
        <v>0</v>
      </c>
      <c r="V69" s="492">
        <f>SUM(R69:U69)</f>
        <v>0</v>
      </c>
      <c r="W69" s="492">
        <v>0</v>
      </c>
      <c r="X69" s="492">
        <v>0</v>
      </c>
      <c r="Y69" s="492">
        <v>0</v>
      </c>
      <c r="Z69" s="492">
        <f t="shared" si="3"/>
        <v>0</v>
      </c>
      <c r="AA69" s="492">
        <f t="shared" si="4"/>
        <v>0</v>
      </c>
      <c r="AB69" s="74">
        <f t="shared" si="5"/>
        <v>0</v>
      </c>
      <c r="AC69" s="74">
        <f t="shared" si="6"/>
        <v>0</v>
      </c>
      <c r="AD69" s="492">
        <v>0</v>
      </c>
      <c r="AE69" s="492">
        <v>0</v>
      </c>
      <c r="AF69" s="492">
        <f>SUM(AD69:AE69)</f>
        <v>0</v>
      </c>
      <c r="AG69" s="492">
        <f>AA69+AB69+AC69+AF69</f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7"/>
        <v>0</v>
      </c>
      <c r="AP69" s="493">
        <f t="shared" si="8"/>
        <v>0</v>
      </c>
      <c r="AQ69" s="495">
        <f t="shared" si="9"/>
        <v>0</v>
      </c>
      <c r="AR69" s="501">
        <f>I69+AG69</f>
        <v>629784</v>
      </c>
      <c r="AS69" s="492">
        <f>J69+V69</f>
        <v>461879</v>
      </c>
      <c r="AT69" s="492">
        <f t="shared" si="77"/>
        <v>0</v>
      </c>
      <c r="AU69" s="492">
        <f>L69+AB69</f>
        <v>156115</v>
      </c>
      <c r="AV69" s="492">
        <f>M69+AC69</f>
        <v>9238</v>
      </c>
      <c r="AW69" s="492">
        <f>N69+AF69</f>
        <v>2552</v>
      </c>
      <c r="AX69" s="493">
        <f>O69+AQ69</f>
        <v>1.45</v>
      </c>
      <c r="AY69" s="493">
        <f>P69+AO69</f>
        <v>0</v>
      </c>
      <c r="AZ69" s="495">
        <f>Q69+AP69</f>
        <v>1.45</v>
      </c>
    </row>
    <row r="70" spans="1:52" ht="14.1" customHeight="1" x14ac:dyDescent="0.2">
      <c r="A70" s="78">
        <v>16</v>
      </c>
      <c r="B70" s="75">
        <v>2424</v>
      </c>
      <c r="C70" s="76">
        <v>600079147</v>
      </c>
      <c r="D70" s="75">
        <v>72741945</v>
      </c>
      <c r="E70" s="77" t="s">
        <v>599</v>
      </c>
      <c r="F70" s="78"/>
      <c r="G70" s="77"/>
      <c r="H70" s="79"/>
      <c r="I70" s="80">
        <v>4010666</v>
      </c>
      <c r="J70" s="81">
        <v>2936903</v>
      </c>
      <c r="K70" s="81">
        <v>0</v>
      </c>
      <c r="L70" s="81">
        <v>992673</v>
      </c>
      <c r="M70" s="81">
        <v>58738</v>
      </c>
      <c r="N70" s="81">
        <v>22352</v>
      </c>
      <c r="O70" s="82">
        <v>6.9398</v>
      </c>
      <c r="P70" s="82">
        <v>4</v>
      </c>
      <c r="Q70" s="452">
        <v>2.9398</v>
      </c>
      <c r="R70" s="80">
        <f t="shared" ref="R70:AZ70" si="78">SUM(R68:R69)</f>
        <v>0</v>
      </c>
      <c r="S70" s="81">
        <f t="shared" si="78"/>
        <v>0</v>
      </c>
      <c r="T70" s="81">
        <f t="shared" si="78"/>
        <v>0</v>
      </c>
      <c r="U70" s="81">
        <f t="shared" si="78"/>
        <v>0</v>
      </c>
      <c r="V70" s="81">
        <f t="shared" si="78"/>
        <v>0</v>
      </c>
      <c r="W70" s="81">
        <f t="shared" si="78"/>
        <v>0</v>
      </c>
      <c r="X70" s="81">
        <f t="shared" si="78"/>
        <v>0</v>
      </c>
      <c r="Y70" s="81">
        <f t="shared" si="78"/>
        <v>0</v>
      </c>
      <c r="Z70" s="81">
        <f t="shared" si="78"/>
        <v>0</v>
      </c>
      <c r="AA70" s="81">
        <f t="shared" si="78"/>
        <v>0</v>
      </c>
      <c r="AB70" s="81">
        <f t="shared" si="78"/>
        <v>0</v>
      </c>
      <c r="AC70" s="81">
        <f t="shared" si="78"/>
        <v>0</v>
      </c>
      <c r="AD70" s="81">
        <f t="shared" si="78"/>
        <v>0</v>
      </c>
      <c r="AE70" s="81">
        <f t="shared" si="78"/>
        <v>0</v>
      </c>
      <c r="AF70" s="81">
        <f t="shared" si="78"/>
        <v>0</v>
      </c>
      <c r="AG70" s="81">
        <f t="shared" si="78"/>
        <v>0</v>
      </c>
      <c r="AH70" s="82">
        <f t="shared" si="78"/>
        <v>0</v>
      </c>
      <c r="AI70" s="82">
        <f t="shared" si="78"/>
        <v>0</v>
      </c>
      <c r="AJ70" s="82">
        <f t="shared" si="78"/>
        <v>0</v>
      </c>
      <c r="AK70" s="82">
        <f t="shared" ref="AK70:AL70" si="79">SUM(AK68:AK69)</f>
        <v>0</v>
      </c>
      <c r="AL70" s="82">
        <f t="shared" si="79"/>
        <v>0</v>
      </c>
      <c r="AM70" s="82">
        <f t="shared" si="78"/>
        <v>0</v>
      </c>
      <c r="AN70" s="82">
        <f t="shared" si="78"/>
        <v>0</v>
      </c>
      <c r="AO70" s="82">
        <f t="shared" si="78"/>
        <v>0</v>
      </c>
      <c r="AP70" s="82">
        <f t="shared" si="78"/>
        <v>0</v>
      </c>
      <c r="AQ70" s="83">
        <f t="shared" si="78"/>
        <v>0</v>
      </c>
      <c r="AR70" s="438">
        <f t="shared" si="78"/>
        <v>4010666</v>
      </c>
      <c r="AS70" s="81">
        <f t="shared" si="78"/>
        <v>2936903</v>
      </c>
      <c r="AT70" s="81">
        <f t="shared" si="78"/>
        <v>0</v>
      </c>
      <c r="AU70" s="81">
        <f t="shared" si="78"/>
        <v>992673</v>
      </c>
      <c r="AV70" s="81">
        <f t="shared" si="78"/>
        <v>58738</v>
      </c>
      <c r="AW70" s="81">
        <f t="shared" si="78"/>
        <v>22352</v>
      </c>
      <c r="AX70" s="82">
        <f t="shared" si="78"/>
        <v>6.9398</v>
      </c>
      <c r="AY70" s="82">
        <f t="shared" si="78"/>
        <v>4</v>
      </c>
      <c r="AZ70" s="83">
        <f t="shared" si="78"/>
        <v>2.9398</v>
      </c>
    </row>
    <row r="71" spans="1:52" ht="14.1" customHeight="1" x14ac:dyDescent="0.2">
      <c r="A71" s="72">
        <v>17</v>
      </c>
      <c r="B71" s="69">
        <v>2417</v>
      </c>
      <c r="C71" s="70">
        <v>600079562</v>
      </c>
      <c r="D71" s="69">
        <v>72742810</v>
      </c>
      <c r="E71" s="71" t="s">
        <v>600</v>
      </c>
      <c r="F71" s="72">
        <v>3111</v>
      </c>
      <c r="G71" s="71" t="s">
        <v>312</v>
      </c>
      <c r="H71" s="73" t="s">
        <v>278</v>
      </c>
      <c r="I71" s="494">
        <v>17360195</v>
      </c>
      <c r="J71" s="674">
        <v>12696135</v>
      </c>
      <c r="K71" s="674">
        <v>13000</v>
      </c>
      <c r="L71" s="489">
        <v>4295687</v>
      </c>
      <c r="M71" s="489">
        <v>253923</v>
      </c>
      <c r="N71" s="489">
        <v>101450</v>
      </c>
      <c r="O71" s="490">
        <v>28.127500000000001</v>
      </c>
      <c r="P71" s="490">
        <v>20.99</v>
      </c>
      <c r="Q71" s="500">
        <v>7.1375000000000011</v>
      </c>
      <c r="R71" s="502">
        <f t="shared" si="2"/>
        <v>0</v>
      </c>
      <c r="S71" s="492">
        <v>0</v>
      </c>
      <c r="T71" s="492">
        <v>0</v>
      </c>
      <c r="U71" s="492">
        <v>0</v>
      </c>
      <c r="V71" s="492">
        <f>SUM(R71:U71)</f>
        <v>0</v>
      </c>
      <c r="W71" s="492">
        <v>0</v>
      </c>
      <c r="X71" s="492">
        <v>0</v>
      </c>
      <c r="Y71" s="492">
        <v>0</v>
      </c>
      <c r="Z71" s="492">
        <f t="shared" si="3"/>
        <v>0</v>
      </c>
      <c r="AA71" s="492">
        <f t="shared" si="4"/>
        <v>0</v>
      </c>
      <c r="AB71" s="74">
        <f t="shared" si="5"/>
        <v>0</v>
      </c>
      <c r="AC71" s="74">
        <f t="shared" si="6"/>
        <v>0</v>
      </c>
      <c r="AD71" s="492">
        <v>0</v>
      </c>
      <c r="AE71" s="492">
        <v>0</v>
      </c>
      <c r="AF71" s="492">
        <f>SUM(AD71:AE71)</f>
        <v>0</v>
      </c>
      <c r="AG71" s="492">
        <f>AA71+AB71+AC71+AF71</f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7"/>
        <v>0</v>
      </c>
      <c r="AP71" s="493">
        <f t="shared" si="8"/>
        <v>0</v>
      </c>
      <c r="AQ71" s="495">
        <f t="shared" si="9"/>
        <v>0</v>
      </c>
      <c r="AR71" s="501">
        <f>I71+AG71</f>
        <v>17360195</v>
      </c>
      <c r="AS71" s="492">
        <f>J71+V71</f>
        <v>12696135</v>
      </c>
      <c r="AT71" s="492">
        <f t="shared" ref="AT71:AT74" si="80">K71+Z71</f>
        <v>13000</v>
      </c>
      <c r="AU71" s="492">
        <f t="shared" ref="AU71:AV74" si="81">L71+AB71</f>
        <v>4295687</v>
      </c>
      <c r="AV71" s="492">
        <f t="shared" si="81"/>
        <v>253923</v>
      </c>
      <c r="AW71" s="492">
        <f>N71+AF71</f>
        <v>101450</v>
      </c>
      <c r="AX71" s="493">
        <f>O71+AQ71</f>
        <v>28.127500000000001</v>
      </c>
      <c r="AY71" s="493">
        <f t="shared" ref="AY71:AZ74" si="82">P71+AO71</f>
        <v>20.99</v>
      </c>
      <c r="AZ71" s="495">
        <f t="shared" si="82"/>
        <v>7.1375000000000011</v>
      </c>
    </row>
    <row r="72" spans="1:52" ht="14.1" customHeight="1" x14ac:dyDescent="0.2">
      <c r="A72" s="72">
        <v>17</v>
      </c>
      <c r="B72" s="69">
        <v>2417</v>
      </c>
      <c r="C72" s="70">
        <v>600079562</v>
      </c>
      <c r="D72" s="69">
        <v>72742810</v>
      </c>
      <c r="E72" s="71" t="s">
        <v>600</v>
      </c>
      <c r="F72" s="72">
        <v>3111</v>
      </c>
      <c r="G72" s="48" t="s">
        <v>314</v>
      </c>
      <c r="H72" s="73" t="s">
        <v>278</v>
      </c>
      <c r="I72" s="494">
        <v>1280002</v>
      </c>
      <c r="J72" s="489">
        <v>942564</v>
      </c>
      <c r="K72" s="489">
        <v>0</v>
      </c>
      <c r="L72" s="489">
        <v>318587</v>
      </c>
      <c r="M72" s="489">
        <v>18851</v>
      </c>
      <c r="N72" s="489">
        <v>0</v>
      </c>
      <c r="O72" s="490">
        <v>3</v>
      </c>
      <c r="P72" s="490">
        <v>3</v>
      </c>
      <c r="Q72" s="500">
        <v>0</v>
      </c>
      <c r="R72" s="502">
        <f t="shared" si="2"/>
        <v>0</v>
      </c>
      <c r="S72" s="492">
        <v>0</v>
      </c>
      <c r="T72" s="492">
        <v>0</v>
      </c>
      <c r="U72" s="492">
        <v>0</v>
      </c>
      <c r="V72" s="492">
        <f>SUM(R72:U72)</f>
        <v>0</v>
      </c>
      <c r="W72" s="492">
        <v>0</v>
      </c>
      <c r="X72" s="492">
        <v>0</v>
      </c>
      <c r="Y72" s="492">
        <v>0</v>
      </c>
      <c r="Z72" s="492">
        <f t="shared" si="3"/>
        <v>0</v>
      </c>
      <c r="AA72" s="492">
        <f t="shared" si="4"/>
        <v>0</v>
      </c>
      <c r="AB72" s="74">
        <f t="shared" si="5"/>
        <v>0</v>
      </c>
      <c r="AC72" s="74">
        <f t="shared" si="6"/>
        <v>0</v>
      </c>
      <c r="AD72" s="492">
        <v>0</v>
      </c>
      <c r="AE72" s="492">
        <v>0</v>
      </c>
      <c r="AF72" s="492">
        <f>SUM(AD72:AE72)</f>
        <v>0</v>
      </c>
      <c r="AG72" s="492">
        <f>AA72+AB72+AC72+AF72</f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7"/>
        <v>0</v>
      </c>
      <c r="AP72" s="493">
        <f t="shared" si="8"/>
        <v>0</v>
      </c>
      <c r="AQ72" s="495">
        <f t="shared" si="9"/>
        <v>0</v>
      </c>
      <c r="AR72" s="501">
        <f>I72+AG72</f>
        <v>1280002</v>
      </c>
      <c r="AS72" s="492">
        <f>J72+V72</f>
        <v>942564</v>
      </c>
      <c r="AT72" s="492">
        <f t="shared" si="80"/>
        <v>0</v>
      </c>
      <c r="AU72" s="492">
        <f t="shared" si="81"/>
        <v>318587</v>
      </c>
      <c r="AV72" s="492">
        <f t="shared" si="81"/>
        <v>18851</v>
      </c>
      <c r="AW72" s="492">
        <f>N72+AF72</f>
        <v>0</v>
      </c>
      <c r="AX72" s="493">
        <f>O72+AQ72</f>
        <v>3</v>
      </c>
      <c r="AY72" s="493">
        <f t="shared" si="82"/>
        <v>3</v>
      </c>
      <c r="AZ72" s="495">
        <f t="shared" si="82"/>
        <v>0</v>
      </c>
    </row>
    <row r="73" spans="1:52" ht="14.1" customHeight="1" x14ac:dyDescent="0.2">
      <c r="A73" s="72">
        <v>17</v>
      </c>
      <c r="B73" s="69">
        <v>2417</v>
      </c>
      <c r="C73" s="70">
        <v>600079562</v>
      </c>
      <c r="D73" s="69">
        <v>72742810</v>
      </c>
      <c r="E73" s="71" t="s">
        <v>600</v>
      </c>
      <c r="F73" s="72">
        <v>3111</v>
      </c>
      <c r="G73" s="48" t="s">
        <v>313</v>
      </c>
      <c r="H73" s="73" t="s">
        <v>279</v>
      </c>
      <c r="I73" s="494">
        <v>407730</v>
      </c>
      <c r="J73" s="489">
        <v>300243</v>
      </c>
      <c r="K73" s="489">
        <v>0</v>
      </c>
      <c r="L73" s="489">
        <v>101482</v>
      </c>
      <c r="M73" s="489">
        <v>6005</v>
      </c>
      <c r="N73" s="489">
        <v>0</v>
      </c>
      <c r="O73" s="490">
        <v>1</v>
      </c>
      <c r="P73" s="491">
        <v>1</v>
      </c>
      <c r="Q73" s="500">
        <v>0</v>
      </c>
      <c r="R73" s="502">
        <f t="shared" si="2"/>
        <v>0</v>
      </c>
      <c r="S73" s="492">
        <v>0</v>
      </c>
      <c r="T73" s="492">
        <v>0</v>
      </c>
      <c r="U73" s="492">
        <v>0</v>
      </c>
      <c r="V73" s="492">
        <f>SUM(R73:U73)</f>
        <v>0</v>
      </c>
      <c r="W73" s="492">
        <v>0</v>
      </c>
      <c r="X73" s="492">
        <v>0</v>
      </c>
      <c r="Y73" s="492">
        <v>0</v>
      </c>
      <c r="Z73" s="492">
        <f t="shared" si="3"/>
        <v>0</v>
      </c>
      <c r="AA73" s="492">
        <f t="shared" si="4"/>
        <v>0</v>
      </c>
      <c r="AB73" s="74">
        <f t="shared" si="5"/>
        <v>0</v>
      </c>
      <c r="AC73" s="74">
        <f t="shared" si="6"/>
        <v>0</v>
      </c>
      <c r="AD73" s="492">
        <v>0</v>
      </c>
      <c r="AE73" s="492">
        <v>0</v>
      </c>
      <c r="AF73" s="492">
        <f>SUM(AD73:AE73)</f>
        <v>0</v>
      </c>
      <c r="AG73" s="492">
        <f>AA73+AB73+AC73+AF73</f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7"/>
        <v>0</v>
      </c>
      <c r="AP73" s="493">
        <f t="shared" si="8"/>
        <v>0</v>
      </c>
      <c r="AQ73" s="495">
        <f t="shared" si="9"/>
        <v>0</v>
      </c>
      <c r="AR73" s="501">
        <f>I73+AG73</f>
        <v>407730</v>
      </c>
      <c r="AS73" s="492">
        <f>J73+V73</f>
        <v>300243</v>
      </c>
      <c r="AT73" s="492">
        <f t="shared" si="80"/>
        <v>0</v>
      </c>
      <c r="AU73" s="492">
        <f t="shared" si="81"/>
        <v>101482</v>
      </c>
      <c r="AV73" s="492">
        <f t="shared" si="81"/>
        <v>6005</v>
      </c>
      <c r="AW73" s="492">
        <f>N73+AF73</f>
        <v>0</v>
      </c>
      <c r="AX73" s="493">
        <f>O73+AQ73</f>
        <v>1</v>
      </c>
      <c r="AY73" s="493">
        <f t="shared" si="82"/>
        <v>1</v>
      </c>
      <c r="AZ73" s="495">
        <f t="shared" si="82"/>
        <v>0</v>
      </c>
    </row>
    <row r="74" spans="1:52" ht="14.1" customHeight="1" x14ac:dyDescent="0.2">
      <c r="A74" s="72">
        <v>17</v>
      </c>
      <c r="B74" s="69">
        <v>2417</v>
      </c>
      <c r="C74" s="70">
        <v>600079562</v>
      </c>
      <c r="D74" s="69">
        <v>72742810</v>
      </c>
      <c r="E74" s="71" t="s">
        <v>600</v>
      </c>
      <c r="F74" s="72">
        <v>3141</v>
      </c>
      <c r="G74" s="71" t="s">
        <v>316</v>
      </c>
      <c r="H74" s="73" t="s">
        <v>279</v>
      </c>
      <c r="I74" s="494">
        <v>2082066</v>
      </c>
      <c r="J74" s="489">
        <v>1525284</v>
      </c>
      <c r="K74" s="489">
        <v>0</v>
      </c>
      <c r="L74" s="489">
        <v>515546</v>
      </c>
      <c r="M74" s="489">
        <v>30506</v>
      </c>
      <c r="N74" s="489">
        <v>10730</v>
      </c>
      <c r="O74" s="490">
        <v>4.8</v>
      </c>
      <c r="P74" s="491">
        <v>0</v>
      </c>
      <c r="Q74" s="500">
        <v>4.8</v>
      </c>
      <c r="R74" s="502">
        <f t="shared" si="2"/>
        <v>0</v>
      </c>
      <c r="S74" s="492">
        <v>0</v>
      </c>
      <c r="T74" s="492">
        <v>0</v>
      </c>
      <c r="U74" s="492">
        <v>0</v>
      </c>
      <c r="V74" s="492">
        <f>SUM(R74:U74)</f>
        <v>0</v>
      </c>
      <c r="W74" s="492">
        <v>0</v>
      </c>
      <c r="X74" s="492">
        <v>0</v>
      </c>
      <c r="Y74" s="492">
        <v>0</v>
      </c>
      <c r="Z74" s="492">
        <f t="shared" si="3"/>
        <v>0</v>
      </c>
      <c r="AA74" s="492">
        <f t="shared" si="4"/>
        <v>0</v>
      </c>
      <c r="AB74" s="74">
        <f t="shared" si="5"/>
        <v>0</v>
      </c>
      <c r="AC74" s="74">
        <f t="shared" si="6"/>
        <v>0</v>
      </c>
      <c r="AD74" s="492">
        <v>0</v>
      </c>
      <c r="AE74" s="492">
        <v>0</v>
      </c>
      <c r="AF74" s="492">
        <f>SUM(AD74:AE74)</f>
        <v>0</v>
      </c>
      <c r="AG74" s="492">
        <f>AA74+AB74+AC74+AF74</f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7"/>
        <v>0</v>
      </c>
      <c r="AP74" s="493">
        <f t="shared" si="8"/>
        <v>0</v>
      </c>
      <c r="AQ74" s="495">
        <f t="shared" si="9"/>
        <v>0</v>
      </c>
      <c r="AR74" s="501">
        <f>I74+AG74</f>
        <v>2082066</v>
      </c>
      <c r="AS74" s="492">
        <f>J74+V74</f>
        <v>1525284</v>
      </c>
      <c r="AT74" s="492">
        <f t="shared" si="80"/>
        <v>0</v>
      </c>
      <c r="AU74" s="492">
        <f t="shared" si="81"/>
        <v>515546</v>
      </c>
      <c r="AV74" s="492">
        <f t="shared" si="81"/>
        <v>30506</v>
      </c>
      <c r="AW74" s="492">
        <f>N74+AF74</f>
        <v>10730</v>
      </c>
      <c r="AX74" s="493">
        <f>O74+AQ74</f>
        <v>4.8</v>
      </c>
      <c r="AY74" s="493">
        <f t="shared" si="82"/>
        <v>0</v>
      </c>
      <c r="AZ74" s="495">
        <f t="shared" si="82"/>
        <v>4.8</v>
      </c>
    </row>
    <row r="75" spans="1:52" ht="14.1" customHeight="1" x14ac:dyDescent="0.2">
      <c r="A75" s="78">
        <v>17</v>
      </c>
      <c r="B75" s="75">
        <v>2417</v>
      </c>
      <c r="C75" s="76">
        <v>600079562</v>
      </c>
      <c r="D75" s="75">
        <v>72742810</v>
      </c>
      <c r="E75" s="77" t="s">
        <v>601</v>
      </c>
      <c r="F75" s="78"/>
      <c r="G75" s="77"/>
      <c r="H75" s="79"/>
      <c r="I75" s="80">
        <v>21129993</v>
      </c>
      <c r="J75" s="81">
        <v>15464226</v>
      </c>
      <c r="K75" s="81">
        <v>13000</v>
      </c>
      <c r="L75" s="81">
        <v>5231302</v>
      </c>
      <c r="M75" s="81">
        <v>309285</v>
      </c>
      <c r="N75" s="81">
        <v>112180</v>
      </c>
      <c r="O75" s="82">
        <v>36.927499999999995</v>
      </c>
      <c r="P75" s="82">
        <v>24.99</v>
      </c>
      <c r="Q75" s="452">
        <v>11.9375</v>
      </c>
      <c r="R75" s="80">
        <f t="shared" ref="R75:AZ75" si="83">SUM(R71:R74)</f>
        <v>0</v>
      </c>
      <c r="S75" s="81">
        <f t="shared" si="83"/>
        <v>0</v>
      </c>
      <c r="T75" s="81">
        <f t="shared" si="83"/>
        <v>0</v>
      </c>
      <c r="U75" s="81">
        <f t="shared" si="83"/>
        <v>0</v>
      </c>
      <c r="V75" s="81">
        <f t="shared" si="83"/>
        <v>0</v>
      </c>
      <c r="W75" s="81">
        <f t="shared" si="83"/>
        <v>0</v>
      </c>
      <c r="X75" s="81">
        <f t="shared" si="83"/>
        <v>0</v>
      </c>
      <c r="Y75" s="81">
        <f t="shared" si="83"/>
        <v>0</v>
      </c>
      <c r="Z75" s="81">
        <f t="shared" si="83"/>
        <v>0</v>
      </c>
      <c r="AA75" s="81">
        <f t="shared" si="83"/>
        <v>0</v>
      </c>
      <c r="AB75" s="81">
        <f t="shared" si="83"/>
        <v>0</v>
      </c>
      <c r="AC75" s="81">
        <f t="shared" si="83"/>
        <v>0</v>
      </c>
      <c r="AD75" s="81">
        <f t="shared" si="83"/>
        <v>0</v>
      </c>
      <c r="AE75" s="81">
        <f t="shared" si="83"/>
        <v>0</v>
      </c>
      <c r="AF75" s="81">
        <f t="shared" si="83"/>
        <v>0</v>
      </c>
      <c r="AG75" s="81">
        <f t="shared" si="83"/>
        <v>0</v>
      </c>
      <c r="AH75" s="82">
        <f t="shared" si="83"/>
        <v>0</v>
      </c>
      <c r="AI75" s="82">
        <f t="shared" si="83"/>
        <v>0</v>
      </c>
      <c r="AJ75" s="82">
        <f t="shared" si="83"/>
        <v>0</v>
      </c>
      <c r="AK75" s="82">
        <f t="shared" ref="AK75:AL75" si="84">SUM(AK71:AK74)</f>
        <v>0</v>
      </c>
      <c r="AL75" s="82">
        <f t="shared" si="84"/>
        <v>0</v>
      </c>
      <c r="AM75" s="82">
        <f t="shared" si="83"/>
        <v>0</v>
      </c>
      <c r="AN75" s="82">
        <f t="shared" si="83"/>
        <v>0</v>
      </c>
      <c r="AO75" s="82">
        <f t="shared" si="83"/>
        <v>0</v>
      </c>
      <c r="AP75" s="82">
        <f t="shared" si="83"/>
        <v>0</v>
      </c>
      <c r="AQ75" s="83">
        <f t="shared" si="83"/>
        <v>0</v>
      </c>
      <c r="AR75" s="438">
        <f t="shared" si="83"/>
        <v>21129993</v>
      </c>
      <c r="AS75" s="81">
        <f t="shared" si="83"/>
        <v>15464226</v>
      </c>
      <c r="AT75" s="81">
        <f t="shared" si="83"/>
        <v>13000</v>
      </c>
      <c r="AU75" s="81">
        <f t="shared" si="83"/>
        <v>5231302</v>
      </c>
      <c r="AV75" s="81">
        <f t="shared" si="83"/>
        <v>309285</v>
      </c>
      <c r="AW75" s="81">
        <f t="shared" si="83"/>
        <v>112180</v>
      </c>
      <c r="AX75" s="82">
        <f t="shared" si="83"/>
        <v>36.927499999999995</v>
      </c>
      <c r="AY75" s="82">
        <f t="shared" si="83"/>
        <v>24.99</v>
      </c>
      <c r="AZ75" s="83">
        <f t="shared" si="83"/>
        <v>11.9375</v>
      </c>
    </row>
    <row r="76" spans="1:52" ht="14.1" customHeight="1" x14ac:dyDescent="0.2">
      <c r="A76" s="72">
        <v>18</v>
      </c>
      <c r="B76" s="69">
        <v>2416</v>
      </c>
      <c r="C76" s="70">
        <v>600079571</v>
      </c>
      <c r="D76" s="69">
        <v>72742895</v>
      </c>
      <c r="E76" s="71" t="s">
        <v>602</v>
      </c>
      <c r="F76" s="72">
        <v>3111</v>
      </c>
      <c r="G76" s="71" t="s">
        <v>312</v>
      </c>
      <c r="H76" s="73" t="s">
        <v>278</v>
      </c>
      <c r="I76" s="494">
        <v>5252085</v>
      </c>
      <c r="J76" s="674">
        <v>3790874</v>
      </c>
      <c r="K76" s="674">
        <v>48750</v>
      </c>
      <c r="L76" s="489">
        <v>1297793</v>
      </c>
      <c r="M76" s="489">
        <v>75818</v>
      </c>
      <c r="N76" s="489">
        <v>38850</v>
      </c>
      <c r="O76" s="490">
        <v>8.5881999999999987</v>
      </c>
      <c r="P76" s="490">
        <v>6.5</v>
      </c>
      <c r="Q76" s="500">
        <v>2.0881999999999996</v>
      </c>
      <c r="R76" s="502">
        <f t="shared" si="2"/>
        <v>0</v>
      </c>
      <c r="S76" s="492">
        <v>0</v>
      </c>
      <c r="T76" s="492">
        <v>0</v>
      </c>
      <c r="U76" s="492">
        <v>0</v>
      </c>
      <c r="V76" s="492">
        <f>SUM(R76:U76)</f>
        <v>0</v>
      </c>
      <c r="W76" s="492">
        <v>0</v>
      </c>
      <c r="X76" s="492">
        <v>0</v>
      </c>
      <c r="Y76" s="492">
        <v>0</v>
      </c>
      <c r="Z76" s="492">
        <f t="shared" si="3"/>
        <v>0</v>
      </c>
      <c r="AA76" s="492">
        <f t="shared" si="4"/>
        <v>0</v>
      </c>
      <c r="AB76" s="74">
        <f t="shared" si="5"/>
        <v>0</v>
      </c>
      <c r="AC76" s="74">
        <f t="shared" si="6"/>
        <v>0</v>
      </c>
      <c r="AD76" s="492">
        <v>0</v>
      </c>
      <c r="AE76" s="492">
        <v>0</v>
      </c>
      <c r="AF76" s="492">
        <f>SUM(AD76:AE76)</f>
        <v>0</v>
      </c>
      <c r="AG76" s="492">
        <f>AA76+AB76+AC76+AF76</f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7"/>
        <v>0</v>
      </c>
      <c r="AP76" s="493">
        <f t="shared" si="8"/>
        <v>0</v>
      </c>
      <c r="AQ76" s="495">
        <f t="shared" si="9"/>
        <v>0</v>
      </c>
      <c r="AR76" s="501">
        <f>I76+AG76</f>
        <v>5252085</v>
      </c>
      <c r="AS76" s="492">
        <f>J76+V76</f>
        <v>3790874</v>
      </c>
      <c r="AT76" s="492">
        <f t="shared" ref="AT76:AT78" si="85">K76+Z76</f>
        <v>48750</v>
      </c>
      <c r="AU76" s="492">
        <f t="shared" ref="AU76:AV78" si="86">L76+AB76</f>
        <v>1297793</v>
      </c>
      <c r="AV76" s="492">
        <f t="shared" si="86"/>
        <v>75818</v>
      </c>
      <c r="AW76" s="492">
        <f>N76+AF76</f>
        <v>38850</v>
      </c>
      <c r="AX76" s="493">
        <f>O76+AQ76</f>
        <v>8.5881999999999987</v>
      </c>
      <c r="AY76" s="493">
        <f t="shared" ref="AY76:AZ78" si="87">P76+AO76</f>
        <v>6.5</v>
      </c>
      <c r="AZ76" s="495">
        <f t="shared" si="87"/>
        <v>2.0881999999999996</v>
      </c>
    </row>
    <row r="77" spans="1:52" ht="14.1" customHeight="1" x14ac:dyDescent="0.2">
      <c r="A77" s="72">
        <v>18</v>
      </c>
      <c r="B77" s="69">
        <v>2416</v>
      </c>
      <c r="C77" s="70">
        <v>600079571</v>
      </c>
      <c r="D77" s="69">
        <v>72742895</v>
      </c>
      <c r="E77" s="71" t="s">
        <v>602</v>
      </c>
      <c r="F77" s="72">
        <v>3111</v>
      </c>
      <c r="G77" s="48" t="s">
        <v>314</v>
      </c>
      <c r="H77" s="73" t="s">
        <v>278</v>
      </c>
      <c r="I77" s="494">
        <v>812160</v>
      </c>
      <c r="J77" s="489">
        <v>598056</v>
      </c>
      <c r="K77" s="489">
        <v>0</v>
      </c>
      <c r="L77" s="489">
        <v>202143</v>
      </c>
      <c r="M77" s="489">
        <v>11961</v>
      </c>
      <c r="N77" s="489">
        <v>0</v>
      </c>
      <c r="O77" s="490">
        <v>2</v>
      </c>
      <c r="P77" s="490">
        <v>2</v>
      </c>
      <c r="Q77" s="500">
        <v>0</v>
      </c>
      <c r="R77" s="502">
        <f t="shared" ref="R77:R140" si="88">W77*-1</f>
        <v>0</v>
      </c>
      <c r="S77" s="492">
        <v>0</v>
      </c>
      <c r="T77" s="492">
        <v>0</v>
      </c>
      <c r="U77" s="492">
        <v>0</v>
      </c>
      <c r="V77" s="492">
        <f>SUM(R77:U77)</f>
        <v>0</v>
      </c>
      <c r="W77" s="492">
        <v>0</v>
      </c>
      <c r="X77" s="492">
        <v>0</v>
      </c>
      <c r="Y77" s="492">
        <v>0</v>
      </c>
      <c r="Z77" s="492">
        <f t="shared" si="3"/>
        <v>0</v>
      </c>
      <c r="AA77" s="492">
        <f t="shared" si="4"/>
        <v>0</v>
      </c>
      <c r="AB77" s="74">
        <f t="shared" si="5"/>
        <v>0</v>
      </c>
      <c r="AC77" s="74">
        <f t="shared" si="6"/>
        <v>0</v>
      </c>
      <c r="AD77" s="492">
        <v>0</v>
      </c>
      <c r="AE77" s="492">
        <v>0</v>
      </c>
      <c r="AF77" s="492">
        <f>SUM(AD77:AE77)</f>
        <v>0</v>
      </c>
      <c r="AG77" s="492">
        <f>AA77+AB77+AC77+AF77</f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ref="AO77:AO140" si="89">AH77+AJ77+AK77+AM77</f>
        <v>0</v>
      </c>
      <c r="AP77" s="493">
        <f t="shared" ref="AP77:AP140" si="90">AI77+AL77+AN77</f>
        <v>0</v>
      </c>
      <c r="AQ77" s="495">
        <f t="shared" si="9"/>
        <v>0</v>
      </c>
      <c r="AR77" s="501">
        <f>I77+AG77</f>
        <v>812160</v>
      </c>
      <c r="AS77" s="492">
        <f>J77+V77</f>
        <v>598056</v>
      </c>
      <c r="AT77" s="492">
        <f t="shared" si="85"/>
        <v>0</v>
      </c>
      <c r="AU77" s="492">
        <f t="shared" si="86"/>
        <v>202143</v>
      </c>
      <c r="AV77" s="492">
        <f t="shared" si="86"/>
        <v>11961</v>
      </c>
      <c r="AW77" s="492">
        <f>N77+AF77</f>
        <v>0</v>
      </c>
      <c r="AX77" s="493">
        <f>O77+AQ77</f>
        <v>2</v>
      </c>
      <c r="AY77" s="493">
        <f t="shared" si="87"/>
        <v>2</v>
      </c>
      <c r="AZ77" s="495">
        <f t="shared" si="87"/>
        <v>0</v>
      </c>
    </row>
    <row r="78" spans="1:52" ht="14.1" customHeight="1" x14ac:dyDescent="0.2">
      <c r="A78" s="72">
        <v>18</v>
      </c>
      <c r="B78" s="69">
        <v>2416</v>
      </c>
      <c r="C78" s="70">
        <v>600079571</v>
      </c>
      <c r="D78" s="69">
        <v>72742895</v>
      </c>
      <c r="E78" s="71" t="s">
        <v>602</v>
      </c>
      <c r="F78" s="72">
        <v>3141</v>
      </c>
      <c r="G78" s="71" t="s">
        <v>316</v>
      </c>
      <c r="H78" s="73" t="s">
        <v>279</v>
      </c>
      <c r="I78" s="494">
        <v>668757</v>
      </c>
      <c r="J78" s="489">
        <v>490407</v>
      </c>
      <c r="K78" s="489">
        <v>0</v>
      </c>
      <c r="L78" s="489">
        <v>165758</v>
      </c>
      <c r="M78" s="489">
        <v>9808</v>
      </c>
      <c r="N78" s="489">
        <v>2784</v>
      </c>
      <c r="O78" s="490">
        <v>1.54</v>
      </c>
      <c r="P78" s="491">
        <v>0</v>
      </c>
      <c r="Q78" s="500">
        <v>1.54</v>
      </c>
      <c r="R78" s="502">
        <f t="shared" si="88"/>
        <v>0</v>
      </c>
      <c r="S78" s="492">
        <v>0</v>
      </c>
      <c r="T78" s="492">
        <v>0</v>
      </c>
      <c r="U78" s="492">
        <v>0</v>
      </c>
      <c r="V78" s="492">
        <f>SUM(R78:U78)</f>
        <v>0</v>
      </c>
      <c r="W78" s="492">
        <v>0</v>
      </c>
      <c r="X78" s="492">
        <v>0</v>
      </c>
      <c r="Y78" s="492">
        <v>0</v>
      </c>
      <c r="Z78" s="492">
        <f t="shared" ref="Z78:Z142" si="91">SUM(W78:Y78)</f>
        <v>0</v>
      </c>
      <c r="AA78" s="492">
        <f t="shared" ref="AA78:AA142" si="92">V78+Z78</f>
        <v>0</v>
      </c>
      <c r="AB78" s="74">
        <f t="shared" ref="AB78:AB142" si="93">ROUND((V78+W78+X78)*33.8%,0)</f>
        <v>0</v>
      </c>
      <c r="AC78" s="74">
        <f t="shared" ref="AC78:AC142" si="94">ROUND(V78*2%,0)</f>
        <v>0</v>
      </c>
      <c r="AD78" s="492">
        <v>0</v>
      </c>
      <c r="AE78" s="492">
        <v>0</v>
      </c>
      <c r="AF78" s="492">
        <f>SUM(AD78:AE78)</f>
        <v>0</v>
      </c>
      <c r="AG78" s="492">
        <f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89"/>
        <v>0</v>
      </c>
      <c r="AP78" s="493">
        <f t="shared" si="90"/>
        <v>0</v>
      </c>
      <c r="AQ78" s="495">
        <f t="shared" ref="AQ78:AQ142" si="95">SUM(AO78:AP78)</f>
        <v>0</v>
      </c>
      <c r="AR78" s="501">
        <f>I78+AG78</f>
        <v>668757</v>
      </c>
      <c r="AS78" s="492">
        <f>J78+V78</f>
        <v>490407</v>
      </c>
      <c r="AT78" s="492">
        <f t="shared" si="85"/>
        <v>0</v>
      </c>
      <c r="AU78" s="492">
        <f t="shared" si="86"/>
        <v>165758</v>
      </c>
      <c r="AV78" s="492">
        <f t="shared" si="86"/>
        <v>9808</v>
      </c>
      <c r="AW78" s="492">
        <f>N78+AF78</f>
        <v>2784</v>
      </c>
      <c r="AX78" s="493">
        <f>O78+AQ78</f>
        <v>1.54</v>
      </c>
      <c r="AY78" s="493">
        <f t="shared" si="87"/>
        <v>0</v>
      </c>
      <c r="AZ78" s="495">
        <f t="shared" si="87"/>
        <v>1.54</v>
      </c>
    </row>
    <row r="79" spans="1:52" ht="14.1" customHeight="1" x14ac:dyDescent="0.2">
      <c r="A79" s="78">
        <v>18</v>
      </c>
      <c r="B79" s="75">
        <v>2416</v>
      </c>
      <c r="C79" s="76">
        <v>600079571</v>
      </c>
      <c r="D79" s="75">
        <v>72742895</v>
      </c>
      <c r="E79" s="77" t="s">
        <v>603</v>
      </c>
      <c r="F79" s="78"/>
      <c r="G79" s="77"/>
      <c r="H79" s="79"/>
      <c r="I79" s="80">
        <v>6733002</v>
      </c>
      <c r="J79" s="81">
        <v>4879337</v>
      </c>
      <c r="K79" s="81">
        <v>48750</v>
      </c>
      <c r="L79" s="81">
        <v>1665694</v>
      </c>
      <c r="M79" s="81">
        <v>97587</v>
      </c>
      <c r="N79" s="81">
        <v>41634</v>
      </c>
      <c r="O79" s="82">
        <v>12.1282</v>
      </c>
      <c r="P79" s="82">
        <v>8.5</v>
      </c>
      <c r="Q79" s="452">
        <v>3.6281999999999996</v>
      </c>
      <c r="R79" s="80">
        <f t="shared" ref="R79:AZ79" si="96">SUM(R76:R78)</f>
        <v>0</v>
      </c>
      <c r="S79" s="81">
        <f t="shared" si="96"/>
        <v>0</v>
      </c>
      <c r="T79" s="81">
        <f t="shared" si="96"/>
        <v>0</v>
      </c>
      <c r="U79" s="81">
        <f t="shared" si="96"/>
        <v>0</v>
      </c>
      <c r="V79" s="81">
        <f t="shared" si="96"/>
        <v>0</v>
      </c>
      <c r="W79" s="81">
        <f t="shared" si="96"/>
        <v>0</v>
      </c>
      <c r="X79" s="81">
        <f t="shared" si="96"/>
        <v>0</v>
      </c>
      <c r="Y79" s="81">
        <f t="shared" si="96"/>
        <v>0</v>
      </c>
      <c r="Z79" s="81">
        <f t="shared" si="96"/>
        <v>0</v>
      </c>
      <c r="AA79" s="81">
        <f t="shared" si="96"/>
        <v>0</v>
      </c>
      <c r="AB79" s="81">
        <f t="shared" si="96"/>
        <v>0</v>
      </c>
      <c r="AC79" s="81">
        <f t="shared" si="96"/>
        <v>0</v>
      </c>
      <c r="AD79" s="81">
        <f t="shared" si="96"/>
        <v>0</v>
      </c>
      <c r="AE79" s="81">
        <f t="shared" si="96"/>
        <v>0</v>
      </c>
      <c r="AF79" s="81">
        <f t="shared" si="96"/>
        <v>0</v>
      </c>
      <c r="AG79" s="81">
        <f t="shared" si="96"/>
        <v>0</v>
      </c>
      <c r="AH79" s="82">
        <f t="shared" si="96"/>
        <v>0</v>
      </c>
      <c r="AI79" s="82">
        <f t="shared" si="96"/>
        <v>0</v>
      </c>
      <c r="AJ79" s="82">
        <f t="shared" si="96"/>
        <v>0</v>
      </c>
      <c r="AK79" s="82">
        <f t="shared" ref="AK79:AL79" si="97">SUM(AK76:AK78)</f>
        <v>0</v>
      </c>
      <c r="AL79" s="82">
        <f t="shared" si="97"/>
        <v>0</v>
      </c>
      <c r="AM79" s="82">
        <f t="shared" si="96"/>
        <v>0</v>
      </c>
      <c r="AN79" s="82">
        <f t="shared" si="96"/>
        <v>0</v>
      </c>
      <c r="AO79" s="82">
        <f t="shared" si="96"/>
        <v>0</v>
      </c>
      <c r="AP79" s="82">
        <f t="shared" si="96"/>
        <v>0</v>
      </c>
      <c r="AQ79" s="83">
        <f t="shared" si="96"/>
        <v>0</v>
      </c>
      <c r="AR79" s="438">
        <f t="shared" si="96"/>
        <v>6733002</v>
      </c>
      <c r="AS79" s="81">
        <f t="shared" si="96"/>
        <v>4879337</v>
      </c>
      <c r="AT79" s="81">
        <f t="shared" si="96"/>
        <v>48750</v>
      </c>
      <c r="AU79" s="81">
        <f t="shared" si="96"/>
        <v>1665694</v>
      </c>
      <c r="AV79" s="81">
        <f t="shared" si="96"/>
        <v>97587</v>
      </c>
      <c r="AW79" s="81">
        <f t="shared" si="96"/>
        <v>41634</v>
      </c>
      <c r="AX79" s="82">
        <f t="shared" si="96"/>
        <v>12.1282</v>
      </c>
      <c r="AY79" s="82">
        <f t="shared" si="96"/>
        <v>8.5</v>
      </c>
      <c r="AZ79" s="83">
        <f t="shared" si="96"/>
        <v>3.6281999999999996</v>
      </c>
    </row>
    <row r="80" spans="1:52" ht="14.1" customHeight="1" x14ac:dyDescent="0.2">
      <c r="A80" s="72">
        <v>19</v>
      </c>
      <c r="B80" s="69">
        <v>2421</v>
      </c>
      <c r="C80" s="70">
        <v>600079163</v>
      </c>
      <c r="D80" s="69">
        <v>72743301</v>
      </c>
      <c r="E80" s="71" t="s">
        <v>604</v>
      </c>
      <c r="F80" s="72">
        <v>3111</v>
      </c>
      <c r="G80" s="71" t="s">
        <v>312</v>
      </c>
      <c r="H80" s="73" t="s">
        <v>278</v>
      </c>
      <c r="I80" s="494">
        <v>10734920</v>
      </c>
      <c r="J80" s="674">
        <v>7857231</v>
      </c>
      <c r="K80" s="674">
        <v>0</v>
      </c>
      <c r="L80" s="489">
        <v>2655744</v>
      </c>
      <c r="M80" s="489">
        <v>157145</v>
      </c>
      <c r="N80" s="489">
        <v>64800</v>
      </c>
      <c r="O80" s="490">
        <v>16.946400000000001</v>
      </c>
      <c r="P80" s="490">
        <v>12.741899999999999</v>
      </c>
      <c r="Q80" s="500">
        <v>4.2045000000000003</v>
      </c>
      <c r="R80" s="502">
        <f t="shared" si="88"/>
        <v>0</v>
      </c>
      <c r="S80" s="492">
        <v>0</v>
      </c>
      <c r="T80" s="492">
        <v>0</v>
      </c>
      <c r="U80" s="492">
        <v>0</v>
      </c>
      <c r="V80" s="492">
        <f>SUM(R80:U80)</f>
        <v>0</v>
      </c>
      <c r="W80" s="492">
        <v>0</v>
      </c>
      <c r="X80" s="492">
        <v>0</v>
      </c>
      <c r="Y80" s="492">
        <v>0</v>
      </c>
      <c r="Z80" s="492">
        <f t="shared" si="91"/>
        <v>0</v>
      </c>
      <c r="AA80" s="492">
        <f t="shared" si="92"/>
        <v>0</v>
      </c>
      <c r="AB80" s="74">
        <f t="shared" si="93"/>
        <v>0</v>
      </c>
      <c r="AC80" s="74">
        <f t="shared" si="94"/>
        <v>0</v>
      </c>
      <c r="AD80" s="492">
        <v>0</v>
      </c>
      <c r="AE80" s="492">
        <v>0</v>
      </c>
      <c r="AF80" s="492">
        <f>SUM(AD80:AE80)</f>
        <v>0</v>
      </c>
      <c r="AG80" s="492">
        <f>AA80+AB80+AC80+AF80</f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89"/>
        <v>0</v>
      </c>
      <c r="AP80" s="493">
        <f t="shared" si="90"/>
        <v>0</v>
      </c>
      <c r="AQ80" s="495">
        <f t="shared" si="95"/>
        <v>0</v>
      </c>
      <c r="AR80" s="501">
        <f>I80+AG80</f>
        <v>10734920</v>
      </c>
      <c r="AS80" s="492">
        <f>J80+V80</f>
        <v>7857231</v>
      </c>
      <c r="AT80" s="492">
        <f t="shared" ref="AT80:AT81" si="98">K80+Z80</f>
        <v>0</v>
      </c>
      <c r="AU80" s="492">
        <f>L80+AB80</f>
        <v>2655744</v>
      </c>
      <c r="AV80" s="492">
        <f>M80+AC80</f>
        <v>157145</v>
      </c>
      <c r="AW80" s="492">
        <f>N80+AF80</f>
        <v>64800</v>
      </c>
      <c r="AX80" s="493">
        <f>O80+AQ80</f>
        <v>16.946400000000001</v>
      </c>
      <c r="AY80" s="493">
        <f>P80+AO80</f>
        <v>12.741899999999999</v>
      </c>
      <c r="AZ80" s="495">
        <f>Q80+AP80</f>
        <v>4.2045000000000003</v>
      </c>
    </row>
    <row r="81" spans="1:52" ht="14.1" customHeight="1" x14ac:dyDescent="0.2">
      <c r="A81" s="72">
        <v>19</v>
      </c>
      <c r="B81" s="69">
        <v>2421</v>
      </c>
      <c r="C81" s="70">
        <v>600079163</v>
      </c>
      <c r="D81" s="69">
        <v>72743301</v>
      </c>
      <c r="E81" s="71" t="s">
        <v>604</v>
      </c>
      <c r="F81" s="72">
        <v>3141</v>
      </c>
      <c r="G81" s="71" t="s">
        <v>316</v>
      </c>
      <c r="H81" s="73" t="s">
        <v>279</v>
      </c>
      <c r="I81" s="494">
        <v>1479994</v>
      </c>
      <c r="J81" s="489">
        <v>1083683</v>
      </c>
      <c r="K81" s="489">
        <v>0</v>
      </c>
      <c r="L81" s="489">
        <v>366285</v>
      </c>
      <c r="M81" s="489">
        <v>21674</v>
      </c>
      <c r="N81" s="489">
        <v>8352</v>
      </c>
      <c r="O81" s="490">
        <v>3.41</v>
      </c>
      <c r="P81" s="491">
        <v>0</v>
      </c>
      <c r="Q81" s="500">
        <v>3.41</v>
      </c>
      <c r="R81" s="502">
        <f t="shared" si="88"/>
        <v>0</v>
      </c>
      <c r="S81" s="492">
        <v>0</v>
      </c>
      <c r="T81" s="492">
        <v>0</v>
      </c>
      <c r="U81" s="492">
        <v>0</v>
      </c>
      <c r="V81" s="492">
        <f>SUM(R81:U81)</f>
        <v>0</v>
      </c>
      <c r="W81" s="492">
        <v>0</v>
      </c>
      <c r="X81" s="492">
        <v>0</v>
      </c>
      <c r="Y81" s="492">
        <v>0</v>
      </c>
      <c r="Z81" s="492">
        <f t="shared" si="91"/>
        <v>0</v>
      </c>
      <c r="AA81" s="492">
        <f t="shared" si="92"/>
        <v>0</v>
      </c>
      <c r="AB81" s="74">
        <f t="shared" si="93"/>
        <v>0</v>
      </c>
      <c r="AC81" s="74">
        <f t="shared" si="94"/>
        <v>0</v>
      </c>
      <c r="AD81" s="492">
        <v>0</v>
      </c>
      <c r="AE81" s="492">
        <v>0</v>
      </c>
      <c r="AF81" s="492">
        <f>SUM(AD81:AE81)</f>
        <v>0</v>
      </c>
      <c r="AG81" s="492">
        <f>AA81+AB81+AC81+AF81</f>
        <v>0</v>
      </c>
      <c r="AH81" s="493">
        <v>0</v>
      </c>
      <c r="AI81" s="493">
        <v>0</v>
      </c>
      <c r="AJ81" s="493">
        <v>0</v>
      </c>
      <c r="AK81" s="493">
        <v>0</v>
      </c>
      <c r="AL81" s="493">
        <v>0</v>
      </c>
      <c r="AM81" s="493">
        <v>0</v>
      </c>
      <c r="AN81" s="493">
        <v>0</v>
      </c>
      <c r="AO81" s="493">
        <f t="shared" si="89"/>
        <v>0</v>
      </c>
      <c r="AP81" s="493">
        <f t="shared" si="90"/>
        <v>0</v>
      </c>
      <c r="AQ81" s="495">
        <f t="shared" si="95"/>
        <v>0</v>
      </c>
      <c r="AR81" s="501">
        <f>I81+AG81</f>
        <v>1479994</v>
      </c>
      <c r="AS81" s="492">
        <f>J81+V81</f>
        <v>1083683</v>
      </c>
      <c r="AT81" s="492">
        <f t="shared" si="98"/>
        <v>0</v>
      </c>
      <c r="AU81" s="492">
        <f>L81+AB81</f>
        <v>366285</v>
      </c>
      <c r="AV81" s="492">
        <f>M81+AC81</f>
        <v>21674</v>
      </c>
      <c r="AW81" s="492">
        <f>N81+AF81</f>
        <v>8352</v>
      </c>
      <c r="AX81" s="493">
        <f>O81+AQ81</f>
        <v>3.41</v>
      </c>
      <c r="AY81" s="493">
        <f>P81+AO81</f>
        <v>0</v>
      </c>
      <c r="AZ81" s="495">
        <f>Q81+AP81</f>
        <v>3.41</v>
      </c>
    </row>
    <row r="82" spans="1:52" ht="14.1" customHeight="1" x14ac:dyDescent="0.2">
      <c r="A82" s="78">
        <v>19</v>
      </c>
      <c r="B82" s="75">
        <v>2421</v>
      </c>
      <c r="C82" s="76">
        <v>600079163</v>
      </c>
      <c r="D82" s="75">
        <v>72743301</v>
      </c>
      <c r="E82" s="77" t="s">
        <v>605</v>
      </c>
      <c r="F82" s="78"/>
      <c r="G82" s="77"/>
      <c r="H82" s="79"/>
      <c r="I82" s="80">
        <v>12214914</v>
      </c>
      <c r="J82" s="81">
        <v>8940914</v>
      </c>
      <c r="K82" s="81">
        <v>0</v>
      </c>
      <c r="L82" s="81">
        <v>3022029</v>
      </c>
      <c r="M82" s="81">
        <v>178819</v>
      </c>
      <c r="N82" s="81">
        <v>73152</v>
      </c>
      <c r="O82" s="82">
        <v>20.356400000000001</v>
      </c>
      <c r="P82" s="82">
        <v>12.741899999999999</v>
      </c>
      <c r="Q82" s="452">
        <v>7.6145000000000005</v>
      </c>
      <c r="R82" s="80">
        <f t="shared" ref="R82:AZ82" si="99">SUM(R80:R81)</f>
        <v>0</v>
      </c>
      <c r="S82" s="81">
        <f t="shared" si="99"/>
        <v>0</v>
      </c>
      <c r="T82" s="81">
        <f t="shared" si="99"/>
        <v>0</v>
      </c>
      <c r="U82" s="81">
        <f t="shared" si="99"/>
        <v>0</v>
      </c>
      <c r="V82" s="81">
        <f t="shared" si="99"/>
        <v>0</v>
      </c>
      <c r="W82" s="81">
        <f t="shared" si="99"/>
        <v>0</v>
      </c>
      <c r="X82" s="81">
        <f t="shared" si="99"/>
        <v>0</v>
      </c>
      <c r="Y82" s="81">
        <f t="shared" si="99"/>
        <v>0</v>
      </c>
      <c r="Z82" s="81">
        <f t="shared" si="99"/>
        <v>0</v>
      </c>
      <c r="AA82" s="81">
        <f t="shared" si="99"/>
        <v>0</v>
      </c>
      <c r="AB82" s="81">
        <f t="shared" si="99"/>
        <v>0</v>
      </c>
      <c r="AC82" s="81">
        <f t="shared" si="99"/>
        <v>0</v>
      </c>
      <c r="AD82" s="81">
        <f t="shared" si="99"/>
        <v>0</v>
      </c>
      <c r="AE82" s="81">
        <f t="shared" si="99"/>
        <v>0</v>
      </c>
      <c r="AF82" s="81">
        <f t="shared" si="99"/>
        <v>0</v>
      </c>
      <c r="AG82" s="81">
        <f t="shared" si="99"/>
        <v>0</v>
      </c>
      <c r="AH82" s="82">
        <f t="shared" si="99"/>
        <v>0</v>
      </c>
      <c r="AI82" s="82">
        <f t="shared" si="99"/>
        <v>0</v>
      </c>
      <c r="AJ82" s="82">
        <f t="shared" si="99"/>
        <v>0</v>
      </c>
      <c r="AK82" s="82">
        <f t="shared" ref="AK82:AL82" si="100">SUM(AK80:AK81)</f>
        <v>0</v>
      </c>
      <c r="AL82" s="82">
        <f t="shared" si="100"/>
        <v>0</v>
      </c>
      <c r="AM82" s="82">
        <f t="shared" si="99"/>
        <v>0</v>
      </c>
      <c r="AN82" s="82">
        <f t="shared" si="99"/>
        <v>0</v>
      </c>
      <c r="AO82" s="82">
        <f t="shared" si="99"/>
        <v>0</v>
      </c>
      <c r="AP82" s="82">
        <f t="shared" si="99"/>
        <v>0</v>
      </c>
      <c r="AQ82" s="83">
        <f t="shared" si="99"/>
        <v>0</v>
      </c>
      <c r="AR82" s="438">
        <f t="shared" si="99"/>
        <v>12214914</v>
      </c>
      <c r="AS82" s="81">
        <f t="shared" si="99"/>
        <v>8940914</v>
      </c>
      <c r="AT82" s="81">
        <f t="shared" si="99"/>
        <v>0</v>
      </c>
      <c r="AU82" s="81">
        <f t="shared" si="99"/>
        <v>3022029</v>
      </c>
      <c r="AV82" s="81">
        <f t="shared" si="99"/>
        <v>178819</v>
      </c>
      <c r="AW82" s="81">
        <f t="shared" si="99"/>
        <v>73152</v>
      </c>
      <c r="AX82" s="82">
        <f t="shared" si="99"/>
        <v>20.356400000000001</v>
      </c>
      <c r="AY82" s="82">
        <f t="shared" si="99"/>
        <v>12.741899999999999</v>
      </c>
      <c r="AZ82" s="83">
        <f t="shared" si="99"/>
        <v>7.6145000000000005</v>
      </c>
    </row>
    <row r="83" spans="1:52" ht="14.1" customHeight="1" x14ac:dyDescent="0.2">
      <c r="A83" s="72">
        <v>20</v>
      </c>
      <c r="B83" s="69">
        <v>2419</v>
      </c>
      <c r="C83" s="70">
        <v>600079171</v>
      </c>
      <c r="D83" s="69">
        <v>72742500</v>
      </c>
      <c r="E83" s="71" t="s">
        <v>606</v>
      </c>
      <c r="F83" s="72">
        <v>3111</v>
      </c>
      <c r="G83" s="71" t="s">
        <v>312</v>
      </c>
      <c r="H83" s="73" t="s">
        <v>278</v>
      </c>
      <c r="I83" s="494">
        <v>5241664</v>
      </c>
      <c r="J83" s="674">
        <v>3836976</v>
      </c>
      <c r="K83" s="674">
        <v>0</v>
      </c>
      <c r="L83" s="489">
        <v>1296898</v>
      </c>
      <c r="M83" s="489">
        <v>76740</v>
      </c>
      <c r="N83" s="489">
        <v>31050</v>
      </c>
      <c r="O83" s="490">
        <v>8.376100000000001</v>
      </c>
      <c r="P83" s="490">
        <v>6.2419000000000002</v>
      </c>
      <c r="Q83" s="500">
        <v>2.1341999999999999</v>
      </c>
      <c r="R83" s="502">
        <f t="shared" si="88"/>
        <v>0</v>
      </c>
      <c r="S83" s="492">
        <v>0</v>
      </c>
      <c r="T83" s="492">
        <v>0</v>
      </c>
      <c r="U83" s="492">
        <v>0</v>
      </c>
      <c r="V83" s="492">
        <f>SUM(R83:U83)</f>
        <v>0</v>
      </c>
      <c r="W83" s="492">
        <v>0</v>
      </c>
      <c r="X83" s="492">
        <v>0</v>
      </c>
      <c r="Y83" s="492">
        <v>0</v>
      </c>
      <c r="Z83" s="492">
        <f t="shared" si="91"/>
        <v>0</v>
      </c>
      <c r="AA83" s="492">
        <f t="shared" si="92"/>
        <v>0</v>
      </c>
      <c r="AB83" s="74">
        <f t="shared" si="93"/>
        <v>0</v>
      </c>
      <c r="AC83" s="74">
        <f t="shared" si="94"/>
        <v>0</v>
      </c>
      <c r="AD83" s="492">
        <v>0</v>
      </c>
      <c r="AE83" s="492">
        <v>0</v>
      </c>
      <c r="AF83" s="492">
        <f>SUM(AD83:AE83)</f>
        <v>0</v>
      </c>
      <c r="AG83" s="492">
        <f>AA83+AB83+AC83+AF83</f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89"/>
        <v>0</v>
      </c>
      <c r="AP83" s="493">
        <f t="shared" si="90"/>
        <v>0</v>
      </c>
      <c r="AQ83" s="495">
        <f t="shared" si="95"/>
        <v>0</v>
      </c>
      <c r="AR83" s="501">
        <f>I83+AG83</f>
        <v>5241664</v>
      </c>
      <c r="AS83" s="492">
        <f>J83+V83</f>
        <v>3836976</v>
      </c>
      <c r="AT83" s="492">
        <f t="shared" ref="AT83:AT85" si="101">K83+Z83</f>
        <v>0</v>
      </c>
      <c r="AU83" s="492">
        <f t="shared" ref="AU83:AV85" si="102">L83+AB83</f>
        <v>1296898</v>
      </c>
      <c r="AV83" s="492">
        <f t="shared" si="102"/>
        <v>76740</v>
      </c>
      <c r="AW83" s="492">
        <f>N83+AF83</f>
        <v>31050</v>
      </c>
      <c r="AX83" s="493">
        <f>O83+AQ83</f>
        <v>8.376100000000001</v>
      </c>
      <c r="AY83" s="493">
        <f t="shared" ref="AY83:AZ85" si="103">P83+AO83</f>
        <v>6.2419000000000002</v>
      </c>
      <c r="AZ83" s="495">
        <f t="shared" si="103"/>
        <v>2.1341999999999999</v>
      </c>
    </row>
    <row r="84" spans="1:52" ht="14.1" customHeight="1" x14ac:dyDescent="0.2">
      <c r="A84" s="72">
        <v>20</v>
      </c>
      <c r="B84" s="69">
        <v>2419</v>
      </c>
      <c r="C84" s="70">
        <v>600079171</v>
      </c>
      <c r="D84" s="69">
        <v>72742500</v>
      </c>
      <c r="E84" s="71" t="s">
        <v>606</v>
      </c>
      <c r="F84" s="72">
        <v>3111</v>
      </c>
      <c r="G84" s="48" t="s">
        <v>313</v>
      </c>
      <c r="H84" s="73" t="s">
        <v>279</v>
      </c>
      <c r="I84" s="494">
        <v>0</v>
      </c>
      <c r="J84" s="489">
        <v>0</v>
      </c>
      <c r="K84" s="489">
        <v>0</v>
      </c>
      <c r="L84" s="489">
        <v>0</v>
      </c>
      <c r="M84" s="489">
        <v>0</v>
      </c>
      <c r="N84" s="489">
        <v>0</v>
      </c>
      <c r="O84" s="490">
        <v>0</v>
      </c>
      <c r="P84" s="491">
        <v>0</v>
      </c>
      <c r="Q84" s="500">
        <v>0</v>
      </c>
      <c r="R84" s="502">
        <f t="shared" si="88"/>
        <v>0</v>
      </c>
      <c r="S84" s="492">
        <v>0</v>
      </c>
      <c r="T84" s="492">
        <v>0</v>
      </c>
      <c r="U84" s="492">
        <v>0</v>
      </c>
      <c r="V84" s="492">
        <f>SUM(R84:U84)</f>
        <v>0</v>
      </c>
      <c r="W84" s="492">
        <v>0</v>
      </c>
      <c r="X84" s="492">
        <v>0</v>
      </c>
      <c r="Y84" s="492">
        <v>0</v>
      </c>
      <c r="Z84" s="492">
        <f t="shared" si="91"/>
        <v>0</v>
      </c>
      <c r="AA84" s="492">
        <f t="shared" si="92"/>
        <v>0</v>
      </c>
      <c r="AB84" s="74">
        <f t="shared" si="93"/>
        <v>0</v>
      </c>
      <c r="AC84" s="74">
        <f t="shared" si="94"/>
        <v>0</v>
      </c>
      <c r="AD84" s="492">
        <v>0</v>
      </c>
      <c r="AE84" s="492">
        <v>0</v>
      </c>
      <c r="AF84" s="492">
        <f>SUM(AD84:AE84)</f>
        <v>0</v>
      </c>
      <c r="AG84" s="492">
        <f>AA84+AB84+AC84+AF84</f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89"/>
        <v>0</v>
      </c>
      <c r="AP84" s="493">
        <f t="shared" si="90"/>
        <v>0</v>
      </c>
      <c r="AQ84" s="495">
        <f t="shared" si="95"/>
        <v>0</v>
      </c>
      <c r="AR84" s="501">
        <f>I84+AG84</f>
        <v>0</v>
      </c>
      <c r="AS84" s="492">
        <f>J84+V84</f>
        <v>0</v>
      </c>
      <c r="AT84" s="492">
        <f t="shared" si="101"/>
        <v>0</v>
      </c>
      <c r="AU84" s="492">
        <f t="shared" si="102"/>
        <v>0</v>
      </c>
      <c r="AV84" s="492">
        <f t="shared" si="102"/>
        <v>0</v>
      </c>
      <c r="AW84" s="492">
        <f>N84+AF84</f>
        <v>0</v>
      </c>
      <c r="AX84" s="493">
        <f>O84+AQ84</f>
        <v>0</v>
      </c>
      <c r="AY84" s="493">
        <f t="shared" si="103"/>
        <v>0</v>
      </c>
      <c r="AZ84" s="495">
        <f t="shared" si="103"/>
        <v>0</v>
      </c>
    </row>
    <row r="85" spans="1:52" ht="14.1" customHeight="1" x14ac:dyDescent="0.2">
      <c r="A85" s="72">
        <v>20</v>
      </c>
      <c r="B85" s="69">
        <v>2419</v>
      </c>
      <c r="C85" s="70">
        <v>600079171</v>
      </c>
      <c r="D85" s="69">
        <v>72742500</v>
      </c>
      <c r="E85" s="71" t="s">
        <v>606</v>
      </c>
      <c r="F85" s="72">
        <v>3141</v>
      </c>
      <c r="G85" s="71" t="s">
        <v>316</v>
      </c>
      <c r="H85" s="73" t="s">
        <v>279</v>
      </c>
      <c r="I85" s="494">
        <v>855155</v>
      </c>
      <c r="J85" s="489">
        <v>626770</v>
      </c>
      <c r="K85" s="489">
        <v>0</v>
      </c>
      <c r="L85" s="489">
        <v>211848</v>
      </c>
      <c r="M85" s="489">
        <v>12535</v>
      </c>
      <c r="N85" s="489">
        <v>4002</v>
      </c>
      <c r="O85" s="490">
        <v>1.97</v>
      </c>
      <c r="P85" s="491">
        <v>0</v>
      </c>
      <c r="Q85" s="500">
        <v>1.97</v>
      </c>
      <c r="R85" s="502">
        <f t="shared" si="88"/>
        <v>0</v>
      </c>
      <c r="S85" s="492">
        <v>0</v>
      </c>
      <c r="T85" s="492">
        <v>0</v>
      </c>
      <c r="U85" s="492">
        <v>0</v>
      </c>
      <c r="V85" s="492">
        <f>SUM(R85:U85)</f>
        <v>0</v>
      </c>
      <c r="W85" s="492">
        <v>0</v>
      </c>
      <c r="X85" s="492">
        <v>0</v>
      </c>
      <c r="Y85" s="492">
        <v>0</v>
      </c>
      <c r="Z85" s="492">
        <f t="shared" si="91"/>
        <v>0</v>
      </c>
      <c r="AA85" s="492">
        <f t="shared" si="92"/>
        <v>0</v>
      </c>
      <c r="AB85" s="74">
        <f t="shared" si="93"/>
        <v>0</v>
      </c>
      <c r="AC85" s="74">
        <f t="shared" si="94"/>
        <v>0</v>
      </c>
      <c r="AD85" s="492">
        <v>0</v>
      </c>
      <c r="AE85" s="492">
        <v>0</v>
      </c>
      <c r="AF85" s="492">
        <f>SUM(AD85:AE85)</f>
        <v>0</v>
      </c>
      <c r="AG85" s="492">
        <f>AA85+AB85+AC85+AF85</f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89"/>
        <v>0</v>
      </c>
      <c r="AP85" s="493">
        <f t="shared" si="90"/>
        <v>0</v>
      </c>
      <c r="AQ85" s="495">
        <f t="shared" si="95"/>
        <v>0</v>
      </c>
      <c r="AR85" s="501">
        <f>I85+AG85</f>
        <v>855155</v>
      </c>
      <c r="AS85" s="492">
        <f>J85+V85</f>
        <v>626770</v>
      </c>
      <c r="AT85" s="492">
        <f t="shared" si="101"/>
        <v>0</v>
      </c>
      <c r="AU85" s="492">
        <f t="shared" si="102"/>
        <v>211848</v>
      </c>
      <c r="AV85" s="492">
        <f t="shared" si="102"/>
        <v>12535</v>
      </c>
      <c r="AW85" s="492">
        <f>N85+AF85</f>
        <v>4002</v>
      </c>
      <c r="AX85" s="493">
        <f>O85+AQ85</f>
        <v>1.97</v>
      </c>
      <c r="AY85" s="493">
        <f t="shared" si="103"/>
        <v>0</v>
      </c>
      <c r="AZ85" s="495">
        <f t="shared" si="103"/>
        <v>1.97</v>
      </c>
    </row>
    <row r="86" spans="1:52" ht="14.1" customHeight="1" x14ac:dyDescent="0.2">
      <c r="A86" s="78">
        <v>20</v>
      </c>
      <c r="B86" s="75">
        <v>2419</v>
      </c>
      <c r="C86" s="76">
        <v>600079171</v>
      </c>
      <c r="D86" s="75">
        <v>72742500</v>
      </c>
      <c r="E86" s="77" t="s">
        <v>607</v>
      </c>
      <c r="F86" s="78"/>
      <c r="G86" s="77"/>
      <c r="H86" s="79"/>
      <c r="I86" s="80">
        <v>6096819</v>
      </c>
      <c r="J86" s="81">
        <v>4463746</v>
      </c>
      <c r="K86" s="81">
        <v>0</v>
      </c>
      <c r="L86" s="81">
        <v>1508746</v>
      </c>
      <c r="M86" s="81">
        <v>89275</v>
      </c>
      <c r="N86" s="81">
        <v>35052</v>
      </c>
      <c r="O86" s="82">
        <v>10.346100000000002</v>
      </c>
      <c r="P86" s="82">
        <v>6.2419000000000002</v>
      </c>
      <c r="Q86" s="452">
        <v>4.1041999999999996</v>
      </c>
      <c r="R86" s="80">
        <f t="shared" ref="R86:AZ86" si="104">SUM(R83:R85)</f>
        <v>0</v>
      </c>
      <c r="S86" s="81">
        <f t="shared" si="104"/>
        <v>0</v>
      </c>
      <c r="T86" s="81">
        <f t="shared" si="104"/>
        <v>0</v>
      </c>
      <c r="U86" s="81">
        <f t="shared" si="104"/>
        <v>0</v>
      </c>
      <c r="V86" s="81">
        <f t="shared" si="104"/>
        <v>0</v>
      </c>
      <c r="W86" s="81">
        <f t="shared" si="104"/>
        <v>0</v>
      </c>
      <c r="X86" s="81">
        <f t="shared" si="104"/>
        <v>0</v>
      </c>
      <c r="Y86" s="81">
        <f t="shared" si="104"/>
        <v>0</v>
      </c>
      <c r="Z86" s="81">
        <f t="shared" si="104"/>
        <v>0</v>
      </c>
      <c r="AA86" s="81">
        <f t="shared" si="104"/>
        <v>0</v>
      </c>
      <c r="AB86" s="81">
        <f t="shared" si="104"/>
        <v>0</v>
      </c>
      <c r="AC86" s="81">
        <f t="shared" si="104"/>
        <v>0</v>
      </c>
      <c r="AD86" s="81">
        <f t="shared" si="104"/>
        <v>0</v>
      </c>
      <c r="AE86" s="81">
        <f t="shared" si="104"/>
        <v>0</v>
      </c>
      <c r="AF86" s="81">
        <f t="shared" si="104"/>
        <v>0</v>
      </c>
      <c r="AG86" s="81">
        <f t="shared" si="104"/>
        <v>0</v>
      </c>
      <c r="AH86" s="82">
        <f t="shared" si="104"/>
        <v>0</v>
      </c>
      <c r="AI86" s="82">
        <f t="shared" si="104"/>
        <v>0</v>
      </c>
      <c r="AJ86" s="82">
        <f t="shared" si="104"/>
        <v>0</v>
      </c>
      <c r="AK86" s="82">
        <f t="shared" ref="AK86:AL86" si="105">SUM(AK83:AK85)</f>
        <v>0</v>
      </c>
      <c r="AL86" s="82">
        <f t="shared" si="105"/>
        <v>0</v>
      </c>
      <c r="AM86" s="82">
        <f t="shared" si="104"/>
        <v>0</v>
      </c>
      <c r="AN86" s="82">
        <f t="shared" si="104"/>
        <v>0</v>
      </c>
      <c r="AO86" s="82">
        <f t="shared" si="104"/>
        <v>0</v>
      </c>
      <c r="AP86" s="82">
        <f t="shared" si="104"/>
        <v>0</v>
      </c>
      <c r="AQ86" s="83">
        <f t="shared" si="104"/>
        <v>0</v>
      </c>
      <c r="AR86" s="438">
        <f t="shared" si="104"/>
        <v>6096819</v>
      </c>
      <c r="AS86" s="81">
        <f t="shared" si="104"/>
        <v>4463746</v>
      </c>
      <c r="AT86" s="81">
        <f t="shared" si="104"/>
        <v>0</v>
      </c>
      <c r="AU86" s="81">
        <f t="shared" si="104"/>
        <v>1508746</v>
      </c>
      <c r="AV86" s="81">
        <f t="shared" si="104"/>
        <v>89275</v>
      </c>
      <c r="AW86" s="81">
        <f t="shared" si="104"/>
        <v>35052</v>
      </c>
      <c r="AX86" s="82">
        <f t="shared" si="104"/>
        <v>10.346100000000002</v>
      </c>
      <c r="AY86" s="82">
        <f t="shared" si="104"/>
        <v>6.2419000000000002</v>
      </c>
      <c r="AZ86" s="83">
        <f t="shared" si="104"/>
        <v>4.1041999999999996</v>
      </c>
    </row>
    <row r="87" spans="1:52" ht="14.1" customHeight="1" x14ac:dyDescent="0.2">
      <c r="A87" s="72">
        <v>21</v>
      </c>
      <c r="B87" s="69">
        <v>2430</v>
      </c>
      <c r="C87" s="70">
        <v>600079180</v>
      </c>
      <c r="D87" s="69">
        <v>46747532</v>
      </c>
      <c r="E87" s="71" t="s">
        <v>608</v>
      </c>
      <c r="F87" s="72">
        <v>3111</v>
      </c>
      <c r="G87" s="71" t="s">
        <v>312</v>
      </c>
      <c r="H87" s="73" t="s">
        <v>278</v>
      </c>
      <c r="I87" s="494">
        <v>5259540</v>
      </c>
      <c r="J87" s="674">
        <v>3849146</v>
      </c>
      <c r="K87" s="674">
        <v>0</v>
      </c>
      <c r="L87" s="489">
        <v>1301011</v>
      </c>
      <c r="M87" s="489">
        <v>76983</v>
      </c>
      <c r="N87" s="489">
        <v>32400</v>
      </c>
      <c r="O87" s="490">
        <v>8.1341999999999999</v>
      </c>
      <c r="P87" s="490">
        <v>6</v>
      </c>
      <c r="Q87" s="500">
        <v>2.1341999999999999</v>
      </c>
      <c r="R87" s="502">
        <f t="shared" si="88"/>
        <v>0</v>
      </c>
      <c r="S87" s="492">
        <v>0</v>
      </c>
      <c r="T87" s="492">
        <v>0</v>
      </c>
      <c r="U87" s="492">
        <v>0</v>
      </c>
      <c r="V87" s="492">
        <f>SUM(R87:U87)</f>
        <v>0</v>
      </c>
      <c r="W87" s="492">
        <v>0</v>
      </c>
      <c r="X87" s="492">
        <v>0</v>
      </c>
      <c r="Y87" s="492">
        <v>0</v>
      </c>
      <c r="Z87" s="492">
        <f t="shared" si="91"/>
        <v>0</v>
      </c>
      <c r="AA87" s="492">
        <f t="shared" si="92"/>
        <v>0</v>
      </c>
      <c r="AB87" s="74">
        <f t="shared" si="93"/>
        <v>0</v>
      </c>
      <c r="AC87" s="74">
        <f t="shared" si="94"/>
        <v>0</v>
      </c>
      <c r="AD87" s="492">
        <v>0</v>
      </c>
      <c r="AE87" s="492">
        <v>0</v>
      </c>
      <c r="AF87" s="492">
        <f>SUM(AD87:AE87)</f>
        <v>0</v>
      </c>
      <c r="AG87" s="492">
        <f>AA87+AB87+AC87+AF87</f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89"/>
        <v>0</v>
      </c>
      <c r="AP87" s="493">
        <f t="shared" si="90"/>
        <v>0</v>
      </c>
      <c r="AQ87" s="495">
        <f t="shared" si="95"/>
        <v>0</v>
      </c>
      <c r="AR87" s="501">
        <f>I87+AG87</f>
        <v>5259540</v>
      </c>
      <c r="AS87" s="492">
        <f>J87+V87</f>
        <v>3849146</v>
      </c>
      <c r="AT87" s="492">
        <f t="shared" ref="AT87:AT89" si="106">K87+Z87</f>
        <v>0</v>
      </c>
      <c r="AU87" s="492">
        <f t="shared" ref="AU87:AV89" si="107">L87+AB87</f>
        <v>1301011</v>
      </c>
      <c r="AV87" s="492">
        <f t="shared" si="107"/>
        <v>76983</v>
      </c>
      <c r="AW87" s="492">
        <f>N87+AF87</f>
        <v>32400</v>
      </c>
      <c r="AX87" s="493">
        <f>O87+AQ87</f>
        <v>8.1341999999999999</v>
      </c>
      <c r="AY87" s="493">
        <f t="shared" ref="AY87:AZ89" si="108">P87+AO87</f>
        <v>6</v>
      </c>
      <c r="AZ87" s="495">
        <f t="shared" si="108"/>
        <v>2.1341999999999999</v>
      </c>
    </row>
    <row r="88" spans="1:52" ht="14.1" customHeight="1" x14ac:dyDescent="0.2">
      <c r="A88" s="72">
        <v>21</v>
      </c>
      <c r="B88" s="69">
        <v>2430</v>
      </c>
      <c r="C88" s="70">
        <v>600079180</v>
      </c>
      <c r="D88" s="69">
        <v>46747532</v>
      </c>
      <c r="E88" s="71" t="s">
        <v>608</v>
      </c>
      <c r="F88" s="72">
        <v>3111</v>
      </c>
      <c r="G88" s="84" t="s">
        <v>313</v>
      </c>
      <c r="H88" s="73" t="s">
        <v>279</v>
      </c>
      <c r="I88" s="494">
        <v>235235</v>
      </c>
      <c r="J88" s="489">
        <v>173222</v>
      </c>
      <c r="K88" s="489">
        <v>0</v>
      </c>
      <c r="L88" s="489">
        <v>58549</v>
      </c>
      <c r="M88" s="489">
        <v>3464</v>
      </c>
      <c r="N88" s="489">
        <v>0</v>
      </c>
      <c r="O88" s="490">
        <v>0.5</v>
      </c>
      <c r="P88" s="491">
        <v>0.5</v>
      </c>
      <c r="Q88" s="500">
        <v>0</v>
      </c>
      <c r="R88" s="502">
        <f t="shared" si="88"/>
        <v>0</v>
      </c>
      <c r="S88" s="492"/>
      <c r="T88" s="492">
        <v>0</v>
      </c>
      <c r="U88" s="492">
        <v>0</v>
      </c>
      <c r="V88" s="492">
        <f>SUM(R88:U88)</f>
        <v>0</v>
      </c>
      <c r="W88" s="492">
        <v>0</v>
      </c>
      <c r="X88" s="492">
        <v>0</v>
      </c>
      <c r="Y88" s="492">
        <v>0</v>
      </c>
      <c r="Z88" s="492">
        <f t="shared" si="91"/>
        <v>0</v>
      </c>
      <c r="AA88" s="492">
        <f t="shared" si="92"/>
        <v>0</v>
      </c>
      <c r="AB88" s="74">
        <f t="shared" si="93"/>
        <v>0</v>
      </c>
      <c r="AC88" s="74">
        <f t="shared" si="94"/>
        <v>0</v>
      </c>
      <c r="AD88" s="492">
        <v>0</v>
      </c>
      <c r="AE88" s="492">
        <v>0</v>
      </c>
      <c r="AF88" s="492">
        <f>SUM(AD88:AE88)</f>
        <v>0</v>
      </c>
      <c r="AG88" s="492">
        <f>AA88+AB88+AC88+AF88</f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89"/>
        <v>0</v>
      </c>
      <c r="AP88" s="493">
        <f t="shared" si="90"/>
        <v>0</v>
      </c>
      <c r="AQ88" s="495">
        <f t="shared" si="95"/>
        <v>0</v>
      </c>
      <c r="AR88" s="501">
        <f>I88+AG88</f>
        <v>235235</v>
      </c>
      <c r="AS88" s="492">
        <f>J88+V88</f>
        <v>173222</v>
      </c>
      <c r="AT88" s="492">
        <f t="shared" si="106"/>
        <v>0</v>
      </c>
      <c r="AU88" s="492">
        <f t="shared" si="107"/>
        <v>58549</v>
      </c>
      <c r="AV88" s="492">
        <f t="shared" si="107"/>
        <v>3464</v>
      </c>
      <c r="AW88" s="492">
        <f>N88+AF88</f>
        <v>0</v>
      </c>
      <c r="AX88" s="493">
        <f>O88+AQ88</f>
        <v>0.5</v>
      </c>
      <c r="AY88" s="493">
        <f t="shared" si="108"/>
        <v>0.5</v>
      </c>
      <c r="AZ88" s="495">
        <f t="shared" si="108"/>
        <v>0</v>
      </c>
    </row>
    <row r="89" spans="1:52" ht="14.1" customHeight="1" x14ac:dyDescent="0.2">
      <c r="A89" s="72">
        <v>21</v>
      </c>
      <c r="B89" s="69">
        <v>2430</v>
      </c>
      <c r="C89" s="70">
        <v>600079180</v>
      </c>
      <c r="D89" s="69">
        <v>46747532</v>
      </c>
      <c r="E89" s="71" t="s">
        <v>608</v>
      </c>
      <c r="F89" s="72">
        <v>3141</v>
      </c>
      <c r="G89" s="71" t="s">
        <v>316</v>
      </c>
      <c r="H89" s="73" t="s">
        <v>279</v>
      </c>
      <c r="I89" s="494">
        <v>880114</v>
      </c>
      <c r="J89" s="489">
        <v>645021</v>
      </c>
      <c r="K89" s="489">
        <v>0</v>
      </c>
      <c r="L89" s="489">
        <v>218017</v>
      </c>
      <c r="M89" s="489">
        <v>12900</v>
      </c>
      <c r="N89" s="489">
        <v>4176</v>
      </c>
      <c r="O89" s="490">
        <v>2.0299999999999998</v>
      </c>
      <c r="P89" s="491">
        <v>0</v>
      </c>
      <c r="Q89" s="500">
        <v>2.0299999999999998</v>
      </c>
      <c r="R89" s="502">
        <f t="shared" si="88"/>
        <v>0</v>
      </c>
      <c r="S89" s="492">
        <v>0</v>
      </c>
      <c r="T89" s="492">
        <v>0</v>
      </c>
      <c r="U89" s="492">
        <v>0</v>
      </c>
      <c r="V89" s="492">
        <f>SUM(R89:U89)</f>
        <v>0</v>
      </c>
      <c r="W89" s="492">
        <v>0</v>
      </c>
      <c r="X89" s="492">
        <v>0</v>
      </c>
      <c r="Y89" s="492">
        <v>0</v>
      </c>
      <c r="Z89" s="492">
        <f t="shared" si="91"/>
        <v>0</v>
      </c>
      <c r="AA89" s="492">
        <f t="shared" si="92"/>
        <v>0</v>
      </c>
      <c r="AB89" s="74">
        <f t="shared" si="93"/>
        <v>0</v>
      </c>
      <c r="AC89" s="74">
        <f t="shared" si="94"/>
        <v>0</v>
      </c>
      <c r="AD89" s="492">
        <v>0</v>
      </c>
      <c r="AE89" s="492">
        <v>0</v>
      </c>
      <c r="AF89" s="492">
        <f>SUM(AD89:AE89)</f>
        <v>0</v>
      </c>
      <c r="AG89" s="492">
        <f>AA89+AB89+AC89+AF89</f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89"/>
        <v>0</v>
      </c>
      <c r="AP89" s="493">
        <f t="shared" si="90"/>
        <v>0</v>
      </c>
      <c r="AQ89" s="495">
        <f t="shared" si="95"/>
        <v>0</v>
      </c>
      <c r="AR89" s="501">
        <f>I89+AG89</f>
        <v>880114</v>
      </c>
      <c r="AS89" s="492">
        <f>J89+V89</f>
        <v>645021</v>
      </c>
      <c r="AT89" s="492">
        <f t="shared" si="106"/>
        <v>0</v>
      </c>
      <c r="AU89" s="492">
        <f t="shared" si="107"/>
        <v>218017</v>
      </c>
      <c r="AV89" s="492">
        <f t="shared" si="107"/>
        <v>12900</v>
      </c>
      <c r="AW89" s="492">
        <f>N89+AF89</f>
        <v>4176</v>
      </c>
      <c r="AX89" s="493">
        <f>O89+AQ89</f>
        <v>2.0299999999999998</v>
      </c>
      <c r="AY89" s="493">
        <f t="shared" si="108"/>
        <v>0</v>
      </c>
      <c r="AZ89" s="495">
        <f t="shared" si="108"/>
        <v>2.0299999999999998</v>
      </c>
    </row>
    <row r="90" spans="1:52" ht="13.5" customHeight="1" x14ac:dyDescent="0.2">
      <c r="A90" s="78">
        <v>21</v>
      </c>
      <c r="B90" s="75">
        <v>2430</v>
      </c>
      <c r="C90" s="76">
        <v>600079180</v>
      </c>
      <c r="D90" s="75">
        <v>46747532</v>
      </c>
      <c r="E90" s="77" t="s">
        <v>609</v>
      </c>
      <c r="F90" s="78"/>
      <c r="G90" s="77"/>
      <c r="H90" s="79"/>
      <c r="I90" s="80">
        <v>6374889</v>
      </c>
      <c r="J90" s="81">
        <v>4667389</v>
      </c>
      <c r="K90" s="81">
        <v>0</v>
      </c>
      <c r="L90" s="81">
        <v>1577577</v>
      </c>
      <c r="M90" s="81">
        <v>93347</v>
      </c>
      <c r="N90" s="81">
        <v>36576</v>
      </c>
      <c r="O90" s="82">
        <v>10.664199999999999</v>
      </c>
      <c r="P90" s="82">
        <v>6.5</v>
      </c>
      <c r="Q90" s="452">
        <v>4.1641999999999992</v>
      </c>
      <c r="R90" s="80">
        <f t="shared" ref="R90:AZ90" si="109">SUM(R87:R89)</f>
        <v>0</v>
      </c>
      <c r="S90" s="81">
        <f t="shared" si="109"/>
        <v>0</v>
      </c>
      <c r="T90" s="81">
        <f t="shared" si="109"/>
        <v>0</v>
      </c>
      <c r="U90" s="81">
        <f t="shared" si="109"/>
        <v>0</v>
      </c>
      <c r="V90" s="81">
        <f t="shared" si="109"/>
        <v>0</v>
      </c>
      <c r="W90" s="81">
        <f t="shared" si="109"/>
        <v>0</v>
      </c>
      <c r="X90" s="81">
        <f t="shared" si="109"/>
        <v>0</v>
      </c>
      <c r="Y90" s="81">
        <f t="shared" si="109"/>
        <v>0</v>
      </c>
      <c r="Z90" s="81">
        <f t="shared" si="109"/>
        <v>0</v>
      </c>
      <c r="AA90" s="81">
        <f t="shared" si="109"/>
        <v>0</v>
      </c>
      <c r="AB90" s="81">
        <f t="shared" si="109"/>
        <v>0</v>
      </c>
      <c r="AC90" s="81">
        <f t="shared" si="109"/>
        <v>0</v>
      </c>
      <c r="AD90" s="81">
        <f t="shared" si="109"/>
        <v>0</v>
      </c>
      <c r="AE90" s="81">
        <f t="shared" si="109"/>
        <v>0</v>
      </c>
      <c r="AF90" s="81">
        <f t="shared" si="109"/>
        <v>0</v>
      </c>
      <c r="AG90" s="81">
        <f t="shared" si="109"/>
        <v>0</v>
      </c>
      <c r="AH90" s="82">
        <f t="shared" si="109"/>
        <v>0</v>
      </c>
      <c r="AI90" s="82">
        <f t="shared" si="109"/>
        <v>0</v>
      </c>
      <c r="AJ90" s="82">
        <f t="shared" si="109"/>
        <v>0</v>
      </c>
      <c r="AK90" s="82">
        <f t="shared" ref="AK90:AL90" si="110">SUM(AK87:AK89)</f>
        <v>0</v>
      </c>
      <c r="AL90" s="82">
        <f t="shared" si="110"/>
        <v>0</v>
      </c>
      <c r="AM90" s="82">
        <f t="shared" si="109"/>
        <v>0</v>
      </c>
      <c r="AN90" s="82">
        <f t="shared" si="109"/>
        <v>0</v>
      </c>
      <c r="AO90" s="82">
        <f t="shared" si="109"/>
        <v>0</v>
      </c>
      <c r="AP90" s="82">
        <f t="shared" si="109"/>
        <v>0</v>
      </c>
      <c r="AQ90" s="83">
        <f t="shared" si="109"/>
        <v>0</v>
      </c>
      <c r="AR90" s="438">
        <f t="shared" si="109"/>
        <v>6374889</v>
      </c>
      <c r="AS90" s="81">
        <f t="shared" si="109"/>
        <v>4667389</v>
      </c>
      <c r="AT90" s="81">
        <f t="shared" si="109"/>
        <v>0</v>
      </c>
      <c r="AU90" s="81">
        <f t="shared" si="109"/>
        <v>1577577</v>
      </c>
      <c r="AV90" s="81">
        <f t="shared" si="109"/>
        <v>93347</v>
      </c>
      <c r="AW90" s="81">
        <f t="shared" si="109"/>
        <v>36576</v>
      </c>
      <c r="AX90" s="82">
        <f t="shared" si="109"/>
        <v>10.664199999999999</v>
      </c>
      <c r="AY90" s="82">
        <f t="shared" si="109"/>
        <v>6.5</v>
      </c>
      <c r="AZ90" s="83">
        <f t="shared" si="109"/>
        <v>4.1641999999999992</v>
      </c>
    </row>
    <row r="91" spans="1:52" ht="14.1" customHeight="1" x14ac:dyDescent="0.2">
      <c r="A91" s="72">
        <v>22</v>
      </c>
      <c r="B91" s="69">
        <v>2409</v>
      </c>
      <c r="C91" s="70">
        <v>600079635</v>
      </c>
      <c r="D91" s="69">
        <v>72742747</v>
      </c>
      <c r="E91" s="71" t="s">
        <v>610</v>
      </c>
      <c r="F91" s="72">
        <v>3111</v>
      </c>
      <c r="G91" s="71" t="s">
        <v>312</v>
      </c>
      <c r="H91" s="73" t="s">
        <v>278</v>
      </c>
      <c r="I91" s="494">
        <v>7687131</v>
      </c>
      <c r="J91" s="674">
        <v>5614681</v>
      </c>
      <c r="K91" s="674">
        <v>13000</v>
      </c>
      <c r="L91" s="489">
        <v>1902156</v>
      </c>
      <c r="M91" s="489">
        <v>112294</v>
      </c>
      <c r="N91" s="489">
        <v>45000</v>
      </c>
      <c r="O91" s="490">
        <v>12.168200000000001</v>
      </c>
      <c r="P91" s="490">
        <v>8.9</v>
      </c>
      <c r="Q91" s="500">
        <v>3.2681999999999998</v>
      </c>
      <c r="R91" s="502">
        <f t="shared" si="88"/>
        <v>0</v>
      </c>
      <c r="S91" s="492">
        <v>0</v>
      </c>
      <c r="T91" s="492">
        <v>0</v>
      </c>
      <c r="U91" s="492">
        <v>0</v>
      </c>
      <c r="V91" s="492">
        <f>SUM(R91:U91)</f>
        <v>0</v>
      </c>
      <c r="W91" s="492">
        <v>0</v>
      </c>
      <c r="X91" s="492">
        <v>0</v>
      </c>
      <c r="Y91" s="492">
        <v>0</v>
      </c>
      <c r="Z91" s="492">
        <f t="shared" si="91"/>
        <v>0</v>
      </c>
      <c r="AA91" s="492">
        <f t="shared" si="92"/>
        <v>0</v>
      </c>
      <c r="AB91" s="74">
        <f t="shared" si="93"/>
        <v>0</v>
      </c>
      <c r="AC91" s="74">
        <f t="shared" si="94"/>
        <v>0</v>
      </c>
      <c r="AD91" s="492">
        <v>0</v>
      </c>
      <c r="AE91" s="492">
        <v>0</v>
      </c>
      <c r="AF91" s="492">
        <f>SUM(AD91:AE91)</f>
        <v>0</v>
      </c>
      <c r="AG91" s="492">
        <f>AA91+AB91+AC91+AF91</f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si="89"/>
        <v>0</v>
      </c>
      <c r="AP91" s="493">
        <f t="shared" si="90"/>
        <v>0</v>
      </c>
      <c r="AQ91" s="495">
        <f t="shared" si="95"/>
        <v>0</v>
      </c>
      <c r="AR91" s="501">
        <f>I91+AG91</f>
        <v>7687131</v>
      </c>
      <c r="AS91" s="492">
        <f>J91+V91</f>
        <v>5614681</v>
      </c>
      <c r="AT91" s="492">
        <f t="shared" ref="AT91:AT93" si="111">K91+Z91</f>
        <v>13000</v>
      </c>
      <c r="AU91" s="492">
        <f t="shared" ref="AU91:AV93" si="112">L91+AB91</f>
        <v>1902156</v>
      </c>
      <c r="AV91" s="492">
        <f t="shared" si="112"/>
        <v>112294</v>
      </c>
      <c r="AW91" s="492">
        <f>N91+AF91</f>
        <v>45000</v>
      </c>
      <c r="AX91" s="493">
        <f>O91+AQ91</f>
        <v>12.168200000000001</v>
      </c>
      <c r="AY91" s="493">
        <f t="shared" ref="AY91:AZ93" si="113">P91+AO91</f>
        <v>8.9</v>
      </c>
      <c r="AZ91" s="495">
        <f t="shared" si="113"/>
        <v>3.2681999999999998</v>
      </c>
    </row>
    <row r="92" spans="1:52" ht="14.1" customHeight="1" x14ac:dyDescent="0.2">
      <c r="A92" s="72">
        <v>22</v>
      </c>
      <c r="B92" s="69">
        <v>2409</v>
      </c>
      <c r="C92" s="70">
        <v>600079635</v>
      </c>
      <c r="D92" s="69">
        <v>72742747</v>
      </c>
      <c r="E92" s="71" t="s">
        <v>610</v>
      </c>
      <c r="F92" s="72">
        <v>3111</v>
      </c>
      <c r="G92" s="71" t="s">
        <v>313</v>
      </c>
      <c r="H92" s="73" t="s">
        <v>279</v>
      </c>
      <c r="I92" s="494">
        <v>281607</v>
      </c>
      <c r="J92" s="674">
        <v>207001</v>
      </c>
      <c r="K92" s="674">
        <v>0</v>
      </c>
      <c r="L92" s="489">
        <v>69966</v>
      </c>
      <c r="M92" s="489">
        <v>4140</v>
      </c>
      <c r="N92" s="489">
        <v>500</v>
      </c>
      <c r="O92" s="490">
        <v>0.82</v>
      </c>
      <c r="P92" s="490">
        <v>0.82</v>
      </c>
      <c r="Q92" s="500">
        <v>0</v>
      </c>
      <c r="R92" s="502">
        <f t="shared" si="88"/>
        <v>0</v>
      </c>
      <c r="S92" s="492">
        <v>0</v>
      </c>
      <c r="T92" s="492">
        <v>0</v>
      </c>
      <c r="U92" s="492">
        <v>0</v>
      </c>
      <c r="V92" s="492">
        <f>SUM(R92:U92)</f>
        <v>0</v>
      </c>
      <c r="W92" s="492">
        <v>0</v>
      </c>
      <c r="X92" s="492">
        <v>0</v>
      </c>
      <c r="Y92" s="492">
        <v>0</v>
      </c>
      <c r="Z92" s="492">
        <f t="shared" ref="Z92" si="114">SUM(W92:Y92)</f>
        <v>0</v>
      </c>
      <c r="AA92" s="492">
        <f t="shared" ref="AA92" si="115">V92+Z92</f>
        <v>0</v>
      </c>
      <c r="AB92" s="74">
        <f t="shared" ref="AB92" si="116">ROUND((V92+W92+X92)*33.8%,0)</f>
        <v>0</v>
      </c>
      <c r="AC92" s="74">
        <f t="shared" ref="AC92" si="117">ROUND(V92*2%,0)</f>
        <v>0</v>
      </c>
      <c r="AD92" s="492">
        <v>0</v>
      </c>
      <c r="AE92" s="492">
        <v>0</v>
      </c>
      <c r="AF92" s="492">
        <f>SUM(AD92:AE92)</f>
        <v>0</v>
      </c>
      <c r="AG92" s="492">
        <f>AA92+AB92+AC92+AF92</f>
        <v>0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 t="shared" si="89"/>
        <v>0</v>
      </c>
      <c r="AP92" s="493">
        <f t="shared" si="90"/>
        <v>0</v>
      </c>
      <c r="AQ92" s="495">
        <f t="shared" ref="AQ92" si="118">SUM(AO92:AP92)</f>
        <v>0</v>
      </c>
      <c r="AR92" s="501">
        <f>I92+AG92</f>
        <v>281607</v>
      </c>
      <c r="AS92" s="492">
        <f>J92+V92</f>
        <v>207001</v>
      </c>
      <c r="AT92" s="492">
        <f t="shared" si="111"/>
        <v>0</v>
      </c>
      <c r="AU92" s="492">
        <f t="shared" si="112"/>
        <v>69966</v>
      </c>
      <c r="AV92" s="492">
        <f t="shared" si="112"/>
        <v>4140</v>
      </c>
      <c r="AW92" s="492">
        <f>N92+AF92</f>
        <v>500</v>
      </c>
      <c r="AX92" s="493">
        <f>O92+AQ92</f>
        <v>0.82</v>
      </c>
      <c r="AY92" s="493">
        <f t="shared" si="113"/>
        <v>0.82</v>
      </c>
      <c r="AZ92" s="495">
        <f t="shared" si="113"/>
        <v>0</v>
      </c>
    </row>
    <row r="93" spans="1:52" ht="14.1" customHeight="1" x14ac:dyDescent="0.2">
      <c r="A93" s="72">
        <v>22</v>
      </c>
      <c r="B93" s="69">
        <v>2409</v>
      </c>
      <c r="C93" s="70">
        <v>600079635</v>
      </c>
      <c r="D93" s="69">
        <v>72742747</v>
      </c>
      <c r="E93" s="71" t="s">
        <v>610</v>
      </c>
      <c r="F93" s="72">
        <v>3141</v>
      </c>
      <c r="G93" s="71" t="s">
        <v>316</v>
      </c>
      <c r="H93" s="73" t="s">
        <v>279</v>
      </c>
      <c r="I93" s="494">
        <v>1375370</v>
      </c>
      <c r="J93" s="489">
        <v>1005318</v>
      </c>
      <c r="K93" s="489">
        <v>3250</v>
      </c>
      <c r="L93" s="489">
        <v>340896</v>
      </c>
      <c r="M93" s="489">
        <v>20106</v>
      </c>
      <c r="N93" s="489">
        <v>5800</v>
      </c>
      <c r="O93" s="490">
        <v>3.18</v>
      </c>
      <c r="P93" s="491">
        <v>0</v>
      </c>
      <c r="Q93" s="500">
        <v>3.18</v>
      </c>
      <c r="R93" s="502">
        <f t="shared" si="88"/>
        <v>0</v>
      </c>
      <c r="S93" s="492">
        <v>0</v>
      </c>
      <c r="T93" s="492">
        <v>0</v>
      </c>
      <c r="U93" s="492">
        <v>0</v>
      </c>
      <c r="V93" s="492">
        <f>SUM(R93:U93)</f>
        <v>0</v>
      </c>
      <c r="W93" s="492">
        <v>0</v>
      </c>
      <c r="X93" s="492">
        <v>0</v>
      </c>
      <c r="Y93" s="492">
        <v>0</v>
      </c>
      <c r="Z93" s="492">
        <f t="shared" si="91"/>
        <v>0</v>
      </c>
      <c r="AA93" s="492">
        <f t="shared" si="92"/>
        <v>0</v>
      </c>
      <c r="AB93" s="74">
        <f t="shared" si="93"/>
        <v>0</v>
      </c>
      <c r="AC93" s="74">
        <f t="shared" si="94"/>
        <v>0</v>
      </c>
      <c r="AD93" s="492">
        <v>0</v>
      </c>
      <c r="AE93" s="492">
        <v>0</v>
      </c>
      <c r="AF93" s="492">
        <f>SUM(AD93:AE93)</f>
        <v>0</v>
      </c>
      <c r="AG93" s="492">
        <f>AA93+AB93+AC93+AF93</f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si="89"/>
        <v>0</v>
      </c>
      <c r="AP93" s="493">
        <f t="shared" si="90"/>
        <v>0</v>
      </c>
      <c r="AQ93" s="495">
        <f t="shared" si="95"/>
        <v>0</v>
      </c>
      <c r="AR93" s="501">
        <f>I93+AG93</f>
        <v>1375370</v>
      </c>
      <c r="AS93" s="492">
        <f>J93+V93</f>
        <v>1005318</v>
      </c>
      <c r="AT93" s="492">
        <f t="shared" si="111"/>
        <v>3250</v>
      </c>
      <c r="AU93" s="492">
        <f t="shared" si="112"/>
        <v>340896</v>
      </c>
      <c r="AV93" s="492">
        <f t="shared" si="112"/>
        <v>20106</v>
      </c>
      <c r="AW93" s="492">
        <f>N93+AF93</f>
        <v>5800</v>
      </c>
      <c r="AX93" s="493">
        <f>O93+AQ93</f>
        <v>3.18</v>
      </c>
      <c r="AY93" s="493">
        <f t="shared" si="113"/>
        <v>0</v>
      </c>
      <c r="AZ93" s="495">
        <f t="shared" si="113"/>
        <v>3.18</v>
      </c>
    </row>
    <row r="94" spans="1:52" ht="13.5" customHeight="1" x14ac:dyDescent="0.2">
      <c r="A94" s="78">
        <v>22</v>
      </c>
      <c r="B94" s="75">
        <v>2409</v>
      </c>
      <c r="C94" s="76">
        <v>600079635</v>
      </c>
      <c r="D94" s="75">
        <v>72742747</v>
      </c>
      <c r="E94" s="77" t="s">
        <v>611</v>
      </c>
      <c r="F94" s="78"/>
      <c r="G94" s="77"/>
      <c r="H94" s="79"/>
      <c r="I94" s="80">
        <v>9344108</v>
      </c>
      <c r="J94" s="81">
        <v>6827000</v>
      </c>
      <c r="K94" s="81">
        <v>16250</v>
      </c>
      <c r="L94" s="81">
        <v>2313018</v>
      </c>
      <c r="M94" s="81">
        <v>136540</v>
      </c>
      <c r="N94" s="81">
        <v>51300</v>
      </c>
      <c r="O94" s="82">
        <v>16.168200000000002</v>
      </c>
      <c r="P94" s="82">
        <v>9.7200000000000006</v>
      </c>
      <c r="Q94" s="452">
        <v>6.4481999999999999</v>
      </c>
      <c r="R94" s="80">
        <f t="shared" ref="R94:AZ94" si="119">SUM(R91:R93)</f>
        <v>0</v>
      </c>
      <c r="S94" s="81">
        <f t="shared" si="119"/>
        <v>0</v>
      </c>
      <c r="T94" s="81">
        <f t="shared" si="119"/>
        <v>0</v>
      </c>
      <c r="U94" s="81">
        <f t="shared" si="119"/>
        <v>0</v>
      </c>
      <c r="V94" s="81">
        <f t="shared" si="119"/>
        <v>0</v>
      </c>
      <c r="W94" s="81">
        <f t="shared" si="119"/>
        <v>0</v>
      </c>
      <c r="X94" s="81">
        <f t="shared" si="119"/>
        <v>0</v>
      </c>
      <c r="Y94" s="81">
        <f t="shared" si="119"/>
        <v>0</v>
      </c>
      <c r="Z94" s="81">
        <f t="shared" si="119"/>
        <v>0</v>
      </c>
      <c r="AA94" s="81">
        <f t="shared" si="119"/>
        <v>0</v>
      </c>
      <c r="AB94" s="81">
        <f t="shared" si="119"/>
        <v>0</v>
      </c>
      <c r="AC94" s="81">
        <f t="shared" si="119"/>
        <v>0</v>
      </c>
      <c r="AD94" s="81">
        <f t="shared" si="119"/>
        <v>0</v>
      </c>
      <c r="AE94" s="81">
        <f t="shared" si="119"/>
        <v>0</v>
      </c>
      <c r="AF94" s="81">
        <f t="shared" si="119"/>
        <v>0</v>
      </c>
      <c r="AG94" s="81">
        <f t="shared" si="119"/>
        <v>0</v>
      </c>
      <c r="AH94" s="82">
        <f t="shared" si="119"/>
        <v>0</v>
      </c>
      <c r="AI94" s="82">
        <f t="shared" si="119"/>
        <v>0</v>
      </c>
      <c r="AJ94" s="82">
        <f t="shared" si="119"/>
        <v>0</v>
      </c>
      <c r="AK94" s="82">
        <f t="shared" ref="AK94:AL94" si="120">SUM(AK91:AK93)</f>
        <v>0</v>
      </c>
      <c r="AL94" s="82">
        <f t="shared" si="120"/>
        <v>0</v>
      </c>
      <c r="AM94" s="82">
        <f t="shared" si="119"/>
        <v>0</v>
      </c>
      <c r="AN94" s="82">
        <f t="shared" si="119"/>
        <v>0</v>
      </c>
      <c r="AO94" s="82">
        <f t="shared" si="119"/>
        <v>0</v>
      </c>
      <c r="AP94" s="82">
        <f t="shared" si="119"/>
        <v>0</v>
      </c>
      <c r="AQ94" s="83">
        <f t="shared" si="119"/>
        <v>0</v>
      </c>
      <c r="AR94" s="438">
        <f t="shared" si="119"/>
        <v>9344108</v>
      </c>
      <c r="AS94" s="81">
        <f t="shared" si="119"/>
        <v>6827000</v>
      </c>
      <c r="AT94" s="81">
        <f t="shared" si="119"/>
        <v>16250</v>
      </c>
      <c r="AU94" s="81">
        <f t="shared" si="119"/>
        <v>2313018</v>
      </c>
      <c r="AV94" s="81">
        <f t="shared" si="119"/>
        <v>136540</v>
      </c>
      <c r="AW94" s="81">
        <f t="shared" si="119"/>
        <v>51300</v>
      </c>
      <c r="AX94" s="82">
        <f t="shared" si="119"/>
        <v>16.168200000000002</v>
      </c>
      <c r="AY94" s="82">
        <f t="shared" si="119"/>
        <v>9.7200000000000006</v>
      </c>
      <c r="AZ94" s="83">
        <f t="shared" si="119"/>
        <v>6.4481999999999999</v>
      </c>
    </row>
    <row r="95" spans="1:52" ht="14.1" customHeight="1" x14ac:dyDescent="0.2">
      <c r="A95" s="72">
        <v>23</v>
      </c>
      <c r="B95" s="69">
        <v>2429</v>
      </c>
      <c r="C95" s="70">
        <v>600079244</v>
      </c>
      <c r="D95" s="69">
        <v>72741708</v>
      </c>
      <c r="E95" s="71" t="s">
        <v>612</v>
      </c>
      <c r="F95" s="72">
        <v>3111</v>
      </c>
      <c r="G95" s="71" t="s">
        <v>312</v>
      </c>
      <c r="H95" s="73" t="s">
        <v>278</v>
      </c>
      <c r="I95" s="494">
        <v>7175179</v>
      </c>
      <c r="J95" s="674">
        <v>5251825</v>
      </c>
      <c r="K95" s="674">
        <v>0</v>
      </c>
      <c r="L95" s="489">
        <v>1775117</v>
      </c>
      <c r="M95" s="489">
        <v>105037</v>
      </c>
      <c r="N95" s="489">
        <v>43200</v>
      </c>
      <c r="O95" s="490">
        <v>11.319799999999999</v>
      </c>
      <c r="P95" s="490">
        <v>8.4515999999999991</v>
      </c>
      <c r="Q95" s="500">
        <v>2.8681999999999999</v>
      </c>
      <c r="R95" s="502">
        <f t="shared" si="88"/>
        <v>0</v>
      </c>
      <c r="S95" s="492">
        <v>0</v>
      </c>
      <c r="T95" s="492">
        <v>0</v>
      </c>
      <c r="U95" s="492">
        <v>0</v>
      </c>
      <c r="V95" s="492">
        <f>SUM(R95:U95)</f>
        <v>0</v>
      </c>
      <c r="W95" s="492">
        <v>0</v>
      </c>
      <c r="X95" s="492">
        <v>0</v>
      </c>
      <c r="Y95" s="492">
        <v>0</v>
      </c>
      <c r="Z95" s="492">
        <f t="shared" si="91"/>
        <v>0</v>
      </c>
      <c r="AA95" s="492">
        <f t="shared" si="92"/>
        <v>0</v>
      </c>
      <c r="AB95" s="74">
        <f t="shared" si="93"/>
        <v>0</v>
      </c>
      <c r="AC95" s="74">
        <f t="shared" si="94"/>
        <v>0</v>
      </c>
      <c r="AD95" s="492">
        <v>0</v>
      </c>
      <c r="AE95" s="492">
        <v>0</v>
      </c>
      <c r="AF95" s="492">
        <f>SUM(AD95:AE95)</f>
        <v>0</v>
      </c>
      <c r="AG95" s="492">
        <f>AA95+AB95+AC95+AF95</f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89"/>
        <v>0</v>
      </c>
      <c r="AP95" s="493">
        <f t="shared" si="90"/>
        <v>0</v>
      </c>
      <c r="AQ95" s="495">
        <f t="shared" si="95"/>
        <v>0</v>
      </c>
      <c r="AR95" s="501">
        <f>I95+AG95</f>
        <v>7175179</v>
      </c>
      <c r="AS95" s="492">
        <f>J95+V95</f>
        <v>5251825</v>
      </c>
      <c r="AT95" s="492">
        <f t="shared" ref="AT95:AT97" si="121">K95+Z95</f>
        <v>0</v>
      </c>
      <c r="AU95" s="492">
        <f t="shared" ref="AU95:AV97" si="122">L95+AB95</f>
        <v>1775117</v>
      </c>
      <c r="AV95" s="492">
        <f t="shared" si="122"/>
        <v>105037</v>
      </c>
      <c r="AW95" s="492">
        <f>N95+AF95</f>
        <v>43200</v>
      </c>
      <c r="AX95" s="493">
        <f>O95+AQ95</f>
        <v>11.319799999999999</v>
      </c>
      <c r="AY95" s="493">
        <f t="shared" ref="AY95:AZ97" si="123">P95+AO95</f>
        <v>8.4515999999999991</v>
      </c>
      <c r="AZ95" s="495">
        <f t="shared" si="123"/>
        <v>2.8681999999999999</v>
      </c>
    </row>
    <row r="96" spans="1:52" ht="14.1" customHeight="1" x14ac:dyDescent="0.2">
      <c r="A96" s="72">
        <v>23</v>
      </c>
      <c r="B96" s="69">
        <v>2429</v>
      </c>
      <c r="C96" s="70">
        <v>600079244</v>
      </c>
      <c r="D96" s="69">
        <v>72741708</v>
      </c>
      <c r="E96" s="71" t="s">
        <v>612</v>
      </c>
      <c r="F96" s="72">
        <v>3111</v>
      </c>
      <c r="G96" s="84" t="s">
        <v>313</v>
      </c>
      <c r="H96" s="73" t="s">
        <v>279</v>
      </c>
      <c r="I96" s="494">
        <v>235235</v>
      </c>
      <c r="J96" s="489">
        <v>173222</v>
      </c>
      <c r="K96" s="489">
        <v>0</v>
      </c>
      <c r="L96" s="489">
        <v>58549</v>
      </c>
      <c r="M96" s="489">
        <v>3464</v>
      </c>
      <c r="N96" s="489">
        <v>0</v>
      </c>
      <c r="O96" s="490">
        <v>0.5</v>
      </c>
      <c r="P96" s="491">
        <v>0.5</v>
      </c>
      <c r="Q96" s="500">
        <v>0</v>
      </c>
      <c r="R96" s="502">
        <f t="shared" si="88"/>
        <v>0</v>
      </c>
      <c r="S96" s="492">
        <v>0</v>
      </c>
      <c r="T96" s="492">
        <v>0</v>
      </c>
      <c r="U96" s="492">
        <v>0</v>
      </c>
      <c r="V96" s="492">
        <f>SUM(R96:U96)</f>
        <v>0</v>
      </c>
      <c r="W96" s="492">
        <v>0</v>
      </c>
      <c r="X96" s="492">
        <v>0</v>
      </c>
      <c r="Y96" s="492">
        <v>0</v>
      </c>
      <c r="Z96" s="492">
        <f t="shared" si="91"/>
        <v>0</v>
      </c>
      <c r="AA96" s="492">
        <f t="shared" si="92"/>
        <v>0</v>
      </c>
      <c r="AB96" s="74">
        <f t="shared" si="93"/>
        <v>0</v>
      </c>
      <c r="AC96" s="74">
        <f t="shared" si="94"/>
        <v>0</v>
      </c>
      <c r="AD96" s="492">
        <v>0</v>
      </c>
      <c r="AE96" s="492">
        <v>0</v>
      </c>
      <c r="AF96" s="492">
        <f>SUM(AD96:AE96)</f>
        <v>0</v>
      </c>
      <c r="AG96" s="492">
        <f>AA96+AB96+AC96+AF96</f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89"/>
        <v>0</v>
      </c>
      <c r="AP96" s="493">
        <f t="shared" si="90"/>
        <v>0</v>
      </c>
      <c r="AQ96" s="495">
        <f t="shared" si="95"/>
        <v>0</v>
      </c>
      <c r="AR96" s="501">
        <f>I96+AG96</f>
        <v>235235</v>
      </c>
      <c r="AS96" s="492">
        <f>J96+V96</f>
        <v>173222</v>
      </c>
      <c r="AT96" s="492">
        <f t="shared" si="121"/>
        <v>0</v>
      </c>
      <c r="AU96" s="492">
        <f t="shared" si="122"/>
        <v>58549</v>
      </c>
      <c r="AV96" s="492">
        <f t="shared" si="122"/>
        <v>3464</v>
      </c>
      <c r="AW96" s="492">
        <f>N96+AF96</f>
        <v>0</v>
      </c>
      <c r="AX96" s="493">
        <f>O96+AQ96</f>
        <v>0.5</v>
      </c>
      <c r="AY96" s="493">
        <f t="shared" si="123"/>
        <v>0.5</v>
      </c>
      <c r="AZ96" s="495">
        <f t="shared" si="123"/>
        <v>0</v>
      </c>
    </row>
    <row r="97" spans="1:52" ht="14.1" customHeight="1" x14ac:dyDescent="0.2">
      <c r="A97" s="72">
        <v>23</v>
      </c>
      <c r="B97" s="69">
        <v>2429</v>
      </c>
      <c r="C97" s="70">
        <v>600079244</v>
      </c>
      <c r="D97" s="69">
        <v>72741708</v>
      </c>
      <c r="E97" s="71" t="s">
        <v>612</v>
      </c>
      <c r="F97" s="72">
        <v>3141</v>
      </c>
      <c r="G97" s="71" t="s">
        <v>316</v>
      </c>
      <c r="H97" s="73" t="s">
        <v>279</v>
      </c>
      <c r="I97" s="494">
        <v>1065814</v>
      </c>
      <c r="J97" s="489">
        <v>780783</v>
      </c>
      <c r="K97" s="489">
        <v>0</v>
      </c>
      <c r="L97" s="489">
        <v>263905</v>
      </c>
      <c r="M97" s="489">
        <v>15616</v>
      </c>
      <c r="N97" s="489">
        <v>5510</v>
      </c>
      <c r="O97" s="490">
        <v>2.46</v>
      </c>
      <c r="P97" s="491">
        <v>0</v>
      </c>
      <c r="Q97" s="500">
        <v>2.46</v>
      </c>
      <c r="R97" s="502">
        <f t="shared" si="88"/>
        <v>0</v>
      </c>
      <c r="S97" s="492">
        <v>0</v>
      </c>
      <c r="T97" s="492">
        <v>0</v>
      </c>
      <c r="U97" s="492">
        <v>0</v>
      </c>
      <c r="V97" s="492">
        <f>SUM(R97:U97)</f>
        <v>0</v>
      </c>
      <c r="W97" s="492">
        <v>0</v>
      </c>
      <c r="X97" s="492">
        <v>0</v>
      </c>
      <c r="Y97" s="492">
        <v>0</v>
      </c>
      <c r="Z97" s="492">
        <f t="shared" si="91"/>
        <v>0</v>
      </c>
      <c r="AA97" s="492">
        <f t="shared" si="92"/>
        <v>0</v>
      </c>
      <c r="AB97" s="74">
        <f t="shared" si="93"/>
        <v>0</v>
      </c>
      <c r="AC97" s="74">
        <f t="shared" si="94"/>
        <v>0</v>
      </c>
      <c r="AD97" s="492">
        <v>0</v>
      </c>
      <c r="AE97" s="492">
        <v>0</v>
      </c>
      <c r="AF97" s="492">
        <f>SUM(AD97:AE97)</f>
        <v>0</v>
      </c>
      <c r="AG97" s="492">
        <f>AA97+AB97+AC97+AF97</f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89"/>
        <v>0</v>
      </c>
      <c r="AP97" s="493">
        <f t="shared" si="90"/>
        <v>0</v>
      </c>
      <c r="AQ97" s="495">
        <f t="shared" si="95"/>
        <v>0</v>
      </c>
      <c r="AR97" s="501">
        <f>I97+AG97</f>
        <v>1065814</v>
      </c>
      <c r="AS97" s="492">
        <f>J97+V97</f>
        <v>780783</v>
      </c>
      <c r="AT97" s="492">
        <f t="shared" si="121"/>
        <v>0</v>
      </c>
      <c r="AU97" s="492">
        <f t="shared" si="122"/>
        <v>263905</v>
      </c>
      <c r="AV97" s="492">
        <f t="shared" si="122"/>
        <v>15616</v>
      </c>
      <c r="AW97" s="492">
        <f>N97+AF97</f>
        <v>5510</v>
      </c>
      <c r="AX97" s="493">
        <f>O97+AQ97</f>
        <v>2.46</v>
      </c>
      <c r="AY97" s="493">
        <f t="shared" si="123"/>
        <v>0</v>
      </c>
      <c r="AZ97" s="495">
        <f t="shared" si="123"/>
        <v>2.46</v>
      </c>
    </row>
    <row r="98" spans="1:52" ht="13.5" customHeight="1" x14ac:dyDescent="0.2">
      <c r="A98" s="78">
        <v>23</v>
      </c>
      <c r="B98" s="75">
        <v>2429</v>
      </c>
      <c r="C98" s="76">
        <v>600079244</v>
      </c>
      <c r="D98" s="75">
        <v>72741708</v>
      </c>
      <c r="E98" s="77" t="s">
        <v>613</v>
      </c>
      <c r="F98" s="78"/>
      <c r="G98" s="77"/>
      <c r="H98" s="79"/>
      <c r="I98" s="80">
        <v>8476228</v>
      </c>
      <c r="J98" s="81">
        <v>6205830</v>
      </c>
      <c r="K98" s="81">
        <v>0</v>
      </c>
      <c r="L98" s="81">
        <v>2097571</v>
      </c>
      <c r="M98" s="81">
        <v>124117</v>
      </c>
      <c r="N98" s="81">
        <v>48710</v>
      </c>
      <c r="O98" s="82">
        <v>14.279799999999998</v>
      </c>
      <c r="P98" s="82">
        <v>8.9515999999999991</v>
      </c>
      <c r="Q98" s="452">
        <v>5.3281999999999998</v>
      </c>
      <c r="R98" s="80">
        <f t="shared" ref="R98:AZ98" si="124">SUM(R95:R97)</f>
        <v>0</v>
      </c>
      <c r="S98" s="81">
        <f t="shared" si="124"/>
        <v>0</v>
      </c>
      <c r="T98" s="81">
        <f t="shared" si="124"/>
        <v>0</v>
      </c>
      <c r="U98" s="81">
        <f t="shared" si="124"/>
        <v>0</v>
      </c>
      <c r="V98" s="81">
        <f t="shared" si="124"/>
        <v>0</v>
      </c>
      <c r="W98" s="81">
        <f t="shared" si="124"/>
        <v>0</v>
      </c>
      <c r="X98" s="81">
        <f t="shared" si="124"/>
        <v>0</v>
      </c>
      <c r="Y98" s="81">
        <f t="shared" si="124"/>
        <v>0</v>
      </c>
      <c r="Z98" s="81">
        <f t="shared" si="124"/>
        <v>0</v>
      </c>
      <c r="AA98" s="81">
        <f t="shared" si="124"/>
        <v>0</v>
      </c>
      <c r="AB98" s="81">
        <f t="shared" si="124"/>
        <v>0</v>
      </c>
      <c r="AC98" s="81">
        <f t="shared" si="124"/>
        <v>0</v>
      </c>
      <c r="AD98" s="81">
        <f t="shared" si="124"/>
        <v>0</v>
      </c>
      <c r="AE98" s="81">
        <f t="shared" si="124"/>
        <v>0</v>
      </c>
      <c r="AF98" s="81">
        <f t="shared" si="124"/>
        <v>0</v>
      </c>
      <c r="AG98" s="81">
        <f t="shared" si="124"/>
        <v>0</v>
      </c>
      <c r="AH98" s="82">
        <f t="shared" si="124"/>
        <v>0</v>
      </c>
      <c r="AI98" s="82">
        <f t="shared" si="124"/>
        <v>0</v>
      </c>
      <c r="AJ98" s="82">
        <f t="shared" si="124"/>
        <v>0</v>
      </c>
      <c r="AK98" s="82">
        <f t="shared" ref="AK98:AL98" si="125">SUM(AK95:AK97)</f>
        <v>0</v>
      </c>
      <c r="AL98" s="82">
        <f t="shared" si="125"/>
        <v>0</v>
      </c>
      <c r="AM98" s="82">
        <f t="shared" si="124"/>
        <v>0</v>
      </c>
      <c r="AN98" s="82">
        <f t="shared" si="124"/>
        <v>0</v>
      </c>
      <c r="AO98" s="82">
        <f t="shared" si="124"/>
        <v>0</v>
      </c>
      <c r="AP98" s="82">
        <f t="shared" si="124"/>
        <v>0</v>
      </c>
      <c r="AQ98" s="83">
        <f t="shared" si="124"/>
        <v>0</v>
      </c>
      <c r="AR98" s="438">
        <f t="shared" si="124"/>
        <v>8476228</v>
      </c>
      <c r="AS98" s="81">
        <f t="shared" si="124"/>
        <v>6205830</v>
      </c>
      <c r="AT98" s="81">
        <f t="shared" si="124"/>
        <v>0</v>
      </c>
      <c r="AU98" s="81">
        <f t="shared" si="124"/>
        <v>2097571</v>
      </c>
      <c r="AV98" s="81">
        <f t="shared" si="124"/>
        <v>124117</v>
      </c>
      <c r="AW98" s="81">
        <f t="shared" si="124"/>
        <v>48710</v>
      </c>
      <c r="AX98" s="82">
        <f t="shared" si="124"/>
        <v>14.279799999999998</v>
      </c>
      <c r="AY98" s="82">
        <f t="shared" si="124"/>
        <v>8.9515999999999991</v>
      </c>
      <c r="AZ98" s="83">
        <f t="shared" si="124"/>
        <v>5.3281999999999998</v>
      </c>
    </row>
    <row r="99" spans="1:52" ht="14.1" customHeight="1" x14ac:dyDescent="0.2">
      <c r="A99" s="72">
        <v>24</v>
      </c>
      <c r="B99" s="69">
        <v>2412</v>
      </c>
      <c r="C99" s="70">
        <v>600079252</v>
      </c>
      <c r="D99" s="69">
        <v>72742429</v>
      </c>
      <c r="E99" s="71" t="s">
        <v>614</v>
      </c>
      <c r="F99" s="72">
        <v>3111</v>
      </c>
      <c r="G99" s="71" t="s">
        <v>312</v>
      </c>
      <c r="H99" s="73" t="s">
        <v>278</v>
      </c>
      <c r="I99" s="494">
        <v>10640964</v>
      </c>
      <c r="J99" s="674">
        <v>7775656</v>
      </c>
      <c r="K99" s="674">
        <v>15600</v>
      </c>
      <c r="L99" s="489">
        <v>2633445</v>
      </c>
      <c r="M99" s="489">
        <v>155513</v>
      </c>
      <c r="N99" s="489">
        <v>60750</v>
      </c>
      <c r="O99" s="490">
        <v>17.346499999999999</v>
      </c>
      <c r="P99" s="490">
        <v>12.742000000000001</v>
      </c>
      <c r="Q99" s="500">
        <v>4.6044999999999998</v>
      </c>
      <c r="R99" s="502">
        <f t="shared" si="88"/>
        <v>0</v>
      </c>
      <c r="S99" s="492">
        <v>0</v>
      </c>
      <c r="T99" s="492">
        <v>0</v>
      </c>
      <c r="U99" s="492">
        <v>0</v>
      </c>
      <c r="V99" s="492">
        <f>SUM(R99:U99)</f>
        <v>0</v>
      </c>
      <c r="W99" s="492">
        <v>0</v>
      </c>
      <c r="X99" s="492">
        <v>0</v>
      </c>
      <c r="Y99" s="492">
        <v>0</v>
      </c>
      <c r="Z99" s="492">
        <f t="shared" si="91"/>
        <v>0</v>
      </c>
      <c r="AA99" s="492">
        <f t="shared" si="92"/>
        <v>0</v>
      </c>
      <c r="AB99" s="74">
        <f t="shared" si="93"/>
        <v>0</v>
      </c>
      <c r="AC99" s="74">
        <f t="shared" si="94"/>
        <v>0</v>
      </c>
      <c r="AD99" s="492">
        <v>0</v>
      </c>
      <c r="AE99" s="492">
        <v>0</v>
      </c>
      <c r="AF99" s="492">
        <f>SUM(AD99:AE99)</f>
        <v>0</v>
      </c>
      <c r="AG99" s="492">
        <f>AA99+AB99+AC99+AF99</f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si="89"/>
        <v>0</v>
      </c>
      <c r="AP99" s="493">
        <f t="shared" si="90"/>
        <v>0</v>
      </c>
      <c r="AQ99" s="495">
        <f t="shared" si="95"/>
        <v>0</v>
      </c>
      <c r="AR99" s="501">
        <f>I99+AG99</f>
        <v>10640964</v>
      </c>
      <c r="AS99" s="492">
        <f>J99+V99</f>
        <v>7775656</v>
      </c>
      <c r="AT99" s="492">
        <f t="shared" ref="AT99:AT101" si="126">K99+Z99</f>
        <v>15600</v>
      </c>
      <c r="AU99" s="492">
        <f t="shared" ref="AU99:AV101" si="127">L99+AB99</f>
        <v>2633445</v>
      </c>
      <c r="AV99" s="492">
        <f t="shared" si="127"/>
        <v>155513</v>
      </c>
      <c r="AW99" s="492">
        <f>N99+AF99</f>
        <v>60750</v>
      </c>
      <c r="AX99" s="493">
        <f>O99+AQ99</f>
        <v>17.346499999999999</v>
      </c>
      <c r="AY99" s="493">
        <f t="shared" ref="AY99:AZ101" si="128">P99+AO99</f>
        <v>12.742000000000001</v>
      </c>
      <c r="AZ99" s="495">
        <f t="shared" si="128"/>
        <v>4.6044999999999998</v>
      </c>
    </row>
    <row r="100" spans="1:52" ht="14.1" customHeight="1" x14ac:dyDescent="0.2">
      <c r="A100" s="72">
        <v>24</v>
      </c>
      <c r="B100" s="69">
        <v>2412</v>
      </c>
      <c r="C100" s="70">
        <v>600079252</v>
      </c>
      <c r="D100" s="69">
        <v>72742429</v>
      </c>
      <c r="E100" s="71" t="s">
        <v>614</v>
      </c>
      <c r="F100" s="72">
        <v>3111</v>
      </c>
      <c r="G100" s="84" t="s">
        <v>313</v>
      </c>
      <c r="H100" s="73" t="s">
        <v>279</v>
      </c>
      <c r="I100" s="494">
        <v>1066614</v>
      </c>
      <c r="J100" s="489">
        <v>785430</v>
      </c>
      <c r="K100" s="489">
        <v>0</v>
      </c>
      <c r="L100" s="489">
        <v>265475</v>
      </c>
      <c r="M100" s="489">
        <v>15709</v>
      </c>
      <c r="N100" s="489">
        <v>0</v>
      </c>
      <c r="O100" s="490">
        <v>2.2000000000000002</v>
      </c>
      <c r="P100" s="491">
        <v>2.2000000000000002</v>
      </c>
      <c r="Q100" s="500">
        <v>0</v>
      </c>
      <c r="R100" s="502">
        <f t="shared" si="88"/>
        <v>0</v>
      </c>
      <c r="S100" s="492">
        <v>0</v>
      </c>
      <c r="T100" s="492">
        <v>0</v>
      </c>
      <c r="U100" s="492">
        <v>0</v>
      </c>
      <c r="V100" s="492">
        <f>SUM(R100:U100)</f>
        <v>0</v>
      </c>
      <c r="W100" s="492">
        <v>0</v>
      </c>
      <c r="X100" s="492">
        <v>0</v>
      </c>
      <c r="Y100" s="492">
        <v>0</v>
      </c>
      <c r="Z100" s="492">
        <f t="shared" si="91"/>
        <v>0</v>
      </c>
      <c r="AA100" s="492">
        <f t="shared" si="92"/>
        <v>0</v>
      </c>
      <c r="AB100" s="74">
        <f t="shared" si="93"/>
        <v>0</v>
      </c>
      <c r="AC100" s="74">
        <f t="shared" si="94"/>
        <v>0</v>
      </c>
      <c r="AD100" s="492">
        <v>0</v>
      </c>
      <c r="AE100" s="492">
        <v>0</v>
      </c>
      <c r="AF100" s="492">
        <f>SUM(AD100:AE100)</f>
        <v>0</v>
      </c>
      <c r="AG100" s="492">
        <f>AA100+AB100+AC100+AF100</f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89"/>
        <v>0</v>
      </c>
      <c r="AP100" s="493">
        <f t="shared" si="90"/>
        <v>0</v>
      </c>
      <c r="AQ100" s="495">
        <f t="shared" si="95"/>
        <v>0</v>
      </c>
      <c r="AR100" s="501">
        <f>I100+AG100</f>
        <v>1066614</v>
      </c>
      <c r="AS100" s="492">
        <f>J100+V100</f>
        <v>785430</v>
      </c>
      <c r="AT100" s="492">
        <f t="shared" si="126"/>
        <v>0</v>
      </c>
      <c r="AU100" s="492">
        <f t="shared" si="127"/>
        <v>265475</v>
      </c>
      <c r="AV100" s="492">
        <f t="shared" si="127"/>
        <v>15709</v>
      </c>
      <c r="AW100" s="492">
        <f>N100+AF100</f>
        <v>0</v>
      </c>
      <c r="AX100" s="493">
        <f>O100+AQ100</f>
        <v>2.2000000000000002</v>
      </c>
      <c r="AY100" s="493">
        <f t="shared" si="128"/>
        <v>2.2000000000000002</v>
      </c>
      <c r="AZ100" s="495">
        <f t="shared" si="128"/>
        <v>0</v>
      </c>
    </row>
    <row r="101" spans="1:52" ht="14.1" customHeight="1" x14ac:dyDescent="0.2">
      <c r="A101" s="72">
        <v>24</v>
      </c>
      <c r="B101" s="69">
        <v>2412</v>
      </c>
      <c r="C101" s="70">
        <v>600079252</v>
      </c>
      <c r="D101" s="69">
        <v>72742429</v>
      </c>
      <c r="E101" s="71" t="s">
        <v>614</v>
      </c>
      <c r="F101" s="72">
        <v>3141</v>
      </c>
      <c r="G101" s="71" t="s">
        <v>316</v>
      </c>
      <c r="H101" s="73" t="s">
        <v>279</v>
      </c>
      <c r="I101" s="494">
        <v>1630462</v>
      </c>
      <c r="J101" s="489">
        <v>1189788</v>
      </c>
      <c r="K101" s="489">
        <v>5200</v>
      </c>
      <c r="L101" s="489">
        <v>403906</v>
      </c>
      <c r="M101" s="489">
        <v>23796</v>
      </c>
      <c r="N101" s="489">
        <v>7772</v>
      </c>
      <c r="O101" s="490">
        <v>3.76</v>
      </c>
      <c r="P101" s="491">
        <v>0</v>
      </c>
      <c r="Q101" s="500">
        <v>3.76</v>
      </c>
      <c r="R101" s="502">
        <f t="shared" si="88"/>
        <v>0</v>
      </c>
      <c r="S101" s="492">
        <v>0</v>
      </c>
      <c r="T101" s="492">
        <v>0</v>
      </c>
      <c r="U101" s="492">
        <v>0</v>
      </c>
      <c r="V101" s="492">
        <f>SUM(R101:U101)</f>
        <v>0</v>
      </c>
      <c r="W101" s="492">
        <v>0</v>
      </c>
      <c r="X101" s="492">
        <v>0</v>
      </c>
      <c r="Y101" s="492">
        <v>0</v>
      </c>
      <c r="Z101" s="492">
        <f t="shared" si="91"/>
        <v>0</v>
      </c>
      <c r="AA101" s="492">
        <f t="shared" si="92"/>
        <v>0</v>
      </c>
      <c r="AB101" s="74">
        <f t="shared" si="93"/>
        <v>0</v>
      </c>
      <c r="AC101" s="74">
        <f t="shared" si="94"/>
        <v>0</v>
      </c>
      <c r="AD101" s="492">
        <v>0</v>
      </c>
      <c r="AE101" s="492">
        <v>0</v>
      </c>
      <c r="AF101" s="492">
        <f>SUM(AD101:AE101)</f>
        <v>0</v>
      </c>
      <c r="AG101" s="492">
        <f>AA101+AB101+AC101+AF101</f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 t="shared" si="89"/>
        <v>0</v>
      </c>
      <c r="AP101" s="493">
        <f t="shared" si="90"/>
        <v>0</v>
      </c>
      <c r="AQ101" s="495">
        <f t="shared" si="95"/>
        <v>0</v>
      </c>
      <c r="AR101" s="501">
        <f>I101+AG101</f>
        <v>1630462</v>
      </c>
      <c r="AS101" s="492">
        <f>J101+V101</f>
        <v>1189788</v>
      </c>
      <c r="AT101" s="492">
        <f t="shared" si="126"/>
        <v>5200</v>
      </c>
      <c r="AU101" s="492">
        <f t="shared" si="127"/>
        <v>403906</v>
      </c>
      <c r="AV101" s="492">
        <f t="shared" si="127"/>
        <v>23796</v>
      </c>
      <c r="AW101" s="492">
        <f>N101+AF101</f>
        <v>7772</v>
      </c>
      <c r="AX101" s="493">
        <f>O101+AQ101</f>
        <v>3.76</v>
      </c>
      <c r="AY101" s="493">
        <f t="shared" si="128"/>
        <v>0</v>
      </c>
      <c r="AZ101" s="495">
        <f t="shared" si="128"/>
        <v>3.76</v>
      </c>
    </row>
    <row r="102" spans="1:52" ht="13.5" customHeight="1" x14ac:dyDescent="0.2">
      <c r="A102" s="78">
        <v>24</v>
      </c>
      <c r="B102" s="75">
        <v>2412</v>
      </c>
      <c r="C102" s="76">
        <v>600079252</v>
      </c>
      <c r="D102" s="75">
        <v>72742429</v>
      </c>
      <c r="E102" s="77" t="s">
        <v>615</v>
      </c>
      <c r="F102" s="78"/>
      <c r="G102" s="77"/>
      <c r="H102" s="79"/>
      <c r="I102" s="80">
        <v>13338040</v>
      </c>
      <c r="J102" s="81">
        <v>9750874</v>
      </c>
      <c r="K102" s="81">
        <v>20800</v>
      </c>
      <c r="L102" s="81">
        <v>3302826</v>
      </c>
      <c r="M102" s="81">
        <v>195018</v>
      </c>
      <c r="N102" s="81">
        <v>68522</v>
      </c>
      <c r="O102" s="82">
        <v>23.3065</v>
      </c>
      <c r="P102" s="82">
        <v>14.942</v>
      </c>
      <c r="Q102" s="452">
        <v>8.3644999999999996</v>
      </c>
      <c r="R102" s="80">
        <f t="shared" ref="R102:AZ102" si="129">SUM(R99:R101)</f>
        <v>0</v>
      </c>
      <c r="S102" s="81">
        <f t="shared" si="129"/>
        <v>0</v>
      </c>
      <c r="T102" s="81">
        <f t="shared" si="129"/>
        <v>0</v>
      </c>
      <c r="U102" s="81">
        <f t="shared" si="129"/>
        <v>0</v>
      </c>
      <c r="V102" s="81">
        <f t="shared" si="129"/>
        <v>0</v>
      </c>
      <c r="W102" s="81">
        <f t="shared" si="129"/>
        <v>0</v>
      </c>
      <c r="X102" s="81">
        <f t="shared" si="129"/>
        <v>0</v>
      </c>
      <c r="Y102" s="81">
        <f t="shared" si="129"/>
        <v>0</v>
      </c>
      <c r="Z102" s="81">
        <f t="shared" si="129"/>
        <v>0</v>
      </c>
      <c r="AA102" s="81">
        <f t="shared" si="129"/>
        <v>0</v>
      </c>
      <c r="AB102" s="81">
        <f t="shared" si="129"/>
        <v>0</v>
      </c>
      <c r="AC102" s="81">
        <f t="shared" si="129"/>
        <v>0</v>
      </c>
      <c r="AD102" s="81">
        <f t="shared" si="129"/>
        <v>0</v>
      </c>
      <c r="AE102" s="81">
        <f t="shared" si="129"/>
        <v>0</v>
      </c>
      <c r="AF102" s="81">
        <f t="shared" si="129"/>
        <v>0</v>
      </c>
      <c r="AG102" s="81">
        <f t="shared" si="129"/>
        <v>0</v>
      </c>
      <c r="AH102" s="82">
        <f t="shared" si="129"/>
        <v>0</v>
      </c>
      <c r="AI102" s="82">
        <f t="shared" si="129"/>
        <v>0</v>
      </c>
      <c r="AJ102" s="82">
        <f t="shared" si="129"/>
        <v>0</v>
      </c>
      <c r="AK102" s="82">
        <f t="shared" ref="AK102:AL102" si="130">SUM(AK99:AK101)</f>
        <v>0</v>
      </c>
      <c r="AL102" s="82">
        <f t="shared" si="130"/>
        <v>0</v>
      </c>
      <c r="AM102" s="82">
        <f t="shared" si="129"/>
        <v>0</v>
      </c>
      <c r="AN102" s="82">
        <f t="shared" si="129"/>
        <v>0</v>
      </c>
      <c r="AO102" s="82">
        <f t="shared" si="129"/>
        <v>0</v>
      </c>
      <c r="AP102" s="82">
        <f t="shared" si="129"/>
        <v>0</v>
      </c>
      <c r="AQ102" s="83">
        <f t="shared" si="129"/>
        <v>0</v>
      </c>
      <c r="AR102" s="438">
        <f t="shared" si="129"/>
        <v>13338040</v>
      </c>
      <c r="AS102" s="81">
        <f t="shared" si="129"/>
        <v>9750874</v>
      </c>
      <c r="AT102" s="81">
        <f t="shared" si="129"/>
        <v>20800</v>
      </c>
      <c r="AU102" s="81">
        <f t="shared" si="129"/>
        <v>3302826</v>
      </c>
      <c r="AV102" s="81">
        <f t="shared" si="129"/>
        <v>195018</v>
      </c>
      <c r="AW102" s="81">
        <f t="shared" si="129"/>
        <v>68522</v>
      </c>
      <c r="AX102" s="82">
        <f t="shared" si="129"/>
        <v>23.3065</v>
      </c>
      <c r="AY102" s="82">
        <f t="shared" si="129"/>
        <v>14.942</v>
      </c>
      <c r="AZ102" s="83">
        <f t="shared" si="129"/>
        <v>8.3644999999999996</v>
      </c>
    </row>
    <row r="103" spans="1:52" ht="14.1" customHeight="1" x14ac:dyDescent="0.2">
      <c r="A103" s="72">
        <v>25</v>
      </c>
      <c r="B103" s="69">
        <v>2418</v>
      </c>
      <c r="C103" s="70">
        <v>600079261</v>
      </c>
      <c r="D103" s="69">
        <v>72741783</v>
      </c>
      <c r="E103" s="71" t="s">
        <v>616</v>
      </c>
      <c r="F103" s="72">
        <v>3111</v>
      </c>
      <c r="G103" s="71" t="s">
        <v>312</v>
      </c>
      <c r="H103" s="73" t="s">
        <v>278</v>
      </c>
      <c r="I103" s="494">
        <v>3521843</v>
      </c>
      <c r="J103" s="674">
        <v>2578824</v>
      </c>
      <c r="K103" s="674">
        <v>0</v>
      </c>
      <c r="L103" s="489">
        <v>871643</v>
      </c>
      <c r="M103" s="489">
        <v>51576</v>
      </c>
      <c r="N103" s="489">
        <v>19800</v>
      </c>
      <c r="O103" s="490">
        <v>5.4897999999999998</v>
      </c>
      <c r="P103" s="490">
        <v>4</v>
      </c>
      <c r="Q103" s="500">
        <v>1.4898</v>
      </c>
      <c r="R103" s="502">
        <f t="shared" si="88"/>
        <v>0</v>
      </c>
      <c r="S103" s="492">
        <v>0</v>
      </c>
      <c r="T103" s="492">
        <v>0</v>
      </c>
      <c r="U103" s="492">
        <v>0</v>
      </c>
      <c r="V103" s="492">
        <f>SUM(R103:U103)</f>
        <v>0</v>
      </c>
      <c r="W103" s="492">
        <v>0</v>
      </c>
      <c r="X103" s="492">
        <v>0</v>
      </c>
      <c r="Y103" s="492">
        <v>0</v>
      </c>
      <c r="Z103" s="492">
        <f t="shared" si="91"/>
        <v>0</v>
      </c>
      <c r="AA103" s="492">
        <f t="shared" si="92"/>
        <v>0</v>
      </c>
      <c r="AB103" s="74">
        <f t="shared" si="93"/>
        <v>0</v>
      </c>
      <c r="AC103" s="74">
        <f t="shared" si="94"/>
        <v>0</v>
      </c>
      <c r="AD103" s="492">
        <v>0</v>
      </c>
      <c r="AE103" s="492">
        <v>0</v>
      </c>
      <c r="AF103" s="492">
        <f>SUM(AD103:AE103)</f>
        <v>0</v>
      </c>
      <c r="AG103" s="492">
        <f>AA103+AB103+AC103+AF103</f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89"/>
        <v>0</v>
      </c>
      <c r="AP103" s="493">
        <f t="shared" si="90"/>
        <v>0</v>
      </c>
      <c r="AQ103" s="495">
        <f t="shared" si="95"/>
        <v>0</v>
      </c>
      <c r="AR103" s="501">
        <f>I103+AG103</f>
        <v>3521843</v>
      </c>
      <c r="AS103" s="492">
        <f>J103+V103</f>
        <v>2578824</v>
      </c>
      <c r="AT103" s="492">
        <f t="shared" ref="AT103:AT104" si="131">K103+Z103</f>
        <v>0</v>
      </c>
      <c r="AU103" s="492">
        <f>L103+AB103</f>
        <v>871643</v>
      </c>
      <c r="AV103" s="492">
        <f>M103+AC103</f>
        <v>51576</v>
      </c>
      <c r="AW103" s="492">
        <f>N103+AF103</f>
        <v>19800</v>
      </c>
      <c r="AX103" s="493">
        <f>O103+AQ103</f>
        <v>5.4897999999999998</v>
      </c>
      <c r="AY103" s="493">
        <f>P103+AO103</f>
        <v>4</v>
      </c>
      <c r="AZ103" s="495">
        <f>Q103+AP103</f>
        <v>1.4898</v>
      </c>
    </row>
    <row r="104" spans="1:52" ht="14.1" customHeight="1" x14ac:dyDescent="0.2">
      <c r="A104" s="72">
        <v>25</v>
      </c>
      <c r="B104" s="69">
        <v>2418</v>
      </c>
      <c r="C104" s="70">
        <v>600079261</v>
      </c>
      <c r="D104" s="69">
        <v>72741783</v>
      </c>
      <c r="E104" s="71" t="s">
        <v>616</v>
      </c>
      <c r="F104" s="72">
        <v>3141</v>
      </c>
      <c r="G104" s="71" t="s">
        <v>316</v>
      </c>
      <c r="H104" s="73" t="s">
        <v>279</v>
      </c>
      <c r="I104" s="494">
        <v>629784</v>
      </c>
      <c r="J104" s="489">
        <v>461879</v>
      </c>
      <c r="K104" s="489">
        <v>0</v>
      </c>
      <c r="L104" s="489">
        <v>156115</v>
      </c>
      <c r="M104" s="489">
        <v>9238</v>
      </c>
      <c r="N104" s="489">
        <v>2552</v>
      </c>
      <c r="O104" s="490">
        <v>1.45</v>
      </c>
      <c r="P104" s="491">
        <v>0</v>
      </c>
      <c r="Q104" s="500">
        <v>1.45</v>
      </c>
      <c r="R104" s="502">
        <f t="shared" si="88"/>
        <v>0</v>
      </c>
      <c r="S104" s="492">
        <v>0</v>
      </c>
      <c r="T104" s="492">
        <v>0</v>
      </c>
      <c r="U104" s="492">
        <v>0</v>
      </c>
      <c r="V104" s="492">
        <f>SUM(R104:U104)</f>
        <v>0</v>
      </c>
      <c r="W104" s="492">
        <v>0</v>
      </c>
      <c r="X104" s="492">
        <v>0</v>
      </c>
      <c r="Y104" s="492">
        <v>0</v>
      </c>
      <c r="Z104" s="492">
        <f t="shared" si="91"/>
        <v>0</v>
      </c>
      <c r="AA104" s="492">
        <f t="shared" si="92"/>
        <v>0</v>
      </c>
      <c r="AB104" s="74">
        <f t="shared" si="93"/>
        <v>0</v>
      </c>
      <c r="AC104" s="74">
        <f t="shared" si="94"/>
        <v>0</v>
      </c>
      <c r="AD104" s="492">
        <v>0</v>
      </c>
      <c r="AE104" s="492">
        <v>0</v>
      </c>
      <c r="AF104" s="492">
        <f>SUM(AD104:AE104)</f>
        <v>0</v>
      </c>
      <c r="AG104" s="492">
        <f>AA104+AB104+AC104+AF104</f>
        <v>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 t="shared" si="89"/>
        <v>0</v>
      </c>
      <c r="AP104" s="493">
        <f t="shared" si="90"/>
        <v>0</v>
      </c>
      <c r="AQ104" s="495">
        <f t="shared" si="95"/>
        <v>0</v>
      </c>
      <c r="AR104" s="501">
        <f>I104+AG104</f>
        <v>629784</v>
      </c>
      <c r="AS104" s="492">
        <f>J104+V104</f>
        <v>461879</v>
      </c>
      <c r="AT104" s="492">
        <f t="shared" si="131"/>
        <v>0</v>
      </c>
      <c r="AU104" s="492">
        <f>L104+AB104</f>
        <v>156115</v>
      </c>
      <c r="AV104" s="492">
        <f>M104+AC104</f>
        <v>9238</v>
      </c>
      <c r="AW104" s="492">
        <f>N104+AF104</f>
        <v>2552</v>
      </c>
      <c r="AX104" s="493">
        <f>O104+AQ104</f>
        <v>1.45</v>
      </c>
      <c r="AY104" s="493">
        <f>P104+AO104</f>
        <v>0</v>
      </c>
      <c r="AZ104" s="495">
        <f>Q104+AP104</f>
        <v>1.45</v>
      </c>
    </row>
    <row r="105" spans="1:52" ht="13.5" customHeight="1" x14ac:dyDescent="0.2">
      <c r="A105" s="78">
        <v>25</v>
      </c>
      <c r="B105" s="75">
        <v>2418</v>
      </c>
      <c r="C105" s="76">
        <v>600079261</v>
      </c>
      <c r="D105" s="75">
        <v>72741783</v>
      </c>
      <c r="E105" s="77" t="s">
        <v>617</v>
      </c>
      <c r="F105" s="78"/>
      <c r="G105" s="77"/>
      <c r="H105" s="79"/>
      <c r="I105" s="80">
        <v>4151627</v>
      </c>
      <c r="J105" s="81">
        <v>3040703</v>
      </c>
      <c r="K105" s="81">
        <v>0</v>
      </c>
      <c r="L105" s="81">
        <v>1027758</v>
      </c>
      <c r="M105" s="81">
        <v>60814</v>
      </c>
      <c r="N105" s="81">
        <v>22352</v>
      </c>
      <c r="O105" s="82">
        <v>6.9398</v>
      </c>
      <c r="P105" s="82">
        <v>4</v>
      </c>
      <c r="Q105" s="452">
        <v>2.9398</v>
      </c>
      <c r="R105" s="80">
        <f t="shared" ref="R105:AZ105" si="132">SUM(R103:R104)</f>
        <v>0</v>
      </c>
      <c r="S105" s="81">
        <f t="shared" si="132"/>
        <v>0</v>
      </c>
      <c r="T105" s="81">
        <f t="shared" si="132"/>
        <v>0</v>
      </c>
      <c r="U105" s="81">
        <f t="shared" si="132"/>
        <v>0</v>
      </c>
      <c r="V105" s="81">
        <f t="shared" si="132"/>
        <v>0</v>
      </c>
      <c r="W105" s="81">
        <f t="shared" si="132"/>
        <v>0</v>
      </c>
      <c r="X105" s="81">
        <f t="shared" si="132"/>
        <v>0</v>
      </c>
      <c r="Y105" s="81">
        <f t="shared" si="132"/>
        <v>0</v>
      </c>
      <c r="Z105" s="81">
        <f t="shared" si="132"/>
        <v>0</v>
      </c>
      <c r="AA105" s="81">
        <f t="shared" si="132"/>
        <v>0</v>
      </c>
      <c r="AB105" s="81">
        <f t="shared" si="132"/>
        <v>0</v>
      </c>
      <c r="AC105" s="81">
        <f t="shared" si="132"/>
        <v>0</v>
      </c>
      <c r="AD105" s="81">
        <f t="shared" si="132"/>
        <v>0</v>
      </c>
      <c r="AE105" s="81">
        <f t="shared" si="132"/>
        <v>0</v>
      </c>
      <c r="AF105" s="81">
        <f t="shared" si="132"/>
        <v>0</v>
      </c>
      <c r="AG105" s="81">
        <f t="shared" si="132"/>
        <v>0</v>
      </c>
      <c r="AH105" s="82">
        <f t="shared" si="132"/>
        <v>0</v>
      </c>
      <c r="AI105" s="82">
        <f t="shared" si="132"/>
        <v>0</v>
      </c>
      <c r="AJ105" s="82">
        <f t="shared" si="132"/>
        <v>0</v>
      </c>
      <c r="AK105" s="82">
        <f t="shared" ref="AK105:AL105" si="133">SUM(AK103:AK104)</f>
        <v>0</v>
      </c>
      <c r="AL105" s="82">
        <f t="shared" si="133"/>
        <v>0</v>
      </c>
      <c r="AM105" s="82">
        <f t="shared" si="132"/>
        <v>0</v>
      </c>
      <c r="AN105" s="82">
        <f t="shared" si="132"/>
        <v>0</v>
      </c>
      <c r="AO105" s="82">
        <f t="shared" si="132"/>
        <v>0</v>
      </c>
      <c r="AP105" s="82">
        <f t="shared" si="132"/>
        <v>0</v>
      </c>
      <c r="AQ105" s="83">
        <f t="shared" si="132"/>
        <v>0</v>
      </c>
      <c r="AR105" s="438">
        <f t="shared" si="132"/>
        <v>4151627</v>
      </c>
      <c r="AS105" s="81">
        <f t="shared" si="132"/>
        <v>3040703</v>
      </c>
      <c r="AT105" s="81">
        <f t="shared" si="132"/>
        <v>0</v>
      </c>
      <c r="AU105" s="81">
        <f t="shared" si="132"/>
        <v>1027758</v>
      </c>
      <c r="AV105" s="81">
        <f t="shared" si="132"/>
        <v>60814</v>
      </c>
      <c r="AW105" s="81">
        <f t="shared" si="132"/>
        <v>22352</v>
      </c>
      <c r="AX105" s="82">
        <f t="shared" si="132"/>
        <v>6.9398</v>
      </c>
      <c r="AY105" s="82">
        <f t="shared" si="132"/>
        <v>4</v>
      </c>
      <c r="AZ105" s="83">
        <f t="shared" si="132"/>
        <v>2.9398</v>
      </c>
    </row>
    <row r="106" spans="1:52" ht="14.1" customHeight="1" x14ac:dyDescent="0.2">
      <c r="A106" s="72">
        <v>26</v>
      </c>
      <c r="B106" s="69">
        <v>2414</v>
      </c>
      <c r="C106" s="70">
        <v>600079295</v>
      </c>
      <c r="D106" s="69">
        <v>72742020</v>
      </c>
      <c r="E106" s="71" t="s">
        <v>618</v>
      </c>
      <c r="F106" s="72">
        <v>3111</v>
      </c>
      <c r="G106" s="71" t="s">
        <v>312</v>
      </c>
      <c r="H106" s="73" t="s">
        <v>278</v>
      </c>
      <c r="I106" s="494">
        <v>4884577</v>
      </c>
      <c r="J106" s="674">
        <v>3569323</v>
      </c>
      <c r="K106" s="674">
        <v>7800</v>
      </c>
      <c r="L106" s="489">
        <v>1209068</v>
      </c>
      <c r="M106" s="489">
        <v>71386</v>
      </c>
      <c r="N106" s="489">
        <v>27000</v>
      </c>
      <c r="O106" s="490">
        <v>8.2061000000000011</v>
      </c>
      <c r="P106" s="490">
        <v>6.2219000000000007</v>
      </c>
      <c r="Q106" s="500">
        <v>1.9842</v>
      </c>
      <c r="R106" s="502">
        <f t="shared" si="88"/>
        <v>0</v>
      </c>
      <c r="S106" s="492">
        <v>0</v>
      </c>
      <c r="T106" s="492">
        <v>0</v>
      </c>
      <c r="U106" s="492">
        <v>0</v>
      </c>
      <c r="V106" s="492">
        <f>SUM(R106:U106)</f>
        <v>0</v>
      </c>
      <c r="W106" s="492">
        <v>0</v>
      </c>
      <c r="X106" s="492">
        <v>0</v>
      </c>
      <c r="Y106" s="492">
        <v>0</v>
      </c>
      <c r="Z106" s="492">
        <f t="shared" si="91"/>
        <v>0</v>
      </c>
      <c r="AA106" s="492">
        <f t="shared" si="92"/>
        <v>0</v>
      </c>
      <c r="AB106" s="74">
        <f t="shared" si="93"/>
        <v>0</v>
      </c>
      <c r="AC106" s="74">
        <f t="shared" si="94"/>
        <v>0</v>
      </c>
      <c r="AD106" s="492">
        <v>0</v>
      </c>
      <c r="AE106" s="492">
        <v>0</v>
      </c>
      <c r="AF106" s="492">
        <f>SUM(AD106:AE106)</f>
        <v>0</v>
      </c>
      <c r="AG106" s="492">
        <f>AA106+AB106+AC106+AF106</f>
        <v>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89"/>
        <v>0</v>
      </c>
      <c r="AP106" s="493">
        <f t="shared" si="90"/>
        <v>0</v>
      </c>
      <c r="AQ106" s="495">
        <f t="shared" si="95"/>
        <v>0</v>
      </c>
      <c r="AR106" s="501">
        <f>I106+AG106</f>
        <v>4884577</v>
      </c>
      <c r="AS106" s="492">
        <f>J106+V106</f>
        <v>3569323</v>
      </c>
      <c r="AT106" s="492">
        <f t="shared" ref="AT106:AT108" si="134">K106+Z106</f>
        <v>7800</v>
      </c>
      <c r="AU106" s="492">
        <f t="shared" ref="AU106:AV108" si="135">L106+AB106</f>
        <v>1209068</v>
      </c>
      <c r="AV106" s="492">
        <f t="shared" si="135"/>
        <v>71386</v>
      </c>
      <c r="AW106" s="492">
        <f>N106+AF106</f>
        <v>27000</v>
      </c>
      <c r="AX106" s="493">
        <f>O106+AQ106</f>
        <v>8.2061000000000011</v>
      </c>
      <c r="AY106" s="493">
        <f t="shared" ref="AY106:AZ108" si="136">P106+AO106</f>
        <v>6.2219000000000007</v>
      </c>
      <c r="AZ106" s="495">
        <f t="shared" si="136"/>
        <v>1.9842</v>
      </c>
    </row>
    <row r="107" spans="1:52" ht="14.1" customHeight="1" x14ac:dyDescent="0.2">
      <c r="A107" s="72">
        <v>26</v>
      </c>
      <c r="B107" s="69">
        <v>2414</v>
      </c>
      <c r="C107" s="70">
        <v>600079295</v>
      </c>
      <c r="D107" s="69">
        <v>72742020</v>
      </c>
      <c r="E107" s="71" t="s">
        <v>618</v>
      </c>
      <c r="F107" s="72">
        <v>3111</v>
      </c>
      <c r="G107" s="84" t="s">
        <v>313</v>
      </c>
      <c r="H107" s="73" t="s">
        <v>279</v>
      </c>
      <c r="I107" s="494">
        <v>0</v>
      </c>
      <c r="J107" s="489">
        <v>0</v>
      </c>
      <c r="K107" s="489">
        <v>0</v>
      </c>
      <c r="L107" s="489">
        <v>0</v>
      </c>
      <c r="M107" s="489">
        <v>0</v>
      </c>
      <c r="N107" s="489">
        <v>0</v>
      </c>
      <c r="O107" s="490">
        <v>0</v>
      </c>
      <c r="P107" s="491">
        <v>0</v>
      </c>
      <c r="Q107" s="500">
        <v>0</v>
      </c>
      <c r="R107" s="502">
        <f t="shared" si="88"/>
        <v>0</v>
      </c>
      <c r="S107" s="492">
        <v>0</v>
      </c>
      <c r="T107" s="492">
        <v>0</v>
      </c>
      <c r="U107" s="492">
        <v>0</v>
      </c>
      <c r="V107" s="492">
        <f>SUM(R107:U107)</f>
        <v>0</v>
      </c>
      <c r="W107" s="492">
        <v>0</v>
      </c>
      <c r="X107" s="492">
        <v>0</v>
      </c>
      <c r="Y107" s="492">
        <v>0</v>
      </c>
      <c r="Z107" s="492">
        <f t="shared" si="91"/>
        <v>0</v>
      </c>
      <c r="AA107" s="492">
        <f t="shared" si="92"/>
        <v>0</v>
      </c>
      <c r="AB107" s="74">
        <f t="shared" si="93"/>
        <v>0</v>
      </c>
      <c r="AC107" s="74">
        <f t="shared" si="94"/>
        <v>0</v>
      </c>
      <c r="AD107" s="492">
        <v>0</v>
      </c>
      <c r="AE107" s="492">
        <v>0</v>
      </c>
      <c r="AF107" s="492">
        <f>SUM(AD107:AE107)</f>
        <v>0</v>
      </c>
      <c r="AG107" s="492">
        <f>AA107+AB107+AC107+AF107</f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 t="shared" si="89"/>
        <v>0</v>
      </c>
      <c r="AP107" s="493">
        <f t="shared" si="90"/>
        <v>0</v>
      </c>
      <c r="AQ107" s="495">
        <f t="shared" si="95"/>
        <v>0</v>
      </c>
      <c r="AR107" s="501">
        <f>I107+AG107</f>
        <v>0</v>
      </c>
      <c r="AS107" s="492">
        <f>J107+V107</f>
        <v>0</v>
      </c>
      <c r="AT107" s="492">
        <f t="shared" si="134"/>
        <v>0</v>
      </c>
      <c r="AU107" s="492">
        <f t="shared" si="135"/>
        <v>0</v>
      </c>
      <c r="AV107" s="492">
        <f t="shared" si="135"/>
        <v>0</v>
      </c>
      <c r="AW107" s="492">
        <f>N107+AF107</f>
        <v>0</v>
      </c>
      <c r="AX107" s="493">
        <f>O107+AQ107</f>
        <v>0</v>
      </c>
      <c r="AY107" s="493">
        <f t="shared" si="136"/>
        <v>0</v>
      </c>
      <c r="AZ107" s="495">
        <f t="shared" si="136"/>
        <v>0</v>
      </c>
    </row>
    <row r="108" spans="1:52" ht="14.1" customHeight="1" x14ac:dyDescent="0.2">
      <c r="A108" s="72">
        <v>26</v>
      </c>
      <c r="B108" s="69">
        <v>2414</v>
      </c>
      <c r="C108" s="70">
        <v>600079295</v>
      </c>
      <c r="D108" s="69">
        <v>72742020</v>
      </c>
      <c r="E108" s="71" t="s">
        <v>618</v>
      </c>
      <c r="F108" s="72">
        <v>3141</v>
      </c>
      <c r="G108" s="71" t="s">
        <v>316</v>
      </c>
      <c r="H108" s="73" t="s">
        <v>279</v>
      </c>
      <c r="I108" s="494">
        <v>778244</v>
      </c>
      <c r="J108" s="489">
        <v>570519</v>
      </c>
      <c r="K108" s="489">
        <v>0</v>
      </c>
      <c r="L108" s="489">
        <v>192835</v>
      </c>
      <c r="M108" s="489">
        <v>11410</v>
      </c>
      <c r="N108" s="489">
        <v>3480</v>
      </c>
      <c r="O108" s="490">
        <v>1.8</v>
      </c>
      <c r="P108" s="491">
        <v>0</v>
      </c>
      <c r="Q108" s="500">
        <v>1.8</v>
      </c>
      <c r="R108" s="502">
        <f t="shared" si="88"/>
        <v>0</v>
      </c>
      <c r="S108" s="492">
        <v>0</v>
      </c>
      <c r="T108" s="492">
        <v>0</v>
      </c>
      <c r="U108" s="492">
        <v>0</v>
      </c>
      <c r="V108" s="492">
        <f>SUM(R108:U108)</f>
        <v>0</v>
      </c>
      <c r="W108" s="492">
        <v>0</v>
      </c>
      <c r="X108" s="492">
        <v>0</v>
      </c>
      <c r="Y108" s="492">
        <v>0</v>
      </c>
      <c r="Z108" s="492">
        <f t="shared" si="91"/>
        <v>0</v>
      </c>
      <c r="AA108" s="492">
        <f t="shared" si="92"/>
        <v>0</v>
      </c>
      <c r="AB108" s="74">
        <f t="shared" si="93"/>
        <v>0</v>
      </c>
      <c r="AC108" s="74">
        <f t="shared" si="94"/>
        <v>0</v>
      </c>
      <c r="AD108" s="492">
        <v>0</v>
      </c>
      <c r="AE108" s="492">
        <v>0</v>
      </c>
      <c r="AF108" s="492">
        <f>SUM(AD108:AE108)</f>
        <v>0</v>
      </c>
      <c r="AG108" s="492">
        <f>AA108+AB108+AC108+AF108</f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si="89"/>
        <v>0</v>
      </c>
      <c r="AP108" s="493">
        <f t="shared" si="90"/>
        <v>0</v>
      </c>
      <c r="AQ108" s="495">
        <f t="shared" si="95"/>
        <v>0</v>
      </c>
      <c r="AR108" s="501">
        <f>I108+AG108</f>
        <v>778244</v>
      </c>
      <c r="AS108" s="492">
        <f>J108+V108</f>
        <v>570519</v>
      </c>
      <c r="AT108" s="492">
        <f t="shared" si="134"/>
        <v>0</v>
      </c>
      <c r="AU108" s="492">
        <f t="shared" si="135"/>
        <v>192835</v>
      </c>
      <c r="AV108" s="492">
        <f t="shared" si="135"/>
        <v>11410</v>
      </c>
      <c r="AW108" s="492">
        <f>N108+AF108</f>
        <v>3480</v>
      </c>
      <c r="AX108" s="493">
        <f>O108+AQ108</f>
        <v>1.8</v>
      </c>
      <c r="AY108" s="493">
        <f t="shared" si="136"/>
        <v>0</v>
      </c>
      <c r="AZ108" s="495">
        <f t="shared" si="136"/>
        <v>1.8</v>
      </c>
    </row>
    <row r="109" spans="1:52" ht="14.1" customHeight="1" x14ac:dyDescent="0.2">
      <c r="A109" s="78">
        <v>26</v>
      </c>
      <c r="B109" s="75">
        <v>2414</v>
      </c>
      <c r="C109" s="76">
        <v>600079295</v>
      </c>
      <c r="D109" s="75">
        <v>72742020</v>
      </c>
      <c r="E109" s="77" t="s">
        <v>619</v>
      </c>
      <c r="F109" s="78"/>
      <c r="G109" s="77"/>
      <c r="H109" s="79"/>
      <c r="I109" s="80">
        <v>5662821</v>
      </c>
      <c r="J109" s="81">
        <v>4139842</v>
      </c>
      <c r="K109" s="81">
        <v>7800</v>
      </c>
      <c r="L109" s="81">
        <v>1401903</v>
      </c>
      <c r="M109" s="81">
        <v>82796</v>
      </c>
      <c r="N109" s="81">
        <v>30480</v>
      </c>
      <c r="O109" s="82">
        <v>10.006100000000002</v>
      </c>
      <c r="P109" s="82">
        <v>6.2219000000000007</v>
      </c>
      <c r="Q109" s="452">
        <v>3.7842000000000002</v>
      </c>
      <c r="R109" s="80">
        <f t="shared" ref="R109:AZ109" si="137">SUM(R106:R108)</f>
        <v>0</v>
      </c>
      <c r="S109" s="81">
        <f t="shared" si="137"/>
        <v>0</v>
      </c>
      <c r="T109" s="81">
        <f t="shared" si="137"/>
        <v>0</v>
      </c>
      <c r="U109" s="81">
        <f t="shared" si="137"/>
        <v>0</v>
      </c>
      <c r="V109" s="81">
        <f t="shared" si="137"/>
        <v>0</v>
      </c>
      <c r="W109" s="81">
        <f t="shared" si="137"/>
        <v>0</v>
      </c>
      <c r="X109" s="81">
        <f t="shared" si="137"/>
        <v>0</v>
      </c>
      <c r="Y109" s="81">
        <f t="shared" si="137"/>
        <v>0</v>
      </c>
      <c r="Z109" s="81">
        <f t="shared" si="137"/>
        <v>0</v>
      </c>
      <c r="AA109" s="81">
        <f t="shared" si="137"/>
        <v>0</v>
      </c>
      <c r="AB109" s="81">
        <f t="shared" si="137"/>
        <v>0</v>
      </c>
      <c r="AC109" s="81">
        <f t="shared" si="137"/>
        <v>0</v>
      </c>
      <c r="AD109" s="81">
        <f t="shared" si="137"/>
        <v>0</v>
      </c>
      <c r="AE109" s="81">
        <f t="shared" si="137"/>
        <v>0</v>
      </c>
      <c r="AF109" s="81">
        <f t="shared" si="137"/>
        <v>0</v>
      </c>
      <c r="AG109" s="81">
        <f t="shared" si="137"/>
        <v>0</v>
      </c>
      <c r="AH109" s="82">
        <f t="shared" si="137"/>
        <v>0</v>
      </c>
      <c r="AI109" s="82">
        <f t="shared" si="137"/>
        <v>0</v>
      </c>
      <c r="AJ109" s="82">
        <f t="shared" si="137"/>
        <v>0</v>
      </c>
      <c r="AK109" s="82">
        <f t="shared" ref="AK109:AL109" si="138">SUM(AK106:AK108)</f>
        <v>0</v>
      </c>
      <c r="AL109" s="82">
        <f t="shared" si="138"/>
        <v>0</v>
      </c>
      <c r="AM109" s="82">
        <f t="shared" si="137"/>
        <v>0</v>
      </c>
      <c r="AN109" s="82">
        <f t="shared" si="137"/>
        <v>0</v>
      </c>
      <c r="AO109" s="82">
        <f t="shared" si="137"/>
        <v>0</v>
      </c>
      <c r="AP109" s="82">
        <f t="shared" si="137"/>
        <v>0</v>
      </c>
      <c r="AQ109" s="83">
        <f t="shared" si="137"/>
        <v>0</v>
      </c>
      <c r="AR109" s="438">
        <f t="shared" si="137"/>
        <v>5662821</v>
      </c>
      <c r="AS109" s="81">
        <f t="shared" si="137"/>
        <v>4139842</v>
      </c>
      <c r="AT109" s="81">
        <f t="shared" si="137"/>
        <v>7800</v>
      </c>
      <c r="AU109" s="81">
        <f t="shared" si="137"/>
        <v>1401903</v>
      </c>
      <c r="AV109" s="81">
        <f t="shared" si="137"/>
        <v>82796</v>
      </c>
      <c r="AW109" s="81">
        <f t="shared" si="137"/>
        <v>30480</v>
      </c>
      <c r="AX109" s="82">
        <f t="shared" si="137"/>
        <v>10.006100000000002</v>
      </c>
      <c r="AY109" s="82">
        <f t="shared" si="137"/>
        <v>6.2219000000000007</v>
      </c>
      <c r="AZ109" s="83">
        <f t="shared" si="137"/>
        <v>3.7842000000000002</v>
      </c>
    </row>
    <row r="110" spans="1:52" ht="14.1" customHeight="1" x14ac:dyDescent="0.2">
      <c r="A110" s="72">
        <v>27</v>
      </c>
      <c r="B110" s="69">
        <v>2443</v>
      </c>
      <c r="C110" s="70">
        <v>600079309</v>
      </c>
      <c r="D110" s="69">
        <v>72743051</v>
      </c>
      <c r="E110" s="71" t="s">
        <v>620</v>
      </c>
      <c r="F110" s="72">
        <v>3111</v>
      </c>
      <c r="G110" s="71" t="s">
        <v>312</v>
      </c>
      <c r="H110" s="73" t="s">
        <v>278</v>
      </c>
      <c r="I110" s="494">
        <v>4749412</v>
      </c>
      <c r="J110" s="674">
        <v>3477475</v>
      </c>
      <c r="K110" s="674">
        <v>0</v>
      </c>
      <c r="L110" s="489">
        <v>1175387</v>
      </c>
      <c r="M110" s="489">
        <v>69550</v>
      </c>
      <c r="N110" s="489">
        <v>27000</v>
      </c>
      <c r="O110" s="490">
        <v>7.9841999999999995</v>
      </c>
      <c r="P110" s="490">
        <v>6</v>
      </c>
      <c r="Q110" s="500">
        <v>1.9842</v>
      </c>
      <c r="R110" s="502">
        <f t="shared" si="88"/>
        <v>0</v>
      </c>
      <c r="S110" s="492">
        <v>0</v>
      </c>
      <c r="T110" s="492">
        <v>0</v>
      </c>
      <c r="U110" s="492">
        <v>0</v>
      </c>
      <c r="V110" s="492">
        <f>SUM(R110:U110)</f>
        <v>0</v>
      </c>
      <c r="W110" s="492">
        <v>0</v>
      </c>
      <c r="X110" s="492">
        <v>0</v>
      </c>
      <c r="Y110" s="492">
        <v>0</v>
      </c>
      <c r="Z110" s="492">
        <f t="shared" si="91"/>
        <v>0</v>
      </c>
      <c r="AA110" s="492">
        <f t="shared" si="92"/>
        <v>0</v>
      </c>
      <c r="AB110" s="74">
        <f t="shared" si="93"/>
        <v>0</v>
      </c>
      <c r="AC110" s="74">
        <f t="shared" si="94"/>
        <v>0</v>
      </c>
      <c r="AD110" s="492">
        <v>0</v>
      </c>
      <c r="AE110" s="492">
        <v>0</v>
      </c>
      <c r="AF110" s="492">
        <f>SUM(AD110:AE110)</f>
        <v>0</v>
      </c>
      <c r="AG110" s="492">
        <f>AA110+AB110+AC110+AF110</f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89"/>
        <v>0</v>
      </c>
      <c r="AP110" s="493">
        <f t="shared" si="90"/>
        <v>0</v>
      </c>
      <c r="AQ110" s="495">
        <f t="shared" si="95"/>
        <v>0</v>
      </c>
      <c r="AR110" s="501">
        <f>I110+AG110</f>
        <v>4749412</v>
      </c>
      <c r="AS110" s="492">
        <f>J110+V110</f>
        <v>3477475</v>
      </c>
      <c r="AT110" s="492">
        <f t="shared" ref="AT110:AT112" si="139">K110+Z110</f>
        <v>0</v>
      </c>
      <c r="AU110" s="492">
        <f t="shared" ref="AU110:AV112" si="140">L110+AB110</f>
        <v>1175387</v>
      </c>
      <c r="AV110" s="492">
        <f t="shared" si="140"/>
        <v>69550</v>
      </c>
      <c r="AW110" s="492">
        <f>N110+AF110</f>
        <v>27000</v>
      </c>
      <c r="AX110" s="493">
        <f>O110+AQ110</f>
        <v>7.9841999999999995</v>
      </c>
      <c r="AY110" s="493">
        <f t="shared" ref="AY110:AZ112" si="141">P110+AO110</f>
        <v>6</v>
      </c>
      <c r="AZ110" s="495">
        <f t="shared" si="141"/>
        <v>1.9842</v>
      </c>
    </row>
    <row r="111" spans="1:52" ht="14.1" customHeight="1" x14ac:dyDescent="0.2">
      <c r="A111" s="72">
        <v>27</v>
      </c>
      <c r="B111" s="69">
        <v>2443</v>
      </c>
      <c r="C111" s="70">
        <v>600079309</v>
      </c>
      <c r="D111" s="69">
        <v>72743051</v>
      </c>
      <c r="E111" s="71" t="s">
        <v>620</v>
      </c>
      <c r="F111" s="72">
        <v>3111</v>
      </c>
      <c r="G111" s="84" t="s">
        <v>313</v>
      </c>
      <c r="H111" s="73" t="s">
        <v>279</v>
      </c>
      <c r="I111" s="494">
        <v>0</v>
      </c>
      <c r="J111" s="489">
        <v>0</v>
      </c>
      <c r="K111" s="489">
        <v>0</v>
      </c>
      <c r="L111" s="489">
        <v>0</v>
      </c>
      <c r="M111" s="489">
        <v>0</v>
      </c>
      <c r="N111" s="489">
        <v>0</v>
      </c>
      <c r="O111" s="490">
        <v>0</v>
      </c>
      <c r="P111" s="491">
        <v>0</v>
      </c>
      <c r="Q111" s="500">
        <v>0</v>
      </c>
      <c r="R111" s="502">
        <f t="shared" si="88"/>
        <v>0</v>
      </c>
      <c r="S111" s="492">
        <v>0</v>
      </c>
      <c r="T111" s="492">
        <v>0</v>
      </c>
      <c r="U111" s="492">
        <v>0</v>
      </c>
      <c r="V111" s="492">
        <f>SUM(R111:U111)</f>
        <v>0</v>
      </c>
      <c r="W111" s="492">
        <v>0</v>
      </c>
      <c r="X111" s="492">
        <v>0</v>
      </c>
      <c r="Y111" s="492">
        <v>0</v>
      </c>
      <c r="Z111" s="492">
        <f t="shared" si="91"/>
        <v>0</v>
      </c>
      <c r="AA111" s="492">
        <f t="shared" si="92"/>
        <v>0</v>
      </c>
      <c r="AB111" s="74">
        <f t="shared" si="93"/>
        <v>0</v>
      </c>
      <c r="AC111" s="74">
        <f t="shared" si="94"/>
        <v>0</v>
      </c>
      <c r="AD111" s="492">
        <v>0</v>
      </c>
      <c r="AE111" s="492">
        <v>0</v>
      </c>
      <c r="AF111" s="492">
        <f>SUM(AD111:AE111)</f>
        <v>0</v>
      </c>
      <c r="AG111" s="492">
        <f>AA111+AB111+AC111+AF111</f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si="89"/>
        <v>0</v>
      </c>
      <c r="AP111" s="493">
        <f t="shared" si="90"/>
        <v>0</v>
      </c>
      <c r="AQ111" s="495">
        <f t="shared" si="95"/>
        <v>0</v>
      </c>
      <c r="AR111" s="501">
        <f>I111+AG111</f>
        <v>0</v>
      </c>
      <c r="AS111" s="492">
        <f>J111+V111</f>
        <v>0</v>
      </c>
      <c r="AT111" s="492">
        <f t="shared" si="139"/>
        <v>0</v>
      </c>
      <c r="AU111" s="492">
        <f t="shared" si="140"/>
        <v>0</v>
      </c>
      <c r="AV111" s="492">
        <f t="shared" si="140"/>
        <v>0</v>
      </c>
      <c r="AW111" s="492">
        <f>N111+AF111</f>
        <v>0</v>
      </c>
      <c r="AX111" s="493">
        <f>O111+AQ111</f>
        <v>0</v>
      </c>
      <c r="AY111" s="493">
        <f t="shared" si="141"/>
        <v>0</v>
      </c>
      <c r="AZ111" s="495">
        <f t="shared" si="141"/>
        <v>0</v>
      </c>
    </row>
    <row r="112" spans="1:52" ht="14.1" customHeight="1" x14ac:dyDescent="0.2">
      <c r="A112" s="72">
        <v>27</v>
      </c>
      <c r="B112" s="69">
        <v>2443</v>
      </c>
      <c r="C112" s="70">
        <v>600079309</v>
      </c>
      <c r="D112" s="69">
        <v>72743051</v>
      </c>
      <c r="E112" s="71" t="s">
        <v>620</v>
      </c>
      <c r="F112" s="72">
        <v>3141</v>
      </c>
      <c r="G112" s="71" t="s">
        <v>316</v>
      </c>
      <c r="H112" s="73" t="s">
        <v>279</v>
      </c>
      <c r="I112" s="494">
        <v>778244</v>
      </c>
      <c r="J112" s="489">
        <v>570519</v>
      </c>
      <c r="K112" s="489">
        <v>0</v>
      </c>
      <c r="L112" s="489">
        <v>192835</v>
      </c>
      <c r="M112" s="489">
        <v>11410</v>
      </c>
      <c r="N112" s="489">
        <v>3480</v>
      </c>
      <c r="O112" s="490">
        <v>1.8</v>
      </c>
      <c r="P112" s="491">
        <v>0</v>
      </c>
      <c r="Q112" s="500">
        <v>1.8</v>
      </c>
      <c r="R112" s="502">
        <f t="shared" si="88"/>
        <v>0</v>
      </c>
      <c r="S112" s="492">
        <v>0</v>
      </c>
      <c r="T112" s="492">
        <v>0</v>
      </c>
      <c r="U112" s="492">
        <v>0</v>
      </c>
      <c r="V112" s="492">
        <f>SUM(R112:U112)</f>
        <v>0</v>
      </c>
      <c r="W112" s="492">
        <v>0</v>
      </c>
      <c r="X112" s="492">
        <v>0</v>
      </c>
      <c r="Y112" s="492">
        <v>0</v>
      </c>
      <c r="Z112" s="492">
        <f t="shared" si="91"/>
        <v>0</v>
      </c>
      <c r="AA112" s="492">
        <f t="shared" si="92"/>
        <v>0</v>
      </c>
      <c r="AB112" s="74">
        <f t="shared" si="93"/>
        <v>0</v>
      </c>
      <c r="AC112" s="74">
        <f t="shared" si="94"/>
        <v>0</v>
      </c>
      <c r="AD112" s="492">
        <v>0</v>
      </c>
      <c r="AE112" s="492">
        <v>0</v>
      </c>
      <c r="AF112" s="492">
        <f>SUM(AD112:AE112)</f>
        <v>0</v>
      </c>
      <c r="AG112" s="492">
        <f>AA112+AB112+AC112+AF112</f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89"/>
        <v>0</v>
      </c>
      <c r="AP112" s="493">
        <f t="shared" si="90"/>
        <v>0</v>
      </c>
      <c r="AQ112" s="495">
        <f t="shared" si="95"/>
        <v>0</v>
      </c>
      <c r="AR112" s="501">
        <f>I112+AG112</f>
        <v>778244</v>
      </c>
      <c r="AS112" s="492">
        <f>J112+V112</f>
        <v>570519</v>
      </c>
      <c r="AT112" s="492">
        <f t="shared" si="139"/>
        <v>0</v>
      </c>
      <c r="AU112" s="492">
        <f t="shared" si="140"/>
        <v>192835</v>
      </c>
      <c r="AV112" s="492">
        <f t="shared" si="140"/>
        <v>11410</v>
      </c>
      <c r="AW112" s="492">
        <f>N112+AF112</f>
        <v>3480</v>
      </c>
      <c r="AX112" s="493">
        <f>O112+AQ112</f>
        <v>1.8</v>
      </c>
      <c r="AY112" s="493">
        <f t="shared" si="141"/>
        <v>0</v>
      </c>
      <c r="AZ112" s="495">
        <f t="shared" si="141"/>
        <v>1.8</v>
      </c>
    </row>
    <row r="113" spans="1:52" ht="14.1" customHeight="1" x14ac:dyDescent="0.2">
      <c r="A113" s="78">
        <v>27</v>
      </c>
      <c r="B113" s="75">
        <v>2443</v>
      </c>
      <c r="C113" s="76">
        <v>600079309</v>
      </c>
      <c r="D113" s="75">
        <v>72743051</v>
      </c>
      <c r="E113" s="77" t="s">
        <v>621</v>
      </c>
      <c r="F113" s="78"/>
      <c r="G113" s="77"/>
      <c r="H113" s="79"/>
      <c r="I113" s="80">
        <v>5527656</v>
      </c>
      <c r="J113" s="81">
        <v>4047994</v>
      </c>
      <c r="K113" s="81">
        <v>0</v>
      </c>
      <c r="L113" s="81">
        <v>1368222</v>
      </c>
      <c r="M113" s="81">
        <v>80960</v>
      </c>
      <c r="N113" s="81">
        <v>30480</v>
      </c>
      <c r="O113" s="82">
        <v>9.7842000000000002</v>
      </c>
      <c r="P113" s="82">
        <v>6</v>
      </c>
      <c r="Q113" s="452">
        <v>3.7842000000000002</v>
      </c>
      <c r="R113" s="80">
        <f t="shared" ref="R113:AZ113" si="142">SUM(R110:R112)</f>
        <v>0</v>
      </c>
      <c r="S113" s="81">
        <f t="shared" si="142"/>
        <v>0</v>
      </c>
      <c r="T113" s="81">
        <f t="shared" si="142"/>
        <v>0</v>
      </c>
      <c r="U113" s="81">
        <f t="shared" si="142"/>
        <v>0</v>
      </c>
      <c r="V113" s="81">
        <f t="shared" si="142"/>
        <v>0</v>
      </c>
      <c r="W113" s="81">
        <f t="shared" si="142"/>
        <v>0</v>
      </c>
      <c r="X113" s="81">
        <f t="shared" si="142"/>
        <v>0</v>
      </c>
      <c r="Y113" s="81">
        <f t="shared" si="142"/>
        <v>0</v>
      </c>
      <c r="Z113" s="81">
        <f t="shared" si="142"/>
        <v>0</v>
      </c>
      <c r="AA113" s="81">
        <f t="shared" si="142"/>
        <v>0</v>
      </c>
      <c r="AB113" s="81">
        <f t="shared" si="142"/>
        <v>0</v>
      </c>
      <c r="AC113" s="81">
        <f t="shared" si="142"/>
        <v>0</v>
      </c>
      <c r="AD113" s="81">
        <f t="shared" si="142"/>
        <v>0</v>
      </c>
      <c r="AE113" s="81">
        <f t="shared" si="142"/>
        <v>0</v>
      </c>
      <c r="AF113" s="81">
        <f t="shared" si="142"/>
        <v>0</v>
      </c>
      <c r="AG113" s="81">
        <f t="shared" si="142"/>
        <v>0</v>
      </c>
      <c r="AH113" s="82">
        <f t="shared" si="142"/>
        <v>0</v>
      </c>
      <c r="AI113" s="82">
        <f t="shared" si="142"/>
        <v>0</v>
      </c>
      <c r="AJ113" s="82">
        <f t="shared" si="142"/>
        <v>0</v>
      </c>
      <c r="AK113" s="82">
        <f t="shared" ref="AK113:AL113" si="143">SUM(AK110:AK112)</f>
        <v>0</v>
      </c>
      <c r="AL113" s="82">
        <f t="shared" si="143"/>
        <v>0</v>
      </c>
      <c r="AM113" s="82">
        <f t="shared" si="142"/>
        <v>0</v>
      </c>
      <c r="AN113" s="82">
        <f t="shared" si="142"/>
        <v>0</v>
      </c>
      <c r="AO113" s="82">
        <f t="shared" si="142"/>
        <v>0</v>
      </c>
      <c r="AP113" s="82">
        <f t="shared" si="142"/>
        <v>0</v>
      </c>
      <c r="AQ113" s="83">
        <f t="shared" si="142"/>
        <v>0</v>
      </c>
      <c r="AR113" s="438">
        <f t="shared" si="142"/>
        <v>5527656</v>
      </c>
      <c r="AS113" s="81">
        <f t="shared" si="142"/>
        <v>4047994</v>
      </c>
      <c r="AT113" s="81">
        <f t="shared" si="142"/>
        <v>0</v>
      </c>
      <c r="AU113" s="81">
        <f t="shared" si="142"/>
        <v>1368222</v>
      </c>
      <c r="AV113" s="81">
        <f t="shared" si="142"/>
        <v>80960</v>
      </c>
      <c r="AW113" s="81">
        <f t="shared" si="142"/>
        <v>30480</v>
      </c>
      <c r="AX113" s="82">
        <f t="shared" si="142"/>
        <v>9.7842000000000002</v>
      </c>
      <c r="AY113" s="82">
        <f t="shared" si="142"/>
        <v>6</v>
      </c>
      <c r="AZ113" s="83">
        <f t="shared" si="142"/>
        <v>3.7842000000000002</v>
      </c>
    </row>
    <row r="114" spans="1:52" ht="14.1" customHeight="1" x14ac:dyDescent="0.2">
      <c r="A114" s="72">
        <v>28</v>
      </c>
      <c r="B114" s="69">
        <v>2425</v>
      </c>
      <c r="C114" s="70">
        <v>600079333</v>
      </c>
      <c r="D114" s="69">
        <v>72741864</v>
      </c>
      <c r="E114" s="71" t="s">
        <v>622</v>
      </c>
      <c r="F114" s="72">
        <v>3111</v>
      </c>
      <c r="G114" s="71" t="s">
        <v>312</v>
      </c>
      <c r="H114" s="73" t="s">
        <v>278</v>
      </c>
      <c r="I114" s="494">
        <v>3533684</v>
      </c>
      <c r="J114" s="674">
        <v>2586218</v>
      </c>
      <c r="K114" s="674">
        <v>0</v>
      </c>
      <c r="L114" s="489">
        <v>874142</v>
      </c>
      <c r="M114" s="489">
        <v>51724</v>
      </c>
      <c r="N114" s="489">
        <v>21600</v>
      </c>
      <c r="O114" s="490">
        <v>5.4897999999999998</v>
      </c>
      <c r="P114" s="490">
        <v>4</v>
      </c>
      <c r="Q114" s="500">
        <v>1.4898</v>
      </c>
      <c r="R114" s="502">
        <f t="shared" si="88"/>
        <v>0</v>
      </c>
      <c r="S114" s="492">
        <v>0</v>
      </c>
      <c r="T114" s="492">
        <v>0</v>
      </c>
      <c r="U114" s="492">
        <v>0</v>
      </c>
      <c r="V114" s="492">
        <f>SUM(R114:U114)</f>
        <v>0</v>
      </c>
      <c r="W114" s="492">
        <v>0</v>
      </c>
      <c r="X114" s="492">
        <v>0</v>
      </c>
      <c r="Y114" s="492">
        <v>0</v>
      </c>
      <c r="Z114" s="492">
        <f t="shared" si="91"/>
        <v>0</v>
      </c>
      <c r="AA114" s="492">
        <f t="shared" si="92"/>
        <v>0</v>
      </c>
      <c r="AB114" s="74">
        <f t="shared" si="93"/>
        <v>0</v>
      </c>
      <c r="AC114" s="74">
        <f t="shared" si="94"/>
        <v>0</v>
      </c>
      <c r="AD114" s="492">
        <v>0</v>
      </c>
      <c r="AE114" s="492">
        <v>0</v>
      </c>
      <c r="AF114" s="492">
        <f>SUM(AD114:AE114)</f>
        <v>0</v>
      </c>
      <c r="AG114" s="492">
        <f>AA114+AB114+AC114+AF114</f>
        <v>0</v>
      </c>
      <c r="AH114" s="493">
        <v>0</v>
      </c>
      <c r="AI114" s="493">
        <v>0</v>
      </c>
      <c r="AJ114" s="493">
        <v>0</v>
      </c>
      <c r="AK114" s="493">
        <v>0</v>
      </c>
      <c r="AL114" s="493">
        <v>0</v>
      </c>
      <c r="AM114" s="493">
        <v>0</v>
      </c>
      <c r="AN114" s="493">
        <v>0</v>
      </c>
      <c r="AO114" s="493">
        <f t="shared" si="89"/>
        <v>0</v>
      </c>
      <c r="AP114" s="493">
        <f t="shared" si="90"/>
        <v>0</v>
      </c>
      <c r="AQ114" s="495">
        <f t="shared" si="95"/>
        <v>0</v>
      </c>
      <c r="AR114" s="501">
        <f>I114+AG114</f>
        <v>3533684</v>
      </c>
      <c r="AS114" s="492">
        <f>J114+V114</f>
        <v>2586218</v>
      </c>
      <c r="AT114" s="492">
        <f t="shared" ref="AT114:AT115" si="144">K114+Z114</f>
        <v>0</v>
      </c>
      <c r="AU114" s="492">
        <f>L114+AB114</f>
        <v>874142</v>
      </c>
      <c r="AV114" s="492">
        <f>M114+AC114</f>
        <v>51724</v>
      </c>
      <c r="AW114" s="492">
        <f>N114+AF114</f>
        <v>21600</v>
      </c>
      <c r="AX114" s="493">
        <f>O114+AQ114</f>
        <v>5.4897999999999998</v>
      </c>
      <c r="AY114" s="493">
        <f>P114+AO114</f>
        <v>4</v>
      </c>
      <c r="AZ114" s="495">
        <f>Q114+AP114</f>
        <v>1.4898</v>
      </c>
    </row>
    <row r="115" spans="1:52" ht="14.1" customHeight="1" x14ac:dyDescent="0.2">
      <c r="A115" s="72">
        <v>28</v>
      </c>
      <c r="B115" s="69">
        <v>2425</v>
      </c>
      <c r="C115" s="70">
        <v>600079333</v>
      </c>
      <c r="D115" s="69">
        <v>72741864</v>
      </c>
      <c r="E115" s="71" t="s">
        <v>622</v>
      </c>
      <c r="F115" s="72">
        <v>3141</v>
      </c>
      <c r="G115" s="71" t="s">
        <v>316</v>
      </c>
      <c r="H115" s="73" t="s">
        <v>279</v>
      </c>
      <c r="I115" s="494">
        <v>668757</v>
      </c>
      <c r="J115" s="489">
        <v>490407</v>
      </c>
      <c r="K115" s="489">
        <v>0</v>
      </c>
      <c r="L115" s="489">
        <v>165758</v>
      </c>
      <c r="M115" s="489">
        <v>9808</v>
      </c>
      <c r="N115" s="489">
        <v>2784</v>
      </c>
      <c r="O115" s="490">
        <v>1.54</v>
      </c>
      <c r="P115" s="491">
        <v>0</v>
      </c>
      <c r="Q115" s="500">
        <v>1.54</v>
      </c>
      <c r="R115" s="502">
        <f t="shared" si="88"/>
        <v>0</v>
      </c>
      <c r="S115" s="492">
        <v>0</v>
      </c>
      <c r="T115" s="492">
        <v>0</v>
      </c>
      <c r="U115" s="492">
        <v>0</v>
      </c>
      <c r="V115" s="492">
        <f>SUM(R115:U115)</f>
        <v>0</v>
      </c>
      <c r="W115" s="492">
        <v>0</v>
      </c>
      <c r="X115" s="492">
        <v>0</v>
      </c>
      <c r="Y115" s="492">
        <v>0</v>
      </c>
      <c r="Z115" s="492">
        <f t="shared" si="91"/>
        <v>0</v>
      </c>
      <c r="AA115" s="492">
        <f t="shared" si="92"/>
        <v>0</v>
      </c>
      <c r="AB115" s="74">
        <f t="shared" si="93"/>
        <v>0</v>
      </c>
      <c r="AC115" s="74">
        <f t="shared" si="94"/>
        <v>0</v>
      </c>
      <c r="AD115" s="492">
        <v>0</v>
      </c>
      <c r="AE115" s="492">
        <v>0</v>
      </c>
      <c r="AF115" s="492">
        <f>SUM(AD115:AE115)</f>
        <v>0</v>
      </c>
      <c r="AG115" s="492">
        <f>AA115+AB115+AC115+AF115</f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si="89"/>
        <v>0</v>
      </c>
      <c r="AP115" s="493">
        <f t="shared" si="90"/>
        <v>0</v>
      </c>
      <c r="AQ115" s="495">
        <f t="shared" si="95"/>
        <v>0</v>
      </c>
      <c r="AR115" s="501">
        <f>I115+AG115</f>
        <v>668757</v>
      </c>
      <c r="AS115" s="492">
        <f>J115+V115</f>
        <v>490407</v>
      </c>
      <c r="AT115" s="492">
        <f t="shared" si="144"/>
        <v>0</v>
      </c>
      <c r="AU115" s="492">
        <f>L115+AB115</f>
        <v>165758</v>
      </c>
      <c r="AV115" s="492">
        <f>M115+AC115</f>
        <v>9808</v>
      </c>
      <c r="AW115" s="492">
        <f>N115+AF115</f>
        <v>2784</v>
      </c>
      <c r="AX115" s="493">
        <f>O115+AQ115</f>
        <v>1.54</v>
      </c>
      <c r="AY115" s="493">
        <f>P115+AO115</f>
        <v>0</v>
      </c>
      <c r="AZ115" s="495">
        <f>Q115+AP115</f>
        <v>1.54</v>
      </c>
    </row>
    <row r="116" spans="1:52" ht="14.1" customHeight="1" x14ac:dyDescent="0.2">
      <c r="A116" s="78">
        <v>28</v>
      </c>
      <c r="B116" s="75">
        <v>2425</v>
      </c>
      <c r="C116" s="76">
        <v>600079333</v>
      </c>
      <c r="D116" s="75">
        <v>72741864</v>
      </c>
      <c r="E116" s="77" t="s">
        <v>623</v>
      </c>
      <c r="F116" s="78"/>
      <c r="G116" s="77"/>
      <c r="H116" s="79"/>
      <c r="I116" s="80">
        <v>4202441</v>
      </c>
      <c r="J116" s="81">
        <v>3076625</v>
      </c>
      <c r="K116" s="81">
        <v>0</v>
      </c>
      <c r="L116" s="81">
        <v>1039900</v>
      </c>
      <c r="M116" s="81">
        <v>61532</v>
      </c>
      <c r="N116" s="81">
        <v>24384</v>
      </c>
      <c r="O116" s="82">
        <v>7.0297999999999998</v>
      </c>
      <c r="P116" s="82">
        <v>4</v>
      </c>
      <c r="Q116" s="452">
        <v>3.0297999999999998</v>
      </c>
      <c r="R116" s="80">
        <f t="shared" ref="R116:AZ116" si="145">SUM(R114:R115)</f>
        <v>0</v>
      </c>
      <c r="S116" s="81">
        <f t="shared" si="145"/>
        <v>0</v>
      </c>
      <c r="T116" s="81">
        <f t="shared" si="145"/>
        <v>0</v>
      </c>
      <c r="U116" s="81">
        <f t="shared" si="145"/>
        <v>0</v>
      </c>
      <c r="V116" s="81">
        <f t="shared" si="145"/>
        <v>0</v>
      </c>
      <c r="W116" s="81">
        <f t="shared" si="145"/>
        <v>0</v>
      </c>
      <c r="X116" s="81">
        <f t="shared" si="145"/>
        <v>0</v>
      </c>
      <c r="Y116" s="81">
        <f t="shared" si="145"/>
        <v>0</v>
      </c>
      <c r="Z116" s="81">
        <f t="shared" si="145"/>
        <v>0</v>
      </c>
      <c r="AA116" s="81">
        <f t="shared" si="145"/>
        <v>0</v>
      </c>
      <c r="AB116" s="81">
        <f t="shared" si="145"/>
        <v>0</v>
      </c>
      <c r="AC116" s="81">
        <f t="shared" si="145"/>
        <v>0</v>
      </c>
      <c r="AD116" s="81">
        <f t="shared" si="145"/>
        <v>0</v>
      </c>
      <c r="AE116" s="81">
        <f t="shared" si="145"/>
        <v>0</v>
      </c>
      <c r="AF116" s="81">
        <f t="shared" si="145"/>
        <v>0</v>
      </c>
      <c r="AG116" s="81">
        <f t="shared" si="145"/>
        <v>0</v>
      </c>
      <c r="AH116" s="82">
        <f t="shared" si="145"/>
        <v>0</v>
      </c>
      <c r="AI116" s="82">
        <f t="shared" si="145"/>
        <v>0</v>
      </c>
      <c r="AJ116" s="82">
        <f t="shared" si="145"/>
        <v>0</v>
      </c>
      <c r="AK116" s="82">
        <f t="shared" ref="AK116:AL116" si="146">SUM(AK114:AK115)</f>
        <v>0</v>
      </c>
      <c r="AL116" s="82">
        <f t="shared" si="146"/>
        <v>0</v>
      </c>
      <c r="AM116" s="82">
        <f t="shared" si="145"/>
        <v>0</v>
      </c>
      <c r="AN116" s="82">
        <f t="shared" si="145"/>
        <v>0</v>
      </c>
      <c r="AO116" s="82">
        <f t="shared" si="145"/>
        <v>0</v>
      </c>
      <c r="AP116" s="82">
        <f t="shared" si="145"/>
        <v>0</v>
      </c>
      <c r="AQ116" s="83">
        <f t="shared" si="145"/>
        <v>0</v>
      </c>
      <c r="AR116" s="438">
        <f t="shared" si="145"/>
        <v>4202441</v>
      </c>
      <c r="AS116" s="81">
        <f t="shared" si="145"/>
        <v>3076625</v>
      </c>
      <c r="AT116" s="81">
        <f t="shared" si="145"/>
        <v>0</v>
      </c>
      <c r="AU116" s="81">
        <f t="shared" si="145"/>
        <v>1039900</v>
      </c>
      <c r="AV116" s="81">
        <f t="shared" si="145"/>
        <v>61532</v>
      </c>
      <c r="AW116" s="81">
        <f t="shared" si="145"/>
        <v>24384</v>
      </c>
      <c r="AX116" s="82">
        <f t="shared" si="145"/>
        <v>7.0297999999999998</v>
      </c>
      <c r="AY116" s="82">
        <f t="shared" si="145"/>
        <v>4</v>
      </c>
      <c r="AZ116" s="83">
        <f t="shared" si="145"/>
        <v>3.0297999999999998</v>
      </c>
    </row>
    <row r="117" spans="1:52" ht="14.1" customHeight="1" x14ac:dyDescent="0.2">
      <c r="A117" s="72">
        <v>29</v>
      </c>
      <c r="B117" s="69">
        <v>2433</v>
      </c>
      <c r="C117" s="70">
        <v>600079643</v>
      </c>
      <c r="D117" s="69">
        <v>66113334</v>
      </c>
      <c r="E117" s="71" t="s">
        <v>624</v>
      </c>
      <c r="F117" s="72">
        <v>3111</v>
      </c>
      <c r="G117" s="71" t="s">
        <v>312</v>
      </c>
      <c r="H117" s="73" t="s">
        <v>278</v>
      </c>
      <c r="I117" s="494">
        <v>6741708</v>
      </c>
      <c r="J117" s="674">
        <v>4939255</v>
      </c>
      <c r="K117" s="674">
        <v>0</v>
      </c>
      <c r="L117" s="489">
        <v>1669468</v>
      </c>
      <c r="M117" s="489">
        <v>98785</v>
      </c>
      <c r="N117" s="489">
        <v>34200</v>
      </c>
      <c r="O117" s="490">
        <v>11.119699999999998</v>
      </c>
      <c r="P117" s="490">
        <v>8.4514999999999993</v>
      </c>
      <c r="Q117" s="500">
        <v>2.6681999999999997</v>
      </c>
      <c r="R117" s="502">
        <f t="shared" si="88"/>
        <v>0</v>
      </c>
      <c r="S117" s="492">
        <v>0</v>
      </c>
      <c r="T117" s="492">
        <v>0</v>
      </c>
      <c r="U117" s="492">
        <v>0</v>
      </c>
      <c r="V117" s="492">
        <f>SUM(R117:U117)</f>
        <v>0</v>
      </c>
      <c r="W117" s="492">
        <v>0</v>
      </c>
      <c r="X117" s="492">
        <v>0</v>
      </c>
      <c r="Y117" s="492">
        <v>0</v>
      </c>
      <c r="Z117" s="492">
        <f t="shared" si="91"/>
        <v>0</v>
      </c>
      <c r="AA117" s="492">
        <f t="shared" si="92"/>
        <v>0</v>
      </c>
      <c r="AB117" s="74">
        <f t="shared" si="93"/>
        <v>0</v>
      </c>
      <c r="AC117" s="74">
        <f t="shared" si="94"/>
        <v>0</v>
      </c>
      <c r="AD117" s="492">
        <v>0</v>
      </c>
      <c r="AE117" s="492">
        <v>0</v>
      </c>
      <c r="AF117" s="492">
        <f>SUM(AD117:AE117)</f>
        <v>0</v>
      </c>
      <c r="AG117" s="492">
        <f>AA117+AB117+AC117+AF117</f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si="89"/>
        <v>0</v>
      </c>
      <c r="AP117" s="493">
        <f t="shared" si="90"/>
        <v>0</v>
      </c>
      <c r="AQ117" s="495">
        <f t="shared" si="95"/>
        <v>0</v>
      </c>
      <c r="AR117" s="501">
        <f>I117+AG117</f>
        <v>6741708</v>
      </c>
      <c r="AS117" s="492">
        <f>J117+V117</f>
        <v>4939255</v>
      </c>
      <c r="AT117" s="492">
        <f t="shared" ref="AT117:AT119" si="147">K117+Z117</f>
        <v>0</v>
      </c>
      <c r="AU117" s="492">
        <f t="shared" ref="AU117:AV119" si="148">L117+AB117</f>
        <v>1669468</v>
      </c>
      <c r="AV117" s="492">
        <f t="shared" si="148"/>
        <v>98785</v>
      </c>
      <c r="AW117" s="492">
        <f>N117+AF117</f>
        <v>34200</v>
      </c>
      <c r="AX117" s="493">
        <f>O117+AQ117</f>
        <v>11.119699999999998</v>
      </c>
      <c r="AY117" s="493">
        <f t="shared" ref="AY117:AZ119" si="149">P117+AO117</f>
        <v>8.4514999999999993</v>
      </c>
      <c r="AZ117" s="495">
        <f t="shared" si="149"/>
        <v>2.6681999999999997</v>
      </c>
    </row>
    <row r="118" spans="1:52" ht="14.1" customHeight="1" x14ac:dyDescent="0.2">
      <c r="A118" s="72">
        <v>29</v>
      </c>
      <c r="B118" s="69">
        <v>2433</v>
      </c>
      <c r="C118" s="70">
        <v>600079643</v>
      </c>
      <c r="D118" s="69">
        <v>66113334</v>
      </c>
      <c r="E118" s="71" t="s">
        <v>624</v>
      </c>
      <c r="F118" s="72">
        <v>3111</v>
      </c>
      <c r="G118" s="71" t="s">
        <v>313</v>
      </c>
      <c r="H118" s="73" t="s">
        <v>279</v>
      </c>
      <c r="I118" s="494">
        <v>940939</v>
      </c>
      <c r="J118" s="489">
        <v>692886</v>
      </c>
      <c r="K118" s="489">
        <v>0</v>
      </c>
      <c r="L118" s="489">
        <v>234195</v>
      </c>
      <c r="M118" s="489">
        <v>13858</v>
      </c>
      <c r="N118" s="489">
        <v>0</v>
      </c>
      <c r="O118" s="490">
        <v>2</v>
      </c>
      <c r="P118" s="491">
        <v>2</v>
      </c>
      <c r="Q118" s="500">
        <v>0</v>
      </c>
      <c r="R118" s="502">
        <f t="shared" si="88"/>
        <v>0</v>
      </c>
      <c r="S118" s="492">
        <v>0</v>
      </c>
      <c r="T118" s="492">
        <v>0</v>
      </c>
      <c r="U118" s="492">
        <v>0</v>
      </c>
      <c r="V118" s="492">
        <f>SUM(R118:U118)</f>
        <v>0</v>
      </c>
      <c r="W118" s="492">
        <v>0</v>
      </c>
      <c r="X118" s="492">
        <v>0</v>
      </c>
      <c r="Y118" s="492">
        <v>0</v>
      </c>
      <c r="Z118" s="492">
        <f t="shared" si="91"/>
        <v>0</v>
      </c>
      <c r="AA118" s="492">
        <f t="shared" si="92"/>
        <v>0</v>
      </c>
      <c r="AB118" s="74">
        <f t="shared" si="93"/>
        <v>0</v>
      </c>
      <c r="AC118" s="74">
        <f t="shared" si="94"/>
        <v>0</v>
      </c>
      <c r="AD118" s="492">
        <v>0</v>
      </c>
      <c r="AE118" s="492">
        <v>0</v>
      </c>
      <c r="AF118" s="492">
        <f>SUM(AD118:AE118)</f>
        <v>0</v>
      </c>
      <c r="AG118" s="492">
        <f>AA118+AB118+AC118+AF118</f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 t="shared" si="89"/>
        <v>0</v>
      </c>
      <c r="AP118" s="493">
        <f t="shared" si="90"/>
        <v>0</v>
      </c>
      <c r="AQ118" s="495">
        <f t="shared" si="95"/>
        <v>0</v>
      </c>
      <c r="AR118" s="501">
        <f>I118+AG118</f>
        <v>940939</v>
      </c>
      <c r="AS118" s="492">
        <f>J118+V118</f>
        <v>692886</v>
      </c>
      <c r="AT118" s="492">
        <f t="shared" si="147"/>
        <v>0</v>
      </c>
      <c r="AU118" s="492">
        <f t="shared" si="148"/>
        <v>234195</v>
      </c>
      <c r="AV118" s="492">
        <f t="shared" si="148"/>
        <v>13858</v>
      </c>
      <c r="AW118" s="492">
        <f>N118+AF118</f>
        <v>0</v>
      </c>
      <c r="AX118" s="493">
        <f>O118+AQ118</f>
        <v>2</v>
      </c>
      <c r="AY118" s="493">
        <f t="shared" si="149"/>
        <v>2</v>
      </c>
      <c r="AZ118" s="495">
        <f t="shared" si="149"/>
        <v>0</v>
      </c>
    </row>
    <row r="119" spans="1:52" ht="14.1" customHeight="1" x14ac:dyDescent="0.2">
      <c r="A119" s="72">
        <v>29</v>
      </c>
      <c r="B119" s="69">
        <v>2433</v>
      </c>
      <c r="C119" s="70">
        <v>600079643</v>
      </c>
      <c r="D119" s="69">
        <v>66113334</v>
      </c>
      <c r="E119" s="71" t="s">
        <v>624</v>
      </c>
      <c r="F119" s="72">
        <v>3141</v>
      </c>
      <c r="G119" s="71" t="s">
        <v>316</v>
      </c>
      <c r="H119" s="73" t="s">
        <v>279</v>
      </c>
      <c r="I119" s="494">
        <v>921157</v>
      </c>
      <c r="J119" s="489">
        <v>675030</v>
      </c>
      <c r="K119" s="489">
        <v>0</v>
      </c>
      <c r="L119" s="489">
        <v>228160</v>
      </c>
      <c r="M119" s="489">
        <v>13501</v>
      </c>
      <c r="N119" s="489">
        <v>4466</v>
      </c>
      <c r="O119" s="490">
        <v>2.13</v>
      </c>
      <c r="P119" s="491">
        <v>0</v>
      </c>
      <c r="Q119" s="500">
        <v>2.13</v>
      </c>
      <c r="R119" s="502">
        <f t="shared" si="88"/>
        <v>0</v>
      </c>
      <c r="S119" s="492">
        <v>0</v>
      </c>
      <c r="T119" s="492">
        <v>0</v>
      </c>
      <c r="U119" s="492">
        <v>0</v>
      </c>
      <c r="V119" s="492">
        <f>SUM(R119:U119)</f>
        <v>0</v>
      </c>
      <c r="W119" s="492">
        <v>0</v>
      </c>
      <c r="X119" s="492">
        <v>0</v>
      </c>
      <c r="Y119" s="492">
        <v>0</v>
      </c>
      <c r="Z119" s="492">
        <f t="shared" si="91"/>
        <v>0</v>
      </c>
      <c r="AA119" s="492">
        <f t="shared" si="92"/>
        <v>0</v>
      </c>
      <c r="AB119" s="74">
        <f t="shared" si="93"/>
        <v>0</v>
      </c>
      <c r="AC119" s="74">
        <f t="shared" si="94"/>
        <v>0</v>
      </c>
      <c r="AD119" s="492">
        <v>0</v>
      </c>
      <c r="AE119" s="492">
        <v>0</v>
      </c>
      <c r="AF119" s="492">
        <f>SUM(AD119:AE119)</f>
        <v>0</v>
      </c>
      <c r="AG119" s="492">
        <f>AA119+AB119+AC119+AF119</f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si="89"/>
        <v>0</v>
      </c>
      <c r="AP119" s="493">
        <f t="shared" si="90"/>
        <v>0</v>
      </c>
      <c r="AQ119" s="495">
        <f t="shared" si="95"/>
        <v>0</v>
      </c>
      <c r="AR119" s="501">
        <f>I119+AG119</f>
        <v>921157</v>
      </c>
      <c r="AS119" s="492">
        <f>J119+V119</f>
        <v>675030</v>
      </c>
      <c r="AT119" s="492">
        <f t="shared" si="147"/>
        <v>0</v>
      </c>
      <c r="AU119" s="492">
        <f t="shared" si="148"/>
        <v>228160</v>
      </c>
      <c r="AV119" s="492">
        <f t="shared" si="148"/>
        <v>13501</v>
      </c>
      <c r="AW119" s="492">
        <f>N119+AF119</f>
        <v>4466</v>
      </c>
      <c r="AX119" s="493">
        <f>O119+AQ119</f>
        <v>2.13</v>
      </c>
      <c r="AY119" s="493">
        <f t="shared" si="149"/>
        <v>0</v>
      </c>
      <c r="AZ119" s="495">
        <f t="shared" si="149"/>
        <v>2.13</v>
      </c>
    </row>
    <row r="120" spans="1:52" ht="14.1" customHeight="1" x14ac:dyDescent="0.2">
      <c r="A120" s="78">
        <v>29</v>
      </c>
      <c r="B120" s="75">
        <v>2433</v>
      </c>
      <c r="C120" s="76">
        <v>600079643</v>
      </c>
      <c r="D120" s="75">
        <v>66113334</v>
      </c>
      <c r="E120" s="77" t="s">
        <v>625</v>
      </c>
      <c r="F120" s="78"/>
      <c r="G120" s="77"/>
      <c r="H120" s="79"/>
      <c r="I120" s="80">
        <v>8603804</v>
      </c>
      <c r="J120" s="81">
        <v>6307171</v>
      </c>
      <c r="K120" s="81">
        <v>0</v>
      </c>
      <c r="L120" s="81">
        <v>2131823</v>
      </c>
      <c r="M120" s="81">
        <v>126144</v>
      </c>
      <c r="N120" s="81">
        <v>38666</v>
      </c>
      <c r="O120" s="82">
        <v>15.249699999999997</v>
      </c>
      <c r="P120" s="82">
        <v>10.451499999999999</v>
      </c>
      <c r="Q120" s="452">
        <v>4.7981999999999996</v>
      </c>
      <c r="R120" s="80">
        <f t="shared" ref="R120:AZ120" si="150">SUM(R117:R119)</f>
        <v>0</v>
      </c>
      <c r="S120" s="81">
        <f t="shared" si="150"/>
        <v>0</v>
      </c>
      <c r="T120" s="81">
        <f t="shared" si="150"/>
        <v>0</v>
      </c>
      <c r="U120" s="81">
        <f t="shared" si="150"/>
        <v>0</v>
      </c>
      <c r="V120" s="81">
        <f t="shared" si="150"/>
        <v>0</v>
      </c>
      <c r="W120" s="81">
        <f t="shared" si="150"/>
        <v>0</v>
      </c>
      <c r="X120" s="81">
        <f t="shared" si="150"/>
        <v>0</v>
      </c>
      <c r="Y120" s="81">
        <f t="shared" si="150"/>
        <v>0</v>
      </c>
      <c r="Z120" s="81">
        <f t="shared" si="150"/>
        <v>0</v>
      </c>
      <c r="AA120" s="81">
        <f t="shared" si="150"/>
        <v>0</v>
      </c>
      <c r="AB120" s="81">
        <f t="shared" si="150"/>
        <v>0</v>
      </c>
      <c r="AC120" s="81">
        <f t="shared" si="150"/>
        <v>0</v>
      </c>
      <c r="AD120" s="81">
        <f t="shared" si="150"/>
        <v>0</v>
      </c>
      <c r="AE120" s="81">
        <f t="shared" si="150"/>
        <v>0</v>
      </c>
      <c r="AF120" s="81">
        <f t="shared" si="150"/>
        <v>0</v>
      </c>
      <c r="AG120" s="81">
        <f t="shared" si="150"/>
        <v>0</v>
      </c>
      <c r="AH120" s="82">
        <f t="shared" si="150"/>
        <v>0</v>
      </c>
      <c r="AI120" s="82">
        <f t="shared" si="150"/>
        <v>0</v>
      </c>
      <c r="AJ120" s="82">
        <f t="shared" si="150"/>
        <v>0</v>
      </c>
      <c r="AK120" s="82">
        <f t="shared" ref="AK120:AL120" si="151">SUM(AK117:AK119)</f>
        <v>0</v>
      </c>
      <c r="AL120" s="82">
        <f t="shared" si="151"/>
        <v>0</v>
      </c>
      <c r="AM120" s="82">
        <f t="shared" si="150"/>
        <v>0</v>
      </c>
      <c r="AN120" s="82">
        <f t="shared" si="150"/>
        <v>0</v>
      </c>
      <c r="AO120" s="82">
        <f t="shared" si="150"/>
        <v>0</v>
      </c>
      <c r="AP120" s="82">
        <f t="shared" si="150"/>
        <v>0</v>
      </c>
      <c r="AQ120" s="83">
        <f t="shared" si="150"/>
        <v>0</v>
      </c>
      <c r="AR120" s="438">
        <f t="shared" si="150"/>
        <v>8603804</v>
      </c>
      <c r="AS120" s="81">
        <f t="shared" si="150"/>
        <v>6307171</v>
      </c>
      <c r="AT120" s="81">
        <f t="shared" si="150"/>
        <v>0</v>
      </c>
      <c r="AU120" s="81">
        <f t="shared" si="150"/>
        <v>2131823</v>
      </c>
      <c r="AV120" s="81">
        <f t="shared" si="150"/>
        <v>126144</v>
      </c>
      <c r="AW120" s="81">
        <f t="shared" si="150"/>
        <v>38666</v>
      </c>
      <c r="AX120" s="82">
        <f t="shared" si="150"/>
        <v>15.249699999999997</v>
      </c>
      <c r="AY120" s="82">
        <f t="shared" si="150"/>
        <v>10.451499999999999</v>
      </c>
      <c r="AZ120" s="83">
        <f t="shared" si="150"/>
        <v>4.7981999999999996</v>
      </c>
    </row>
    <row r="121" spans="1:52" ht="14.1" customHeight="1" x14ac:dyDescent="0.2">
      <c r="A121" s="72">
        <v>30</v>
      </c>
      <c r="B121" s="69">
        <v>2435</v>
      </c>
      <c r="C121" s="70">
        <v>600079341</v>
      </c>
      <c r="D121" s="69">
        <v>72743069</v>
      </c>
      <c r="E121" s="71" t="s">
        <v>626</v>
      </c>
      <c r="F121" s="72">
        <v>3111</v>
      </c>
      <c r="G121" s="71" t="s">
        <v>312</v>
      </c>
      <c r="H121" s="73" t="s">
        <v>278</v>
      </c>
      <c r="I121" s="494">
        <v>7083180</v>
      </c>
      <c r="J121" s="674">
        <v>5179941</v>
      </c>
      <c r="K121" s="674">
        <v>1622</v>
      </c>
      <c r="L121" s="489">
        <v>1751368</v>
      </c>
      <c r="M121" s="489">
        <v>103599</v>
      </c>
      <c r="N121" s="489">
        <v>46650</v>
      </c>
      <c r="O121" s="490">
        <v>11.213199999999999</v>
      </c>
      <c r="P121" s="490">
        <v>8.2579999999999991</v>
      </c>
      <c r="Q121" s="500">
        <v>2.9552</v>
      </c>
      <c r="R121" s="502">
        <f t="shared" si="88"/>
        <v>0</v>
      </c>
      <c r="S121" s="492">
        <v>0</v>
      </c>
      <c r="T121" s="492">
        <v>0</v>
      </c>
      <c r="U121" s="492">
        <v>0</v>
      </c>
      <c r="V121" s="492">
        <f>SUM(R121:U121)</f>
        <v>0</v>
      </c>
      <c r="W121" s="492">
        <v>0</v>
      </c>
      <c r="X121" s="492">
        <v>0</v>
      </c>
      <c r="Y121" s="492">
        <v>0</v>
      </c>
      <c r="Z121" s="492">
        <f t="shared" si="91"/>
        <v>0</v>
      </c>
      <c r="AA121" s="492">
        <f t="shared" si="92"/>
        <v>0</v>
      </c>
      <c r="AB121" s="74">
        <f t="shared" si="93"/>
        <v>0</v>
      </c>
      <c r="AC121" s="74">
        <f t="shared" si="94"/>
        <v>0</v>
      </c>
      <c r="AD121" s="492">
        <v>0</v>
      </c>
      <c r="AE121" s="492">
        <v>0</v>
      </c>
      <c r="AF121" s="492">
        <f>SUM(AD121:AE121)</f>
        <v>0</v>
      </c>
      <c r="AG121" s="492">
        <f>AA121+AB121+AC121+AF121</f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89"/>
        <v>0</v>
      </c>
      <c r="AP121" s="493">
        <f t="shared" si="90"/>
        <v>0</v>
      </c>
      <c r="AQ121" s="495">
        <f t="shared" si="95"/>
        <v>0</v>
      </c>
      <c r="AR121" s="501">
        <f>I121+AG121</f>
        <v>7083180</v>
      </c>
      <c r="AS121" s="492">
        <f>J121+V121</f>
        <v>5179941</v>
      </c>
      <c r="AT121" s="492">
        <f t="shared" ref="AT121:AT124" si="152">K121+Z121</f>
        <v>1622</v>
      </c>
      <c r="AU121" s="492">
        <f t="shared" ref="AU121:AV124" si="153">L121+AB121</f>
        <v>1751368</v>
      </c>
      <c r="AV121" s="492">
        <f t="shared" si="153"/>
        <v>103599</v>
      </c>
      <c r="AW121" s="492">
        <f>N121+AF121</f>
        <v>46650</v>
      </c>
      <c r="AX121" s="493">
        <f>O121+AQ121</f>
        <v>11.213199999999999</v>
      </c>
      <c r="AY121" s="493">
        <f t="shared" ref="AY121:AZ124" si="154">P121+AO121</f>
        <v>8.2579999999999991</v>
      </c>
      <c r="AZ121" s="495">
        <f t="shared" si="154"/>
        <v>2.9552</v>
      </c>
    </row>
    <row r="122" spans="1:52" ht="14.1" customHeight="1" x14ac:dyDescent="0.2">
      <c r="A122" s="72">
        <v>30</v>
      </c>
      <c r="B122" s="69">
        <v>2435</v>
      </c>
      <c r="C122" s="70">
        <v>600079341</v>
      </c>
      <c r="D122" s="69">
        <v>72743069</v>
      </c>
      <c r="E122" s="71" t="s">
        <v>626</v>
      </c>
      <c r="F122" s="72">
        <v>3111</v>
      </c>
      <c r="G122" s="48" t="s">
        <v>314</v>
      </c>
      <c r="H122" s="73" t="s">
        <v>278</v>
      </c>
      <c r="I122" s="494">
        <v>490005</v>
      </c>
      <c r="J122" s="489">
        <v>360828</v>
      </c>
      <c r="K122" s="489">
        <v>0</v>
      </c>
      <c r="L122" s="489">
        <v>121960</v>
      </c>
      <c r="M122" s="489">
        <v>7217</v>
      </c>
      <c r="N122" s="489">
        <v>0</v>
      </c>
      <c r="O122" s="490">
        <v>1</v>
      </c>
      <c r="P122" s="490">
        <v>1</v>
      </c>
      <c r="Q122" s="500">
        <v>0</v>
      </c>
      <c r="R122" s="502">
        <f t="shared" si="88"/>
        <v>0</v>
      </c>
      <c r="S122" s="492">
        <v>0</v>
      </c>
      <c r="T122" s="492">
        <v>0</v>
      </c>
      <c r="U122" s="492">
        <v>0</v>
      </c>
      <c r="V122" s="492">
        <f>SUM(R122:U122)</f>
        <v>0</v>
      </c>
      <c r="W122" s="492">
        <v>0</v>
      </c>
      <c r="X122" s="492">
        <v>0</v>
      </c>
      <c r="Y122" s="492">
        <v>0</v>
      </c>
      <c r="Z122" s="492">
        <f t="shared" si="91"/>
        <v>0</v>
      </c>
      <c r="AA122" s="492">
        <f t="shared" si="92"/>
        <v>0</v>
      </c>
      <c r="AB122" s="74">
        <f t="shared" si="93"/>
        <v>0</v>
      </c>
      <c r="AC122" s="74">
        <f t="shared" si="94"/>
        <v>0</v>
      </c>
      <c r="AD122" s="492">
        <v>0</v>
      </c>
      <c r="AE122" s="492">
        <v>0</v>
      </c>
      <c r="AF122" s="492">
        <f>SUM(AD122:AE122)</f>
        <v>0</v>
      </c>
      <c r="AG122" s="492">
        <f>AA122+AB122+AC122+AF122</f>
        <v>0</v>
      </c>
      <c r="AH122" s="493">
        <v>0</v>
      </c>
      <c r="AI122" s="493">
        <v>0</v>
      </c>
      <c r="AJ122" s="493">
        <v>0</v>
      </c>
      <c r="AK122" s="493">
        <v>0</v>
      </c>
      <c r="AL122" s="493">
        <v>0</v>
      </c>
      <c r="AM122" s="493">
        <v>0</v>
      </c>
      <c r="AN122" s="493">
        <v>0</v>
      </c>
      <c r="AO122" s="493">
        <f t="shared" si="89"/>
        <v>0</v>
      </c>
      <c r="AP122" s="493">
        <f t="shared" si="90"/>
        <v>0</v>
      </c>
      <c r="AQ122" s="495">
        <f t="shared" si="95"/>
        <v>0</v>
      </c>
      <c r="AR122" s="501">
        <f>I122+AG122</f>
        <v>490005</v>
      </c>
      <c r="AS122" s="492">
        <f>J122+V122</f>
        <v>360828</v>
      </c>
      <c r="AT122" s="492">
        <f t="shared" si="152"/>
        <v>0</v>
      </c>
      <c r="AU122" s="492">
        <f t="shared" si="153"/>
        <v>121960</v>
      </c>
      <c r="AV122" s="492">
        <f t="shared" si="153"/>
        <v>7217</v>
      </c>
      <c r="AW122" s="492">
        <f>N122+AF122</f>
        <v>0</v>
      </c>
      <c r="AX122" s="493">
        <f>O122+AQ122</f>
        <v>1</v>
      </c>
      <c r="AY122" s="493">
        <f t="shared" si="154"/>
        <v>1</v>
      </c>
      <c r="AZ122" s="495">
        <f t="shared" si="154"/>
        <v>0</v>
      </c>
    </row>
    <row r="123" spans="1:52" ht="14.1" customHeight="1" x14ac:dyDescent="0.2">
      <c r="A123" s="72">
        <v>30</v>
      </c>
      <c r="B123" s="69">
        <v>2435</v>
      </c>
      <c r="C123" s="70">
        <v>600079341</v>
      </c>
      <c r="D123" s="69">
        <v>72743069</v>
      </c>
      <c r="E123" s="71" t="s">
        <v>626</v>
      </c>
      <c r="F123" s="72">
        <v>3111</v>
      </c>
      <c r="G123" s="48" t="s">
        <v>313</v>
      </c>
      <c r="H123" s="73" t="s">
        <v>279</v>
      </c>
      <c r="I123" s="494">
        <v>470470</v>
      </c>
      <c r="J123" s="489">
        <v>346443</v>
      </c>
      <c r="K123" s="489">
        <v>0</v>
      </c>
      <c r="L123" s="489">
        <v>117098</v>
      </c>
      <c r="M123" s="489">
        <v>6929</v>
      </c>
      <c r="N123" s="489">
        <v>0</v>
      </c>
      <c r="O123" s="490">
        <v>1</v>
      </c>
      <c r="P123" s="491">
        <v>1</v>
      </c>
      <c r="Q123" s="500">
        <v>0</v>
      </c>
      <c r="R123" s="502">
        <f t="shared" si="88"/>
        <v>0</v>
      </c>
      <c r="S123" s="492">
        <v>0</v>
      </c>
      <c r="T123" s="492">
        <v>0</v>
      </c>
      <c r="U123" s="492">
        <v>0</v>
      </c>
      <c r="V123" s="492">
        <f>SUM(R123:U123)</f>
        <v>0</v>
      </c>
      <c r="W123" s="492">
        <v>0</v>
      </c>
      <c r="X123" s="492">
        <v>0</v>
      </c>
      <c r="Y123" s="492">
        <v>0</v>
      </c>
      <c r="Z123" s="492">
        <f t="shared" si="91"/>
        <v>0</v>
      </c>
      <c r="AA123" s="492">
        <f t="shared" si="92"/>
        <v>0</v>
      </c>
      <c r="AB123" s="74">
        <f t="shared" si="93"/>
        <v>0</v>
      </c>
      <c r="AC123" s="74">
        <f t="shared" si="94"/>
        <v>0</v>
      </c>
      <c r="AD123" s="492">
        <v>0</v>
      </c>
      <c r="AE123" s="492">
        <v>0</v>
      </c>
      <c r="AF123" s="492">
        <f>SUM(AD123:AE123)</f>
        <v>0</v>
      </c>
      <c r="AG123" s="492">
        <f>AA123+AB123+AC123+AF123</f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 t="shared" si="89"/>
        <v>0</v>
      </c>
      <c r="AP123" s="493">
        <f t="shared" si="90"/>
        <v>0</v>
      </c>
      <c r="AQ123" s="495">
        <f t="shared" si="95"/>
        <v>0</v>
      </c>
      <c r="AR123" s="501">
        <f>I123+AG123</f>
        <v>470470</v>
      </c>
      <c r="AS123" s="492">
        <f>J123+V123</f>
        <v>346443</v>
      </c>
      <c r="AT123" s="492">
        <f t="shared" si="152"/>
        <v>0</v>
      </c>
      <c r="AU123" s="492">
        <f t="shared" si="153"/>
        <v>117098</v>
      </c>
      <c r="AV123" s="492">
        <f t="shared" si="153"/>
        <v>6929</v>
      </c>
      <c r="AW123" s="492">
        <f>N123+AF123</f>
        <v>0</v>
      </c>
      <c r="AX123" s="493">
        <f>O123+AQ123</f>
        <v>1</v>
      </c>
      <c r="AY123" s="493">
        <f t="shared" si="154"/>
        <v>1</v>
      </c>
      <c r="AZ123" s="495">
        <f t="shared" si="154"/>
        <v>0</v>
      </c>
    </row>
    <row r="124" spans="1:52" ht="14.1" customHeight="1" x14ac:dyDescent="0.2">
      <c r="A124" s="72">
        <v>30</v>
      </c>
      <c r="B124" s="69">
        <v>2435</v>
      </c>
      <c r="C124" s="70">
        <v>600079341</v>
      </c>
      <c r="D124" s="69">
        <v>72743069</v>
      </c>
      <c r="E124" s="71" t="s">
        <v>626</v>
      </c>
      <c r="F124" s="72">
        <v>3141</v>
      </c>
      <c r="G124" s="71" t="s">
        <v>316</v>
      </c>
      <c r="H124" s="73" t="s">
        <v>279</v>
      </c>
      <c r="I124" s="494">
        <v>985813</v>
      </c>
      <c r="J124" s="489">
        <v>722300</v>
      </c>
      <c r="K124" s="489">
        <v>0</v>
      </c>
      <c r="L124" s="489">
        <v>244137</v>
      </c>
      <c r="M124" s="489">
        <v>14446</v>
      </c>
      <c r="N124" s="489">
        <v>4930</v>
      </c>
      <c r="O124" s="490">
        <v>2.27</v>
      </c>
      <c r="P124" s="491">
        <v>0</v>
      </c>
      <c r="Q124" s="500">
        <v>2.27</v>
      </c>
      <c r="R124" s="502">
        <f t="shared" si="88"/>
        <v>0</v>
      </c>
      <c r="S124" s="492">
        <v>0</v>
      </c>
      <c r="T124" s="492">
        <v>0</v>
      </c>
      <c r="U124" s="492">
        <v>0</v>
      </c>
      <c r="V124" s="492">
        <f>SUM(R124:U124)</f>
        <v>0</v>
      </c>
      <c r="W124" s="492">
        <v>0</v>
      </c>
      <c r="X124" s="492">
        <v>0</v>
      </c>
      <c r="Y124" s="492">
        <v>0</v>
      </c>
      <c r="Z124" s="492">
        <f t="shared" si="91"/>
        <v>0</v>
      </c>
      <c r="AA124" s="492">
        <f t="shared" si="92"/>
        <v>0</v>
      </c>
      <c r="AB124" s="74">
        <f t="shared" si="93"/>
        <v>0</v>
      </c>
      <c r="AC124" s="74">
        <f t="shared" si="94"/>
        <v>0</v>
      </c>
      <c r="AD124" s="492">
        <v>0</v>
      </c>
      <c r="AE124" s="492">
        <v>0</v>
      </c>
      <c r="AF124" s="492">
        <f>SUM(AD124:AE124)</f>
        <v>0</v>
      </c>
      <c r="AG124" s="492">
        <f>AA124+AB124+AC124+AF124</f>
        <v>0</v>
      </c>
      <c r="AH124" s="493">
        <v>0</v>
      </c>
      <c r="AI124" s="493">
        <v>0</v>
      </c>
      <c r="AJ124" s="493">
        <v>0</v>
      </c>
      <c r="AK124" s="493">
        <v>0</v>
      </c>
      <c r="AL124" s="493">
        <v>0</v>
      </c>
      <c r="AM124" s="493">
        <v>0</v>
      </c>
      <c r="AN124" s="493">
        <v>0</v>
      </c>
      <c r="AO124" s="493">
        <f t="shared" si="89"/>
        <v>0</v>
      </c>
      <c r="AP124" s="493">
        <f t="shared" si="90"/>
        <v>0</v>
      </c>
      <c r="AQ124" s="495">
        <f t="shared" si="95"/>
        <v>0</v>
      </c>
      <c r="AR124" s="501">
        <f>I124+AG124</f>
        <v>985813</v>
      </c>
      <c r="AS124" s="492">
        <f>J124+V124</f>
        <v>722300</v>
      </c>
      <c r="AT124" s="492">
        <f t="shared" si="152"/>
        <v>0</v>
      </c>
      <c r="AU124" s="492">
        <f t="shared" si="153"/>
        <v>244137</v>
      </c>
      <c r="AV124" s="492">
        <f t="shared" si="153"/>
        <v>14446</v>
      </c>
      <c r="AW124" s="492">
        <f>N124+AF124</f>
        <v>4930</v>
      </c>
      <c r="AX124" s="493">
        <f>O124+AQ124</f>
        <v>2.27</v>
      </c>
      <c r="AY124" s="493">
        <f t="shared" si="154"/>
        <v>0</v>
      </c>
      <c r="AZ124" s="495">
        <f t="shared" si="154"/>
        <v>2.27</v>
      </c>
    </row>
    <row r="125" spans="1:52" ht="14.1" customHeight="1" x14ac:dyDescent="0.2">
      <c r="A125" s="78">
        <v>30</v>
      </c>
      <c r="B125" s="75">
        <v>2435</v>
      </c>
      <c r="C125" s="76">
        <v>600079341</v>
      </c>
      <c r="D125" s="75">
        <v>72743069</v>
      </c>
      <c r="E125" s="77" t="s">
        <v>627</v>
      </c>
      <c r="F125" s="78"/>
      <c r="G125" s="77"/>
      <c r="H125" s="79"/>
      <c r="I125" s="80">
        <v>9029468</v>
      </c>
      <c r="J125" s="81">
        <v>6609512</v>
      </c>
      <c r="K125" s="81">
        <v>1622</v>
      </c>
      <c r="L125" s="81">
        <v>2234563</v>
      </c>
      <c r="M125" s="81">
        <v>132191</v>
      </c>
      <c r="N125" s="81">
        <v>51580</v>
      </c>
      <c r="O125" s="82">
        <v>15.483199999999998</v>
      </c>
      <c r="P125" s="82">
        <v>10.257999999999999</v>
      </c>
      <c r="Q125" s="452">
        <v>5.2252000000000001</v>
      </c>
      <c r="R125" s="80">
        <f t="shared" ref="R125:AZ125" si="155">SUM(R121:R124)</f>
        <v>0</v>
      </c>
      <c r="S125" s="81">
        <f t="shared" si="155"/>
        <v>0</v>
      </c>
      <c r="T125" s="81">
        <f t="shared" si="155"/>
        <v>0</v>
      </c>
      <c r="U125" s="81">
        <f t="shared" si="155"/>
        <v>0</v>
      </c>
      <c r="V125" s="81">
        <f t="shared" si="155"/>
        <v>0</v>
      </c>
      <c r="W125" s="81">
        <f t="shared" si="155"/>
        <v>0</v>
      </c>
      <c r="X125" s="81">
        <f t="shared" si="155"/>
        <v>0</v>
      </c>
      <c r="Y125" s="81">
        <f t="shared" si="155"/>
        <v>0</v>
      </c>
      <c r="Z125" s="81">
        <f t="shared" si="155"/>
        <v>0</v>
      </c>
      <c r="AA125" s="81">
        <f t="shared" si="155"/>
        <v>0</v>
      </c>
      <c r="AB125" s="81">
        <f t="shared" si="155"/>
        <v>0</v>
      </c>
      <c r="AC125" s="81">
        <f t="shared" si="155"/>
        <v>0</v>
      </c>
      <c r="AD125" s="81">
        <f t="shared" si="155"/>
        <v>0</v>
      </c>
      <c r="AE125" s="81">
        <f t="shared" si="155"/>
        <v>0</v>
      </c>
      <c r="AF125" s="81">
        <f t="shared" si="155"/>
        <v>0</v>
      </c>
      <c r="AG125" s="81">
        <f t="shared" si="155"/>
        <v>0</v>
      </c>
      <c r="AH125" s="82">
        <f t="shared" si="155"/>
        <v>0</v>
      </c>
      <c r="AI125" s="82">
        <f t="shared" si="155"/>
        <v>0</v>
      </c>
      <c r="AJ125" s="82">
        <f t="shared" si="155"/>
        <v>0</v>
      </c>
      <c r="AK125" s="82">
        <f t="shared" ref="AK125:AL125" si="156">SUM(AK121:AK124)</f>
        <v>0</v>
      </c>
      <c r="AL125" s="82">
        <f t="shared" si="156"/>
        <v>0</v>
      </c>
      <c r="AM125" s="82">
        <f t="shared" si="155"/>
        <v>0</v>
      </c>
      <c r="AN125" s="82">
        <f t="shared" si="155"/>
        <v>0</v>
      </c>
      <c r="AO125" s="82">
        <f t="shared" si="155"/>
        <v>0</v>
      </c>
      <c r="AP125" s="82">
        <f t="shared" si="155"/>
        <v>0</v>
      </c>
      <c r="AQ125" s="83">
        <f t="shared" si="155"/>
        <v>0</v>
      </c>
      <c r="AR125" s="438">
        <f t="shared" si="155"/>
        <v>9029468</v>
      </c>
      <c r="AS125" s="81">
        <f t="shared" si="155"/>
        <v>6609512</v>
      </c>
      <c r="AT125" s="81">
        <f t="shared" si="155"/>
        <v>1622</v>
      </c>
      <c r="AU125" s="81">
        <f t="shared" si="155"/>
        <v>2234563</v>
      </c>
      <c r="AV125" s="81">
        <f t="shared" si="155"/>
        <v>132191</v>
      </c>
      <c r="AW125" s="81">
        <f t="shared" si="155"/>
        <v>51580</v>
      </c>
      <c r="AX125" s="82">
        <f t="shared" si="155"/>
        <v>15.483199999999998</v>
      </c>
      <c r="AY125" s="82">
        <f t="shared" si="155"/>
        <v>10.257999999999999</v>
      </c>
      <c r="AZ125" s="83">
        <f t="shared" si="155"/>
        <v>5.2252000000000001</v>
      </c>
    </row>
    <row r="126" spans="1:52" ht="14.1" customHeight="1" x14ac:dyDescent="0.2">
      <c r="A126" s="72">
        <v>31</v>
      </c>
      <c r="B126" s="69">
        <v>2474</v>
      </c>
      <c r="C126" s="70">
        <v>600080307</v>
      </c>
      <c r="D126" s="69">
        <v>65635612</v>
      </c>
      <c r="E126" s="71" t="s">
        <v>628</v>
      </c>
      <c r="F126" s="72">
        <v>3111</v>
      </c>
      <c r="G126" s="71" t="s">
        <v>312</v>
      </c>
      <c r="H126" s="73" t="s">
        <v>278</v>
      </c>
      <c r="I126" s="494">
        <v>3577535</v>
      </c>
      <c r="J126" s="489">
        <v>2612700</v>
      </c>
      <c r="K126" s="489">
        <v>4550</v>
      </c>
      <c r="L126" s="489">
        <v>884631</v>
      </c>
      <c r="M126" s="489">
        <v>52254</v>
      </c>
      <c r="N126" s="489">
        <v>23400</v>
      </c>
      <c r="O126" s="490">
        <v>5.2317999999999998</v>
      </c>
      <c r="P126" s="490">
        <v>4.2300000000000004</v>
      </c>
      <c r="Q126" s="500">
        <v>1.0018</v>
      </c>
      <c r="R126" s="502">
        <f t="shared" si="88"/>
        <v>0</v>
      </c>
      <c r="S126" s="492">
        <v>0</v>
      </c>
      <c r="T126" s="492">
        <v>0</v>
      </c>
      <c r="U126" s="492">
        <v>0</v>
      </c>
      <c r="V126" s="492">
        <f t="shared" ref="V126:V131" si="157">SUM(R126:U126)</f>
        <v>0</v>
      </c>
      <c r="W126" s="492">
        <v>0</v>
      </c>
      <c r="X126" s="492">
        <v>0</v>
      </c>
      <c r="Y126" s="492">
        <v>0</v>
      </c>
      <c r="Z126" s="492">
        <f t="shared" si="91"/>
        <v>0</v>
      </c>
      <c r="AA126" s="492">
        <f t="shared" si="92"/>
        <v>0</v>
      </c>
      <c r="AB126" s="74">
        <f t="shared" si="93"/>
        <v>0</v>
      </c>
      <c r="AC126" s="74">
        <f t="shared" si="94"/>
        <v>0</v>
      </c>
      <c r="AD126" s="492">
        <v>0</v>
      </c>
      <c r="AE126" s="492">
        <v>0</v>
      </c>
      <c r="AF126" s="492">
        <f t="shared" ref="AF126:AF131" si="158">SUM(AD126:AE126)</f>
        <v>0</v>
      </c>
      <c r="AG126" s="492">
        <f t="shared" ref="AG126:AG131" si="159">AA126+AB126+AC126+AF126</f>
        <v>0</v>
      </c>
      <c r="AH126" s="493">
        <v>0</v>
      </c>
      <c r="AI126" s="493">
        <v>0</v>
      </c>
      <c r="AJ126" s="493">
        <v>0</v>
      </c>
      <c r="AK126" s="493">
        <v>0</v>
      </c>
      <c r="AL126" s="493">
        <v>0</v>
      </c>
      <c r="AM126" s="493">
        <v>0</v>
      </c>
      <c r="AN126" s="493">
        <v>0</v>
      </c>
      <c r="AO126" s="493">
        <f t="shared" si="89"/>
        <v>0</v>
      </c>
      <c r="AP126" s="493">
        <f t="shared" si="90"/>
        <v>0</v>
      </c>
      <c r="AQ126" s="495">
        <f t="shared" si="95"/>
        <v>0</v>
      </c>
      <c r="AR126" s="501">
        <f t="shared" ref="AR126:AR131" si="160">I126+AG126</f>
        <v>3577535</v>
      </c>
      <c r="AS126" s="492">
        <f t="shared" ref="AS126:AS131" si="161">J126+V126</f>
        <v>2612700</v>
      </c>
      <c r="AT126" s="492">
        <f t="shared" ref="AT126:AT131" si="162">K126+Z126</f>
        <v>4550</v>
      </c>
      <c r="AU126" s="492">
        <f t="shared" ref="AU126:AV131" si="163">L126+AB126</f>
        <v>884631</v>
      </c>
      <c r="AV126" s="492">
        <f t="shared" si="163"/>
        <v>52254</v>
      </c>
      <c r="AW126" s="492">
        <f t="shared" ref="AW126:AW131" si="164">N126+AF126</f>
        <v>23400</v>
      </c>
      <c r="AX126" s="493">
        <f t="shared" ref="AX126:AX131" si="165">O126+AQ126</f>
        <v>5.2317999999999998</v>
      </c>
      <c r="AY126" s="493">
        <f t="shared" ref="AY126:AZ131" si="166">P126+AO126</f>
        <v>4.2300000000000004</v>
      </c>
      <c r="AZ126" s="495">
        <f t="shared" si="166"/>
        <v>1.0018</v>
      </c>
    </row>
    <row r="127" spans="1:52" ht="14.1" customHeight="1" x14ac:dyDescent="0.2">
      <c r="A127" s="72">
        <v>31</v>
      </c>
      <c r="B127" s="69">
        <v>2474</v>
      </c>
      <c r="C127" s="70">
        <v>600080307</v>
      </c>
      <c r="D127" s="69">
        <v>65635612</v>
      </c>
      <c r="E127" s="71" t="s">
        <v>628</v>
      </c>
      <c r="F127" s="72">
        <v>3113</v>
      </c>
      <c r="G127" s="71" t="s">
        <v>315</v>
      </c>
      <c r="H127" s="73" t="s">
        <v>278</v>
      </c>
      <c r="I127" s="494">
        <v>28467552</v>
      </c>
      <c r="J127" s="489">
        <v>20442501</v>
      </c>
      <c r="K127" s="489">
        <v>52000</v>
      </c>
      <c r="L127" s="489">
        <v>6927141</v>
      </c>
      <c r="M127" s="489">
        <v>408850</v>
      </c>
      <c r="N127" s="489">
        <v>637060</v>
      </c>
      <c r="O127" s="490">
        <v>36.161299999999997</v>
      </c>
      <c r="P127" s="490">
        <v>27.657</v>
      </c>
      <c r="Q127" s="500">
        <v>8.5042999999999989</v>
      </c>
      <c r="R127" s="502">
        <f t="shared" si="88"/>
        <v>0</v>
      </c>
      <c r="S127" s="492">
        <v>0</v>
      </c>
      <c r="T127" s="492">
        <v>0</v>
      </c>
      <c r="U127" s="492">
        <v>0</v>
      </c>
      <c r="V127" s="492">
        <f t="shared" si="157"/>
        <v>0</v>
      </c>
      <c r="W127" s="492">
        <v>0</v>
      </c>
      <c r="X127" s="492">
        <v>0</v>
      </c>
      <c r="Y127" s="492">
        <v>0</v>
      </c>
      <c r="Z127" s="492">
        <f t="shared" si="91"/>
        <v>0</v>
      </c>
      <c r="AA127" s="492">
        <f t="shared" si="92"/>
        <v>0</v>
      </c>
      <c r="AB127" s="74">
        <f t="shared" si="93"/>
        <v>0</v>
      </c>
      <c r="AC127" s="74">
        <f t="shared" si="94"/>
        <v>0</v>
      </c>
      <c r="AD127" s="492">
        <v>0</v>
      </c>
      <c r="AE127" s="492">
        <v>0</v>
      </c>
      <c r="AF127" s="492">
        <f t="shared" si="158"/>
        <v>0</v>
      </c>
      <c r="AG127" s="492">
        <f t="shared" si="159"/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 t="shared" si="89"/>
        <v>0</v>
      </c>
      <c r="AP127" s="493">
        <f t="shared" si="90"/>
        <v>0</v>
      </c>
      <c r="AQ127" s="495">
        <f t="shared" si="95"/>
        <v>0</v>
      </c>
      <c r="AR127" s="501">
        <f t="shared" si="160"/>
        <v>28467552</v>
      </c>
      <c r="AS127" s="492">
        <f t="shared" si="161"/>
        <v>20442501</v>
      </c>
      <c r="AT127" s="492">
        <f t="shared" si="162"/>
        <v>52000</v>
      </c>
      <c r="AU127" s="492">
        <f t="shared" si="163"/>
        <v>6927141</v>
      </c>
      <c r="AV127" s="492">
        <f t="shared" si="163"/>
        <v>408850</v>
      </c>
      <c r="AW127" s="492">
        <f t="shared" si="164"/>
        <v>637060</v>
      </c>
      <c r="AX127" s="493">
        <f t="shared" si="165"/>
        <v>36.161299999999997</v>
      </c>
      <c r="AY127" s="493">
        <f t="shared" si="166"/>
        <v>27.657</v>
      </c>
      <c r="AZ127" s="495">
        <f t="shared" si="166"/>
        <v>8.5042999999999989</v>
      </c>
    </row>
    <row r="128" spans="1:52" ht="14.1" customHeight="1" x14ac:dyDescent="0.2">
      <c r="A128" s="72">
        <v>31</v>
      </c>
      <c r="B128" s="69">
        <v>2474</v>
      </c>
      <c r="C128" s="70">
        <v>600080307</v>
      </c>
      <c r="D128" s="69">
        <v>65635612</v>
      </c>
      <c r="E128" s="71" t="s">
        <v>628</v>
      </c>
      <c r="F128" s="72">
        <v>3113</v>
      </c>
      <c r="G128" s="84" t="s">
        <v>313</v>
      </c>
      <c r="H128" s="73" t="s">
        <v>279</v>
      </c>
      <c r="I128" s="494">
        <v>1930128</v>
      </c>
      <c r="J128" s="489">
        <v>1419461</v>
      </c>
      <c r="K128" s="489">
        <v>0</v>
      </c>
      <c r="L128" s="489">
        <v>479778</v>
      </c>
      <c r="M128" s="489">
        <v>28389</v>
      </c>
      <c r="N128" s="489">
        <v>2500</v>
      </c>
      <c r="O128" s="490">
        <v>4.0999999999999996</v>
      </c>
      <c r="P128" s="491">
        <v>4.0999999999999996</v>
      </c>
      <c r="Q128" s="500">
        <v>0</v>
      </c>
      <c r="R128" s="502">
        <f t="shared" si="88"/>
        <v>0</v>
      </c>
      <c r="S128" s="492">
        <v>0</v>
      </c>
      <c r="T128" s="492">
        <v>0</v>
      </c>
      <c r="U128" s="492">
        <v>0</v>
      </c>
      <c r="V128" s="492">
        <f t="shared" si="157"/>
        <v>0</v>
      </c>
      <c r="W128" s="492">
        <v>0</v>
      </c>
      <c r="X128" s="492">
        <v>0</v>
      </c>
      <c r="Y128" s="492">
        <v>0</v>
      </c>
      <c r="Z128" s="492">
        <f t="shared" si="91"/>
        <v>0</v>
      </c>
      <c r="AA128" s="492">
        <f t="shared" si="92"/>
        <v>0</v>
      </c>
      <c r="AB128" s="74">
        <f t="shared" si="93"/>
        <v>0</v>
      </c>
      <c r="AC128" s="74">
        <f t="shared" si="94"/>
        <v>0</v>
      </c>
      <c r="AD128" s="492">
        <v>0</v>
      </c>
      <c r="AE128" s="492">
        <v>0</v>
      </c>
      <c r="AF128" s="492">
        <f t="shared" si="158"/>
        <v>0</v>
      </c>
      <c r="AG128" s="492">
        <f t="shared" si="159"/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 t="shared" si="89"/>
        <v>0</v>
      </c>
      <c r="AP128" s="493">
        <f t="shared" si="90"/>
        <v>0</v>
      </c>
      <c r="AQ128" s="495">
        <f t="shared" si="95"/>
        <v>0</v>
      </c>
      <c r="AR128" s="501">
        <f t="shared" si="160"/>
        <v>1930128</v>
      </c>
      <c r="AS128" s="492">
        <f t="shared" si="161"/>
        <v>1419461</v>
      </c>
      <c r="AT128" s="492">
        <f t="shared" si="162"/>
        <v>0</v>
      </c>
      <c r="AU128" s="492">
        <f t="shared" si="163"/>
        <v>479778</v>
      </c>
      <c r="AV128" s="492">
        <f t="shared" si="163"/>
        <v>28389</v>
      </c>
      <c r="AW128" s="492">
        <f t="shared" si="164"/>
        <v>2500</v>
      </c>
      <c r="AX128" s="493">
        <f t="shared" si="165"/>
        <v>4.0999999999999996</v>
      </c>
      <c r="AY128" s="493">
        <f t="shared" si="166"/>
        <v>4.0999999999999996</v>
      </c>
      <c r="AZ128" s="495">
        <f t="shared" si="166"/>
        <v>0</v>
      </c>
    </row>
    <row r="129" spans="1:52" ht="14.1" customHeight="1" x14ac:dyDescent="0.2">
      <c r="A129" s="72">
        <v>31</v>
      </c>
      <c r="B129" s="69">
        <v>2474</v>
      </c>
      <c r="C129" s="70">
        <v>600080307</v>
      </c>
      <c r="D129" s="69">
        <v>65635612</v>
      </c>
      <c r="E129" s="71" t="s">
        <v>628</v>
      </c>
      <c r="F129" s="72">
        <v>3141</v>
      </c>
      <c r="G129" s="71" t="s">
        <v>316</v>
      </c>
      <c r="H129" s="73" t="s">
        <v>279</v>
      </c>
      <c r="I129" s="494">
        <v>283314</v>
      </c>
      <c r="J129" s="489">
        <v>207171</v>
      </c>
      <c r="K129" s="489">
        <v>0</v>
      </c>
      <c r="L129" s="489">
        <v>70024</v>
      </c>
      <c r="M129" s="489">
        <v>4143</v>
      </c>
      <c r="N129" s="489">
        <v>1976</v>
      </c>
      <c r="O129" s="490">
        <v>0.65</v>
      </c>
      <c r="P129" s="491">
        <v>0</v>
      </c>
      <c r="Q129" s="500">
        <v>0.65</v>
      </c>
      <c r="R129" s="502">
        <f t="shared" si="88"/>
        <v>0</v>
      </c>
      <c r="S129" s="492">
        <v>0</v>
      </c>
      <c r="T129" s="492">
        <v>0</v>
      </c>
      <c r="U129" s="492">
        <v>0</v>
      </c>
      <c r="V129" s="492">
        <f t="shared" si="157"/>
        <v>0</v>
      </c>
      <c r="W129" s="492">
        <v>0</v>
      </c>
      <c r="X129" s="492">
        <v>0</v>
      </c>
      <c r="Y129" s="492">
        <v>0</v>
      </c>
      <c r="Z129" s="492">
        <f t="shared" si="91"/>
        <v>0</v>
      </c>
      <c r="AA129" s="492">
        <f t="shared" si="92"/>
        <v>0</v>
      </c>
      <c r="AB129" s="74">
        <f t="shared" si="93"/>
        <v>0</v>
      </c>
      <c r="AC129" s="74">
        <f t="shared" si="94"/>
        <v>0</v>
      </c>
      <c r="AD129" s="492">
        <v>0</v>
      </c>
      <c r="AE129" s="492">
        <v>0</v>
      </c>
      <c r="AF129" s="492">
        <f t="shared" si="158"/>
        <v>0</v>
      </c>
      <c r="AG129" s="492">
        <f t="shared" si="159"/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 t="shared" si="89"/>
        <v>0</v>
      </c>
      <c r="AP129" s="493">
        <f t="shared" si="90"/>
        <v>0</v>
      </c>
      <c r="AQ129" s="495">
        <f t="shared" si="95"/>
        <v>0</v>
      </c>
      <c r="AR129" s="501">
        <f t="shared" si="160"/>
        <v>283314</v>
      </c>
      <c r="AS129" s="492">
        <f t="shared" si="161"/>
        <v>207171</v>
      </c>
      <c r="AT129" s="492">
        <f t="shared" si="162"/>
        <v>0</v>
      </c>
      <c r="AU129" s="492">
        <f t="shared" si="163"/>
        <v>70024</v>
      </c>
      <c r="AV129" s="492">
        <f t="shared" si="163"/>
        <v>4143</v>
      </c>
      <c r="AW129" s="492">
        <f t="shared" si="164"/>
        <v>1976</v>
      </c>
      <c r="AX129" s="493">
        <f t="shared" si="165"/>
        <v>0.65</v>
      </c>
      <c r="AY129" s="493">
        <f t="shared" si="166"/>
        <v>0</v>
      </c>
      <c r="AZ129" s="495">
        <f t="shared" si="166"/>
        <v>0.65</v>
      </c>
    </row>
    <row r="130" spans="1:52" ht="14.1" customHeight="1" x14ac:dyDescent="0.2">
      <c r="A130" s="72">
        <v>31</v>
      </c>
      <c r="B130" s="69">
        <v>2474</v>
      </c>
      <c r="C130" s="70">
        <v>600080307</v>
      </c>
      <c r="D130" s="69">
        <v>65635612</v>
      </c>
      <c r="E130" s="71" t="s">
        <v>628</v>
      </c>
      <c r="F130" s="72">
        <v>3143</v>
      </c>
      <c r="G130" s="84" t="s">
        <v>629</v>
      </c>
      <c r="H130" s="73" t="s">
        <v>278</v>
      </c>
      <c r="I130" s="494">
        <v>2275770</v>
      </c>
      <c r="J130" s="489">
        <v>1673263</v>
      </c>
      <c r="K130" s="489">
        <v>2600</v>
      </c>
      <c r="L130" s="489">
        <v>566442</v>
      </c>
      <c r="M130" s="489">
        <v>33465</v>
      </c>
      <c r="N130" s="489">
        <v>0</v>
      </c>
      <c r="O130" s="490">
        <v>3.544</v>
      </c>
      <c r="P130" s="490">
        <v>3.544</v>
      </c>
      <c r="Q130" s="500">
        <v>0</v>
      </c>
      <c r="R130" s="502">
        <f t="shared" si="88"/>
        <v>0</v>
      </c>
      <c r="S130" s="492">
        <v>0</v>
      </c>
      <c r="T130" s="492">
        <v>0</v>
      </c>
      <c r="U130" s="492">
        <v>0</v>
      </c>
      <c r="V130" s="492">
        <f t="shared" si="157"/>
        <v>0</v>
      </c>
      <c r="W130" s="492">
        <v>0</v>
      </c>
      <c r="X130" s="492">
        <v>0</v>
      </c>
      <c r="Y130" s="492">
        <v>0</v>
      </c>
      <c r="Z130" s="492">
        <f t="shared" si="91"/>
        <v>0</v>
      </c>
      <c r="AA130" s="492">
        <f t="shared" si="92"/>
        <v>0</v>
      </c>
      <c r="AB130" s="74">
        <f t="shared" si="93"/>
        <v>0</v>
      </c>
      <c r="AC130" s="74">
        <f t="shared" si="94"/>
        <v>0</v>
      </c>
      <c r="AD130" s="492">
        <v>0</v>
      </c>
      <c r="AE130" s="492">
        <v>0</v>
      </c>
      <c r="AF130" s="492">
        <f t="shared" si="158"/>
        <v>0</v>
      </c>
      <c r="AG130" s="492">
        <f t="shared" si="159"/>
        <v>0</v>
      </c>
      <c r="AH130" s="493">
        <v>0</v>
      </c>
      <c r="AI130" s="493">
        <v>0</v>
      </c>
      <c r="AJ130" s="493">
        <v>0</v>
      </c>
      <c r="AK130" s="493">
        <v>0</v>
      </c>
      <c r="AL130" s="493">
        <v>0</v>
      </c>
      <c r="AM130" s="493">
        <v>0</v>
      </c>
      <c r="AN130" s="493">
        <v>0</v>
      </c>
      <c r="AO130" s="493">
        <f t="shared" si="89"/>
        <v>0</v>
      </c>
      <c r="AP130" s="493">
        <f t="shared" si="90"/>
        <v>0</v>
      </c>
      <c r="AQ130" s="495">
        <f t="shared" si="95"/>
        <v>0</v>
      </c>
      <c r="AR130" s="501">
        <f t="shared" si="160"/>
        <v>2275770</v>
      </c>
      <c r="AS130" s="492">
        <f t="shared" si="161"/>
        <v>1673263</v>
      </c>
      <c r="AT130" s="492">
        <f t="shared" si="162"/>
        <v>2600</v>
      </c>
      <c r="AU130" s="492">
        <f t="shared" si="163"/>
        <v>566442</v>
      </c>
      <c r="AV130" s="492">
        <f t="shared" si="163"/>
        <v>33465</v>
      </c>
      <c r="AW130" s="492">
        <f t="shared" si="164"/>
        <v>0</v>
      </c>
      <c r="AX130" s="493">
        <f t="shared" si="165"/>
        <v>3.544</v>
      </c>
      <c r="AY130" s="493">
        <f t="shared" si="166"/>
        <v>3.544</v>
      </c>
      <c r="AZ130" s="495">
        <f t="shared" si="166"/>
        <v>0</v>
      </c>
    </row>
    <row r="131" spans="1:52" ht="14.1" customHeight="1" x14ac:dyDescent="0.2">
      <c r="A131" s="72">
        <v>31</v>
      </c>
      <c r="B131" s="69">
        <v>2474</v>
      </c>
      <c r="C131" s="70">
        <v>600080307</v>
      </c>
      <c r="D131" s="69">
        <v>65635612</v>
      </c>
      <c r="E131" s="71" t="s">
        <v>628</v>
      </c>
      <c r="F131" s="72">
        <v>3143</v>
      </c>
      <c r="G131" s="84" t="s">
        <v>630</v>
      </c>
      <c r="H131" s="73" t="s">
        <v>279</v>
      </c>
      <c r="I131" s="494">
        <v>86927</v>
      </c>
      <c r="J131" s="489">
        <v>60830</v>
      </c>
      <c r="K131" s="489">
        <v>650</v>
      </c>
      <c r="L131" s="489">
        <v>20780</v>
      </c>
      <c r="M131" s="489">
        <v>1217</v>
      </c>
      <c r="N131" s="489">
        <v>3450</v>
      </c>
      <c r="O131" s="490">
        <v>0.24</v>
      </c>
      <c r="P131" s="491">
        <v>0</v>
      </c>
      <c r="Q131" s="500">
        <v>0.24</v>
      </c>
      <c r="R131" s="502">
        <f t="shared" si="88"/>
        <v>0</v>
      </c>
      <c r="S131" s="492">
        <v>0</v>
      </c>
      <c r="T131" s="492">
        <v>0</v>
      </c>
      <c r="U131" s="492">
        <v>0</v>
      </c>
      <c r="V131" s="492">
        <f t="shared" si="157"/>
        <v>0</v>
      </c>
      <c r="W131" s="492">
        <v>0</v>
      </c>
      <c r="X131" s="492">
        <v>0</v>
      </c>
      <c r="Y131" s="492">
        <v>0</v>
      </c>
      <c r="Z131" s="492">
        <f t="shared" si="91"/>
        <v>0</v>
      </c>
      <c r="AA131" s="492">
        <f t="shared" si="92"/>
        <v>0</v>
      </c>
      <c r="AB131" s="74">
        <f t="shared" si="93"/>
        <v>0</v>
      </c>
      <c r="AC131" s="74">
        <f t="shared" si="94"/>
        <v>0</v>
      </c>
      <c r="AD131" s="492">
        <v>0</v>
      </c>
      <c r="AE131" s="492">
        <v>0</v>
      </c>
      <c r="AF131" s="492">
        <f t="shared" si="158"/>
        <v>0</v>
      </c>
      <c r="AG131" s="492">
        <f t="shared" si="159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 t="shared" si="89"/>
        <v>0</v>
      </c>
      <c r="AP131" s="493">
        <f t="shared" si="90"/>
        <v>0</v>
      </c>
      <c r="AQ131" s="495">
        <f t="shared" si="95"/>
        <v>0</v>
      </c>
      <c r="AR131" s="501">
        <f t="shared" si="160"/>
        <v>86927</v>
      </c>
      <c r="AS131" s="492">
        <f t="shared" si="161"/>
        <v>60830</v>
      </c>
      <c r="AT131" s="492">
        <f t="shared" si="162"/>
        <v>650</v>
      </c>
      <c r="AU131" s="492">
        <f t="shared" si="163"/>
        <v>20780</v>
      </c>
      <c r="AV131" s="492">
        <f t="shared" si="163"/>
        <v>1217</v>
      </c>
      <c r="AW131" s="492">
        <f t="shared" si="164"/>
        <v>3450</v>
      </c>
      <c r="AX131" s="493">
        <f t="shared" si="165"/>
        <v>0.24</v>
      </c>
      <c r="AY131" s="493">
        <f t="shared" si="166"/>
        <v>0</v>
      </c>
      <c r="AZ131" s="495">
        <f t="shared" si="166"/>
        <v>0.24</v>
      </c>
    </row>
    <row r="132" spans="1:52" ht="14.1" customHeight="1" x14ac:dyDescent="0.2">
      <c r="A132" s="78">
        <v>31</v>
      </c>
      <c r="B132" s="75">
        <v>2474</v>
      </c>
      <c r="C132" s="76">
        <v>600080307</v>
      </c>
      <c r="D132" s="75">
        <v>65635612</v>
      </c>
      <c r="E132" s="77" t="s">
        <v>631</v>
      </c>
      <c r="F132" s="78"/>
      <c r="G132" s="77"/>
      <c r="H132" s="79"/>
      <c r="I132" s="80">
        <v>36621226</v>
      </c>
      <c r="J132" s="81">
        <v>26415926</v>
      </c>
      <c r="K132" s="81">
        <v>59800</v>
      </c>
      <c r="L132" s="81">
        <v>8948796</v>
      </c>
      <c r="M132" s="81">
        <v>528318</v>
      </c>
      <c r="N132" s="81">
        <v>668386</v>
      </c>
      <c r="O132" s="82">
        <v>49.927099999999996</v>
      </c>
      <c r="P132" s="82">
        <v>39.530999999999999</v>
      </c>
      <c r="Q132" s="452">
        <v>10.396099999999999</v>
      </c>
      <c r="R132" s="80">
        <f t="shared" ref="R132:AZ132" si="167">SUM(R126:R131)</f>
        <v>0</v>
      </c>
      <c r="S132" s="81">
        <f t="shared" si="167"/>
        <v>0</v>
      </c>
      <c r="T132" s="81">
        <f t="shared" si="167"/>
        <v>0</v>
      </c>
      <c r="U132" s="81">
        <f t="shared" si="167"/>
        <v>0</v>
      </c>
      <c r="V132" s="81">
        <f t="shared" si="167"/>
        <v>0</v>
      </c>
      <c r="W132" s="81">
        <f t="shared" si="167"/>
        <v>0</v>
      </c>
      <c r="X132" s="81">
        <f t="shared" si="167"/>
        <v>0</v>
      </c>
      <c r="Y132" s="81">
        <f t="shared" si="167"/>
        <v>0</v>
      </c>
      <c r="Z132" s="81">
        <f t="shared" si="167"/>
        <v>0</v>
      </c>
      <c r="AA132" s="81">
        <f t="shared" si="167"/>
        <v>0</v>
      </c>
      <c r="AB132" s="81">
        <f t="shared" si="167"/>
        <v>0</v>
      </c>
      <c r="AC132" s="81">
        <f t="shared" si="167"/>
        <v>0</v>
      </c>
      <c r="AD132" s="81">
        <f t="shared" si="167"/>
        <v>0</v>
      </c>
      <c r="AE132" s="81">
        <f t="shared" si="167"/>
        <v>0</v>
      </c>
      <c r="AF132" s="81">
        <f t="shared" si="167"/>
        <v>0</v>
      </c>
      <c r="AG132" s="81">
        <f t="shared" si="167"/>
        <v>0</v>
      </c>
      <c r="AH132" s="82">
        <f t="shared" si="167"/>
        <v>0</v>
      </c>
      <c r="AI132" s="82">
        <f t="shared" si="167"/>
        <v>0</v>
      </c>
      <c r="AJ132" s="82">
        <f t="shared" si="167"/>
        <v>0</v>
      </c>
      <c r="AK132" s="82">
        <f t="shared" ref="AK132:AL132" si="168">SUM(AK126:AK131)</f>
        <v>0</v>
      </c>
      <c r="AL132" s="82">
        <f t="shared" si="168"/>
        <v>0</v>
      </c>
      <c r="AM132" s="82">
        <f t="shared" si="167"/>
        <v>0</v>
      </c>
      <c r="AN132" s="82">
        <f t="shared" si="167"/>
        <v>0</v>
      </c>
      <c r="AO132" s="82">
        <f t="shared" si="167"/>
        <v>0</v>
      </c>
      <c r="AP132" s="82">
        <f t="shared" si="167"/>
        <v>0</v>
      </c>
      <c r="AQ132" s="83">
        <f t="shared" si="167"/>
        <v>0</v>
      </c>
      <c r="AR132" s="438">
        <f t="shared" si="167"/>
        <v>36621226</v>
      </c>
      <c r="AS132" s="81">
        <f t="shared" si="167"/>
        <v>26415926</v>
      </c>
      <c r="AT132" s="81">
        <f t="shared" si="167"/>
        <v>59800</v>
      </c>
      <c r="AU132" s="81">
        <f t="shared" si="167"/>
        <v>8948796</v>
      </c>
      <c r="AV132" s="81">
        <f t="shared" si="167"/>
        <v>528318</v>
      </c>
      <c r="AW132" s="81">
        <f t="shared" si="167"/>
        <v>668386</v>
      </c>
      <c r="AX132" s="82">
        <f t="shared" si="167"/>
        <v>49.927099999999996</v>
      </c>
      <c r="AY132" s="82">
        <f t="shared" si="167"/>
        <v>39.530999999999999</v>
      </c>
      <c r="AZ132" s="83">
        <f t="shared" si="167"/>
        <v>10.396099999999999</v>
      </c>
    </row>
    <row r="133" spans="1:52" ht="14.1" customHeight="1" x14ac:dyDescent="0.2">
      <c r="A133" s="72">
        <v>32</v>
      </c>
      <c r="B133" s="69">
        <v>2312</v>
      </c>
      <c r="C133" s="70">
        <v>600079899</v>
      </c>
      <c r="D133" s="69">
        <v>65642350</v>
      </c>
      <c r="E133" s="71" t="s">
        <v>632</v>
      </c>
      <c r="F133" s="72">
        <v>3113</v>
      </c>
      <c r="G133" s="71" t="s">
        <v>315</v>
      </c>
      <c r="H133" s="73" t="s">
        <v>278</v>
      </c>
      <c r="I133" s="494">
        <v>32190215</v>
      </c>
      <c r="J133" s="489">
        <v>23057969</v>
      </c>
      <c r="K133" s="489">
        <v>123500</v>
      </c>
      <c r="L133" s="489">
        <v>7835337</v>
      </c>
      <c r="M133" s="489">
        <v>461159</v>
      </c>
      <c r="N133" s="489">
        <v>712250</v>
      </c>
      <c r="O133" s="490">
        <v>39.9238</v>
      </c>
      <c r="P133" s="490">
        <v>31.414400000000001</v>
      </c>
      <c r="Q133" s="500">
        <v>8.5093999999999994</v>
      </c>
      <c r="R133" s="502">
        <f t="shared" si="88"/>
        <v>0</v>
      </c>
      <c r="S133" s="492">
        <v>0</v>
      </c>
      <c r="T133" s="492">
        <v>0</v>
      </c>
      <c r="U133" s="492">
        <v>0</v>
      </c>
      <c r="V133" s="492">
        <f t="shared" ref="V133:V138" si="169">SUM(R133:U133)</f>
        <v>0</v>
      </c>
      <c r="W133" s="492">
        <v>0</v>
      </c>
      <c r="X133" s="492">
        <v>0</v>
      </c>
      <c r="Y133" s="492">
        <v>0</v>
      </c>
      <c r="Z133" s="492">
        <f t="shared" si="91"/>
        <v>0</v>
      </c>
      <c r="AA133" s="492">
        <f t="shared" si="92"/>
        <v>0</v>
      </c>
      <c r="AB133" s="74">
        <f t="shared" si="93"/>
        <v>0</v>
      </c>
      <c r="AC133" s="74">
        <f t="shared" si="94"/>
        <v>0</v>
      </c>
      <c r="AD133" s="492">
        <v>0</v>
      </c>
      <c r="AE133" s="492">
        <v>0</v>
      </c>
      <c r="AF133" s="492">
        <f t="shared" ref="AF133:AF138" si="170">SUM(AD133:AE133)</f>
        <v>0</v>
      </c>
      <c r="AG133" s="492">
        <f t="shared" ref="AG133:AG138" si="171">AA133+AB133+AC133+AF133</f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 t="shared" si="89"/>
        <v>0</v>
      </c>
      <c r="AP133" s="493">
        <f t="shared" si="90"/>
        <v>0</v>
      </c>
      <c r="AQ133" s="495">
        <f t="shared" si="95"/>
        <v>0</v>
      </c>
      <c r="AR133" s="501">
        <f t="shared" ref="AR133:AR138" si="172">I133+AG133</f>
        <v>32190215</v>
      </c>
      <c r="AS133" s="492">
        <f t="shared" ref="AS133:AS138" si="173">J133+V133</f>
        <v>23057969</v>
      </c>
      <c r="AT133" s="492">
        <f t="shared" ref="AT133:AT138" si="174">K133+Z133</f>
        <v>123500</v>
      </c>
      <c r="AU133" s="492">
        <f t="shared" ref="AU133:AV138" si="175">L133+AB133</f>
        <v>7835337</v>
      </c>
      <c r="AV133" s="492">
        <f t="shared" si="175"/>
        <v>461159</v>
      </c>
      <c r="AW133" s="492">
        <f t="shared" ref="AW133:AW138" si="176">N133+AF133</f>
        <v>712250</v>
      </c>
      <c r="AX133" s="493">
        <f t="shared" ref="AX133:AX138" si="177">O133+AQ133</f>
        <v>39.9238</v>
      </c>
      <c r="AY133" s="493">
        <f t="shared" ref="AY133:AZ138" si="178">P133+AO133</f>
        <v>31.414400000000001</v>
      </c>
      <c r="AZ133" s="495">
        <f t="shared" si="178"/>
        <v>8.5093999999999994</v>
      </c>
    </row>
    <row r="134" spans="1:52" ht="14.1" customHeight="1" x14ac:dyDescent="0.2">
      <c r="A134" s="72">
        <v>32</v>
      </c>
      <c r="B134" s="69">
        <v>2312</v>
      </c>
      <c r="C134" s="70">
        <v>600079899</v>
      </c>
      <c r="D134" s="69">
        <v>65642350</v>
      </c>
      <c r="E134" s="71" t="s">
        <v>632</v>
      </c>
      <c r="F134" s="72">
        <v>3113</v>
      </c>
      <c r="G134" s="84" t="s">
        <v>313</v>
      </c>
      <c r="H134" s="73" t="s">
        <v>279</v>
      </c>
      <c r="I134" s="494">
        <v>1696691</v>
      </c>
      <c r="J134" s="489">
        <v>1249404</v>
      </c>
      <c r="K134" s="489">
        <v>0</v>
      </c>
      <c r="L134" s="489">
        <v>422299</v>
      </c>
      <c r="M134" s="489">
        <v>24988</v>
      </c>
      <c r="N134" s="489">
        <v>0</v>
      </c>
      <c r="O134" s="490">
        <v>3.49</v>
      </c>
      <c r="P134" s="491">
        <v>3.49</v>
      </c>
      <c r="Q134" s="500">
        <v>0</v>
      </c>
      <c r="R134" s="502">
        <f t="shared" si="88"/>
        <v>0</v>
      </c>
      <c r="S134" s="492">
        <v>52056</v>
      </c>
      <c r="T134" s="492">
        <v>0</v>
      </c>
      <c r="U134" s="492">
        <v>0</v>
      </c>
      <c r="V134" s="492">
        <f t="shared" si="169"/>
        <v>52056</v>
      </c>
      <c r="W134" s="492">
        <v>0</v>
      </c>
      <c r="X134" s="492">
        <v>0</v>
      </c>
      <c r="Y134" s="492">
        <v>0</v>
      </c>
      <c r="Z134" s="492">
        <f t="shared" si="91"/>
        <v>0</v>
      </c>
      <c r="AA134" s="492">
        <f t="shared" si="92"/>
        <v>52056</v>
      </c>
      <c r="AB134" s="74">
        <f t="shared" si="93"/>
        <v>17595</v>
      </c>
      <c r="AC134" s="74">
        <f t="shared" si="94"/>
        <v>1041</v>
      </c>
      <c r="AD134" s="492">
        <v>1000</v>
      </c>
      <c r="AE134" s="492">
        <v>0</v>
      </c>
      <c r="AF134" s="492">
        <f t="shared" si="170"/>
        <v>1000</v>
      </c>
      <c r="AG134" s="492">
        <f t="shared" si="171"/>
        <v>71692</v>
      </c>
      <c r="AH134" s="493">
        <v>0</v>
      </c>
      <c r="AI134" s="493">
        <v>0</v>
      </c>
      <c r="AJ134" s="493">
        <v>0.11</v>
      </c>
      <c r="AK134" s="493">
        <v>0</v>
      </c>
      <c r="AL134" s="493">
        <v>0</v>
      </c>
      <c r="AM134" s="493">
        <v>0</v>
      </c>
      <c r="AN134" s="493">
        <v>0</v>
      </c>
      <c r="AO134" s="493">
        <f t="shared" si="89"/>
        <v>0.11</v>
      </c>
      <c r="AP134" s="493">
        <f t="shared" si="90"/>
        <v>0</v>
      </c>
      <c r="AQ134" s="495">
        <f t="shared" si="95"/>
        <v>0.11</v>
      </c>
      <c r="AR134" s="501">
        <f t="shared" si="172"/>
        <v>1768383</v>
      </c>
      <c r="AS134" s="492">
        <f t="shared" si="173"/>
        <v>1301460</v>
      </c>
      <c r="AT134" s="492">
        <f t="shared" si="174"/>
        <v>0</v>
      </c>
      <c r="AU134" s="492">
        <f t="shared" si="175"/>
        <v>439894</v>
      </c>
      <c r="AV134" s="492">
        <f t="shared" si="175"/>
        <v>26029</v>
      </c>
      <c r="AW134" s="492">
        <f t="shared" si="176"/>
        <v>1000</v>
      </c>
      <c r="AX134" s="493">
        <f t="shared" si="177"/>
        <v>3.6</v>
      </c>
      <c r="AY134" s="493">
        <f t="shared" si="178"/>
        <v>3.6</v>
      </c>
      <c r="AZ134" s="495">
        <f t="shared" si="178"/>
        <v>0</v>
      </c>
    </row>
    <row r="135" spans="1:52" ht="14.1" customHeight="1" x14ac:dyDescent="0.2">
      <c r="A135" s="72">
        <v>32</v>
      </c>
      <c r="B135" s="69">
        <v>2312</v>
      </c>
      <c r="C135" s="70">
        <v>600079899</v>
      </c>
      <c r="D135" s="69">
        <v>65642350</v>
      </c>
      <c r="E135" s="71" t="s">
        <v>632</v>
      </c>
      <c r="F135" s="72">
        <v>3141</v>
      </c>
      <c r="G135" s="71" t="s">
        <v>316</v>
      </c>
      <c r="H135" s="73" t="s">
        <v>279</v>
      </c>
      <c r="I135" s="494">
        <v>1405913</v>
      </c>
      <c r="J135" s="489">
        <v>1014700</v>
      </c>
      <c r="K135" s="489">
        <v>13000</v>
      </c>
      <c r="L135" s="489">
        <v>347363</v>
      </c>
      <c r="M135" s="489">
        <v>20294</v>
      </c>
      <c r="N135" s="489">
        <v>10556</v>
      </c>
      <c r="O135" s="490">
        <v>3.24</v>
      </c>
      <c r="P135" s="491">
        <v>0</v>
      </c>
      <c r="Q135" s="500">
        <v>3.24</v>
      </c>
      <c r="R135" s="502">
        <f t="shared" si="88"/>
        <v>0</v>
      </c>
      <c r="S135" s="492">
        <v>0</v>
      </c>
      <c r="T135" s="492">
        <v>0</v>
      </c>
      <c r="U135" s="492">
        <v>0</v>
      </c>
      <c r="V135" s="492">
        <f t="shared" si="169"/>
        <v>0</v>
      </c>
      <c r="W135" s="492">
        <v>0</v>
      </c>
      <c r="X135" s="492">
        <v>0</v>
      </c>
      <c r="Y135" s="492">
        <v>0</v>
      </c>
      <c r="Z135" s="492">
        <f t="shared" si="91"/>
        <v>0</v>
      </c>
      <c r="AA135" s="492">
        <f t="shared" si="92"/>
        <v>0</v>
      </c>
      <c r="AB135" s="74">
        <f t="shared" si="93"/>
        <v>0</v>
      </c>
      <c r="AC135" s="74">
        <f t="shared" si="94"/>
        <v>0</v>
      </c>
      <c r="AD135" s="492">
        <v>0</v>
      </c>
      <c r="AE135" s="492">
        <v>0</v>
      </c>
      <c r="AF135" s="492">
        <f t="shared" si="170"/>
        <v>0</v>
      </c>
      <c r="AG135" s="492">
        <f t="shared" si="171"/>
        <v>0</v>
      </c>
      <c r="AH135" s="493">
        <v>0</v>
      </c>
      <c r="AI135" s="493">
        <v>0</v>
      </c>
      <c r="AJ135" s="493">
        <v>0</v>
      </c>
      <c r="AK135" s="493">
        <v>0</v>
      </c>
      <c r="AL135" s="493">
        <v>0</v>
      </c>
      <c r="AM135" s="493">
        <v>0</v>
      </c>
      <c r="AN135" s="493">
        <v>0</v>
      </c>
      <c r="AO135" s="493">
        <f t="shared" si="89"/>
        <v>0</v>
      </c>
      <c r="AP135" s="493">
        <f t="shared" si="90"/>
        <v>0</v>
      </c>
      <c r="AQ135" s="495">
        <f t="shared" si="95"/>
        <v>0</v>
      </c>
      <c r="AR135" s="501">
        <f t="shared" si="172"/>
        <v>1405913</v>
      </c>
      <c r="AS135" s="492">
        <f t="shared" si="173"/>
        <v>1014700</v>
      </c>
      <c r="AT135" s="492">
        <f t="shared" si="174"/>
        <v>13000</v>
      </c>
      <c r="AU135" s="492">
        <f t="shared" si="175"/>
        <v>347363</v>
      </c>
      <c r="AV135" s="492">
        <f t="shared" si="175"/>
        <v>20294</v>
      </c>
      <c r="AW135" s="492">
        <f t="shared" si="176"/>
        <v>10556</v>
      </c>
      <c r="AX135" s="493">
        <f t="shared" si="177"/>
        <v>3.24</v>
      </c>
      <c r="AY135" s="493">
        <f t="shared" si="178"/>
        <v>0</v>
      </c>
      <c r="AZ135" s="495">
        <f t="shared" si="178"/>
        <v>3.24</v>
      </c>
    </row>
    <row r="136" spans="1:52" ht="14.1" customHeight="1" x14ac:dyDescent="0.2">
      <c r="A136" s="72">
        <v>32</v>
      </c>
      <c r="B136" s="69">
        <v>2312</v>
      </c>
      <c r="C136" s="70">
        <v>600079899</v>
      </c>
      <c r="D136" s="69">
        <v>65642350</v>
      </c>
      <c r="E136" s="71" t="s">
        <v>632</v>
      </c>
      <c r="F136" s="72">
        <v>3143</v>
      </c>
      <c r="G136" s="84" t="s">
        <v>629</v>
      </c>
      <c r="H136" s="73" t="s">
        <v>278</v>
      </c>
      <c r="I136" s="494">
        <v>3636342</v>
      </c>
      <c r="J136" s="489">
        <v>2671315</v>
      </c>
      <c r="K136" s="489">
        <v>6500</v>
      </c>
      <c r="L136" s="489">
        <v>905101</v>
      </c>
      <c r="M136" s="489">
        <v>53426</v>
      </c>
      <c r="N136" s="489">
        <v>0</v>
      </c>
      <c r="O136" s="490">
        <v>5.5</v>
      </c>
      <c r="P136" s="490">
        <v>5.5</v>
      </c>
      <c r="Q136" s="500">
        <v>0</v>
      </c>
      <c r="R136" s="502">
        <f t="shared" si="88"/>
        <v>0</v>
      </c>
      <c r="S136" s="492">
        <v>0</v>
      </c>
      <c r="T136" s="492">
        <v>0</v>
      </c>
      <c r="U136" s="492">
        <v>0</v>
      </c>
      <c r="V136" s="492">
        <f t="shared" si="169"/>
        <v>0</v>
      </c>
      <c r="W136" s="492">
        <v>0</v>
      </c>
      <c r="X136" s="492">
        <v>0</v>
      </c>
      <c r="Y136" s="492">
        <v>0</v>
      </c>
      <c r="Z136" s="492">
        <f t="shared" si="91"/>
        <v>0</v>
      </c>
      <c r="AA136" s="492">
        <f t="shared" si="92"/>
        <v>0</v>
      </c>
      <c r="AB136" s="74">
        <f t="shared" si="93"/>
        <v>0</v>
      </c>
      <c r="AC136" s="74">
        <f t="shared" si="94"/>
        <v>0</v>
      </c>
      <c r="AD136" s="492">
        <v>0</v>
      </c>
      <c r="AE136" s="492">
        <v>0</v>
      </c>
      <c r="AF136" s="492">
        <f t="shared" si="170"/>
        <v>0</v>
      </c>
      <c r="AG136" s="492">
        <f t="shared" si="171"/>
        <v>0</v>
      </c>
      <c r="AH136" s="493">
        <v>0</v>
      </c>
      <c r="AI136" s="493">
        <v>0</v>
      </c>
      <c r="AJ136" s="493">
        <v>0</v>
      </c>
      <c r="AK136" s="493">
        <v>0</v>
      </c>
      <c r="AL136" s="493">
        <v>0</v>
      </c>
      <c r="AM136" s="493">
        <v>0</v>
      </c>
      <c r="AN136" s="493">
        <v>0</v>
      </c>
      <c r="AO136" s="493">
        <f t="shared" si="89"/>
        <v>0</v>
      </c>
      <c r="AP136" s="493">
        <f t="shared" si="90"/>
        <v>0</v>
      </c>
      <c r="AQ136" s="495">
        <f t="shared" si="95"/>
        <v>0</v>
      </c>
      <c r="AR136" s="501">
        <f t="shared" si="172"/>
        <v>3636342</v>
      </c>
      <c r="AS136" s="492">
        <f t="shared" si="173"/>
        <v>2671315</v>
      </c>
      <c r="AT136" s="492">
        <f t="shared" si="174"/>
        <v>6500</v>
      </c>
      <c r="AU136" s="492">
        <f t="shared" si="175"/>
        <v>905101</v>
      </c>
      <c r="AV136" s="492">
        <f t="shared" si="175"/>
        <v>53426</v>
      </c>
      <c r="AW136" s="492">
        <f t="shared" si="176"/>
        <v>0</v>
      </c>
      <c r="AX136" s="493">
        <f t="shared" si="177"/>
        <v>5.5</v>
      </c>
      <c r="AY136" s="493">
        <f t="shared" si="178"/>
        <v>5.5</v>
      </c>
      <c r="AZ136" s="495">
        <f t="shared" si="178"/>
        <v>0</v>
      </c>
    </row>
    <row r="137" spans="1:52" ht="14.1" customHeight="1" x14ac:dyDescent="0.2">
      <c r="A137" s="72">
        <v>32</v>
      </c>
      <c r="B137" s="69">
        <v>2312</v>
      </c>
      <c r="C137" s="70">
        <v>600079899</v>
      </c>
      <c r="D137" s="69">
        <v>65642350</v>
      </c>
      <c r="E137" s="71" t="s">
        <v>632</v>
      </c>
      <c r="F137" s="72">
        <v>3143</v>
      </c>
      <c r="G137" s="84" t="s">
        <v>630</v>
      </c>
      <c r="H137" s="73" t="s">
        <v>279</v>
      </c>
      <c r="I137" s="494">
        <v>114782</v>
      </c>
      <c r="J137" s="489">
        <v>74761</v>
      </c>
      <c r="K137" s="489">
        <v>6500</v>
      </c>
      <c r="L137" s="489">
        <v>27466</v>
      </c>
      <c r="M137" s="489">
        <v>1495</v>
      </c>
      <c r="N137" s="489">
        <v>4560</v>
      </c>
      <c r="O137" s="490">
        <v>0.32</v>
      </c>
      <c r="P137" s="491">
        <v>0</v>
      </c>
      <c r="Q137" s="500">
        <v>0.32</v>
      </c>
      <c r="R137" s="502">
        <f t="shared" si="88"/>
        <v>0</v>
      </c>
      <c r="S137" s="492">
        <v>0</v>
      </c>
      <c r="T137" s="492">
        <v>0</v>
      </c>
      <c r="U137" s="492">
        <v>0</v>
      </c>
      <c r="V137" s="492">
        <f t="shared" si="169"/>
        <v>0</v>
      </c>
      <c r="W137" s="492">
        <v>0</v>
      </c>
      <c r="X137" s="492">
        <v>0</v>
      </c>
      <c r="Y137" s="492">
        <v>0</v>
      </c>
      <c r="Z137" s="492">
        <f t="shared" si="91"/>
        <v>0</v>
      </c>
      <c r="AA137" s="492">
        <f t="shared" si="92"/>
        <v>0</v>
      </c>
      <c r="AB137" s="74">
        <f t="shared" si="93"/>
        <v>0</v>
      </c>
      <c r="AC137" s="74">
        <f t="shared" si="94"/>
        <v>0</v>
      </c>
      <c r="AD137" s="492">
        <v>0</v>
      </c>
      <c r="AE137" s="492">
        <v>0</v>
      </c>
      <c r="AF137" s="492">
        <f t="shared" si="170"/>
        <v>0</v>
      </c>
      <c r="AG137" s="492">
        <f t="shared" si="171"/>
        <v>0</v>
      </c>
      <c r="AH137" s="493">
        <v>0</v>
      </c>
      <c r="AI137" s="493">
        <v>0</v>
      </c>
      <c r="AJ137" s="493">
        <v>0</v>
      </c>
      <c r="AK137" s="493">
        <v>0</v>
      </c>
      <c r="AL137" s="493">
        <v>0</v>
      </c>
      <c r="AM137" s="493">
        <v>0</v>
      </c>
      <c r="AN137" s="493">
        <v>0</v>
      </c>
      <c r="AO137" s="493">
        <f t="shared" si="89"/>
        <v>0</v>
      </c>
      <c r="AP137" s="493">
        <f t="shared" si="90"/>
        <v>0</v>
      </c>
      <c r="AQ137" s="495">
        <f t="shared" si="95"/>
        <v>0</v>
      </c>
      <c r="AR137" s="501">
        <f t="shared" si="172"/>
        <v>114782</v>
      </c>
      <c r="AS137" s="492">
        <f t="shared" si="173"/>
        <v>74761</v>
      </c>
      <c r="AT137" s="492">
        <f t="shared" si="174"/>
        <v>6500</v>
      </c>
      <c r="AU137" s="492">
        <f t="shared" si="175"/>
        <v>27466</v>
      </c>
      <c r="AV137" s="492">
        <f t="shared" si="175"/>
        <v>1495</v>
      </c>
      <c r="AW137" s="492">
        <f t="shared" si="176"/>
        <v>4560</v>
      </c>
      <c r="AX137" s="493">
        <f t="shared" si="177"/>
        <v>0.32</v>
      </c>
      <c r="AY137" s="493">
        <f t="shared" si="178"/>
        <v>0</v>
      </c>
      <c r="AZ137" s="495">
        <f t="shared" si="178"/>
        <v>0.32</v>
      </c>
    </row>
    <row r="138" spans="1:52" ht="14.1" customHeight="1" x14ac:dyDescent="0.2">
      <c r="A138" s="72">
        <v>32</v>
      </c>
      <c r="B138" s="69">
        <v>2312</v>
      </c>
      <c r="C138" s="70">
        <v>600079899</v>
      </c>
      <c r="D138" s="69">
        <v>65642350</v>
      </c>
      <c r="E138" s="71" t="s">
        <v>632</v>
      </c>
      <c r="F138" s="72">
        <v>3231</v>
      </c>
      <c r="G138" s="71" t="s">
        <v>317</v>
      </c>
      <c r="H138" s="73" t="s">
        <v>278</v>
      </c>
      <c r="I138" s="494">
        <v>15141318</v>
      </c>
      <c r="J138" s="489">
        <v>10977230</v>
      </c>
      <c r="K138" s="489">
        <v>143000</v>
      </c>
      <c r="L138" s="489">
        <v>3758638</v>
      </c>
      <c r="M138" s="489">
        <v>219545</v>
      </c>
      <c r="N138" s="489">
        <v>42905</v>
      </c>
      <c r="O138" s="490">
        <v>20.330099999999998</v>
      </c>
      <c r="P138" s="491">
        <v>18.139199999999999</v>
      </c>
      <c r="Q138" s="500">
        <v>2.1909000000000001</v>
      </c>
      <c r="R138" s="502">
        <f t="shared" si="88"/>
        <v>0</v>
      </c>
      <c r="S138" s="492">
        <v>0</v>
      </c>
      <c r="T138" s="492">
        <v>0</v>
      </c>
      <c r="U138" s="492">
        <v>0</v>
      </c>
      <c r="V138" s="492">
        <f t="shared" si="169"/>
        <v>0</v>
      </c>
      <c r="W138" s="492">
        <v>0</v>
      </c>
      <c r="X138" s="492">
        <v>0</v>
      </c>
      <c r="Y138" s="492">
        <v>0</v>
      </c>
      <c r="Z138" s="492">
        <f t="shared" si="91"/>
        <v>0</v>
      </c>
      <c r="AA138" s="492">
        <f t="shared" si="92"/>
        <v>0</v>
      </c>
      <c r="AB138" s="74">
        <f t="shared" si="93"/>
        <v>0</v>
      </c>
      <c r="AC138" s="74">
        <f t="shared" si="94"/>
        <v>0</v>
      </c>
      <c r="AD138" s="492">
        <v>0</v>
      </c>
      <c r="AE138" s="492">
        <v>0</v>
      </c>
      <c r="AF138" s="492">
        <f t="shared" si="170"/>
        <v>0</v>
      </c>
      <c r="AG138" s="492">
        <f t="shared" si="171"/>
        <v>0</v>
      </c>
      <c r="AH138" s="493">
        <v>0</v>
      </c>
      <c r="AI138" s="493">
        <v>0</v>
      </c>
      <c r="AJ138" s="493">
        <v>0</v>
      </c>
      <c r="AK138" s="493">
        <v>0</v>
      </c>
      <c r="AL138" s="493">
        <v>0</v>
      </c>
      <c r="AM138" s="493">
        <v>0</v>
      </c>
      <c r="AN138" s="493">
        <v>0</v>
      </c>
      <c r="AO138" s="493">
        <f t="shared" si="89"/>
        <v>0</v>
      </c>
      <c r="AP138" s="493">
        <f t="shared" si="90"/>
        <v>0</v>
      </c>
      <c r="AQ138" s="495">
        <f t="shared" si="95"/>
        <v>0</v>
      </c>
      <c r="AR138" s="501">
        <f t="shared" si="172"/>
        <v>15141318</v>
      </c>
      <c r="AS138" s="492">
        <f t="shared" si="173"/>
        <v>10977230</v>
      </c>
      <c r="AT138" s="492">
        <f t="shared" si="174"/>
        <v>143000</v>
      </c>
      <c r="AU138" s="492">
        <f t="shared" si="175"/>
        <v>3758638</v>
      </c>
      <c r="AV138" s="492">
        <f t="shared" si="175"/>
        <v>219545</v>
      </c>
      <c r="AW138" s="492">
        <f t="shared" si="176"/>
        <v>42905</v>
      </c>
      <c r="AX138" s="493">
        <f t="shared" si="177"/>
        <v>20.330099999999998</v>
      </c>
      <c r="AY138" s="493">
        <f t="shared" si="178"/>
        <v>18.139199999999999</v>
      </c>
      <c r="AZ138" s="495">
        <f t="shared" si="178"/>
        <v>2.1909000000000001</v>
      </c>
    </row>
    <row r="139" spans="1:52" ht="14.1" customHeight="1" x14ac:dyDescent="0.2">
      <c r="A139" s="78">
        <v>32</v>
      </c>
      <c r="B139" s="75">
        <v>2312</v>
      </c>
      <c r="C139" s="76">
        <v>600079899</v>
      </c>
      <c r="D139" s="75">
        <v>65642350</v>
      </c>
      <c r="E139" s="77" t="s">
        <v>633</v>
      </c>
      <c r="F139" s="78"/>
      <c r="G139" s="77"/>
      <c r="H139" s="79"/>
      <c r="I139" s="85">
        <v>54185261</v>
      </c>
      <c r="J139" s="86">
        <v>39045379</v>
      </c>
      <c r="K139" s="86">
        <v>292500</v>
      </c>
      <c r="L139" s="86">
        <v>13296204</v>
      </c>
      <c r="M139" s="86">
        <v>780907</v>
      </c>
      <c r="N139" s="86">
        <v>770271</v>
      </c>
      <c r="O139" s="87">
        <v>72.803899999999999</v>
      </c>
      <c r="P139" s="87">
        <v>58.543599999999998</v>
      </c>
      <c r="Q139" s="453">
        <v>14.260300000000001</v>
      </c>
      <c r="R139" s="85">
        <f t="shared" ref="R139:AZ139" si="179">SUM(R133:R138)</f>
        <v>0</v>
      </c>
      <c r="S139" s="86">
        <f t="shared" si="179"/>
        <v>52056</v>
      </c>
      <c r="T139" s="86">
        <f t="shared" si="179"/>
        <v>0</v>
      </c>
      <c r="U139" s="86">
        <f t="shared" si="179"/>
        <v>0</v>
      </c>
      <c r="V139" s="86">
        <f t="shared" si="179"/>
        <v>52056</v>
      </c>
      <c r="W139" s="86">
        <f t="shared" si="179"/>
        <v>0</v>
      </c>
      <c r="X139" s="86">
        <f t="shared" si="179"/>
        <v>0</v>
      </c>
      <c r="Y139" s="86">
        <f t="shared" si="179"/>
        <v>0</v>
      </c>
      <c r="Z139" s="86">
        <f t="shared" si="179"/>
        <v>0</v>
      </c>
      <c r="AA139" s="86">
        <f t="shared" si="179"/>
        <v>52056</v>
      </c>
      <c r="AB139" s="86">
        <f t="shared" si="179"/>
        <v>17595</v>
      </c>
      <c r="AC139" s="86">
        <f t="shared" si="179"/>
        <v>1041</v>
      </c>
      <c r="AD139" s="86">
        <f t="shared" si="179"/>
        <v>1000</v>
      </c>
      <c r="AE139" s="86">
        <f t="shared" si="179"/>
        <v>0</v>
      </c>
      <c r="AF139" s="86">
        <f t="shared" si="179"/>
        <v>1000</v>
      </c>
      <c r="AG139" s="86">
        <f t="shared" si="179"/>
        <v>71692</v>
      </c>
      <c r="AH139" s="87">
        <f t="shared" si="179"/>
        <v>0</v>
      </c>
      <c r="AI139" s="87">
        <f t="shared" si="179"/>
        <v>0</v>
      </c>
      <c r="AJ139" s="87">
        <f t="shared" si="179"/>
        <v>0.11</v>
      </c>
      <c r="AK139" s="87">
        <f t="shared" ref="AK139:AL139" si="180">SUM(AK133:AK138)</f>
        <v>0</v>
      </c>
      <c r="AL139" s="87">
        <f t="shared" si="180"/>
        <v>0</v>
      </c>
      <c r="AM139" s="87">
        <f t="shared" si="179"/>
        <v>0</v>
      </c>
      <c r="AN139" s="87">
        <f t="shared" si="179"/>
        <v>0</v>
      </c>
      <c r="AO139" s="87">
        <f t="shared" si="179"/>
        <v>0.11</v>
      </c>
      <c r="AP139" s="87">
        <f t="shared" si="179"/>
        <v>0</v>
      </c>
      <c r="AQ139" s="88">
        <f t="shared" si="179"/>
        <v>0.11</v>
      </c>
      <c r="AR139" s="439">
        <f t="shared" si="179"/>
        <v>54256953</v>
      </c>
      <c r="AS139" s="86">
        <f t="shared" si="179"/>
        <v>39097435</v>
      </c>
      <c r="AT139" s="86">
        <f t="shared" si="179"/>
        <v>292500</v>
      </c>
      <c r="AU139" s="86">
        <f t="shared" si="179"/>
        <v>13313799</v>
      </c>
      <c r="AV139" s="86">
        <f t="shared" si="179"/>
        <v>781948</v>
      </c>
      <c r="AW139" s="86">
        <f t="shared" si="179"/>
        <v>771271</v>
      </c>
      <c r="AX139" s="87">
        <f t="shared" si="179"/>
        <v>72.913899999999998</v>
      </c>
      <c r="AY139" s="87">
        <f t="shared" si="179"/>
        <v>58.653599999999997</v>
      </c>
      <c r="AZ139" s="88">
        <f t="shared" si="179"/>
        <v>14.260300000000001</v>
      </c>
    </row>
    <row r="140" spans="1:52" ht="14.1" customHeight="1" x14ac:dyDescent="0.2">
      <c r="A140" s="72">
        <v>33</v>
      </c>
      <c r="B140" s="69">
        <v>2479</v>
      </c>
      <c r="C140" s="70">
        <v>600080340</v>
      </c>
      <c r="D140" s="69">
        <v>65100280</v>
      </c>
      <c r="E140" s="71" t="s">
        <v>634</v>
      </c>
      <c r="F140" s="72">
        <v>3113</v>
      </c>
      <c r="G140" s="71" t="s">
        <v>315</v>
      </c>
      <c r="H140" s="73" t="s">
        <v>278</v>
      </c>
      <c r="I140" s="494">
        <v>37435836</v>
      </c>
      <c r="J140" s="489">
        <v>26866662</v>
      </c>
      <c r="K140" s="489">
        <v>45500</v>
      </c>
      <c r="L140" s="489">
        <v>9096311</v>
      </c>
      <c r="M140" s="489">
        <v>537333</v>
      </c>
      <c r="N140" s="489">
        <v>890030</v>
      </c>
      <c r="O140" s="490">
        <v>48.253100000000003</v>
      </c>
      <c r="P140" s="490">
        <v>37</v>
      </c>
      <c r="Q140" s="500">
        <v>11.2531</v>
      </c>
      <c r="R140" s="502">
        <f t="shared" si="88"/>
        <v>0</v>
      </c>
      <c r="S140" s="492">
        <v>0</v>
      </c>
      <c r="T140" s="492">
        <v>0</v>
      </c>
      <c r="U140" s="492">
        <v>0</v>
      </c>
      <c r="V140" s="492">
        <f>SUM(R140:U140)</f>
        <v>0</v>
      </c>
      <c r="W140" s="492">
        <v>0</v>
      </c>
      <c r="X140" s="492">
        <v>0</v>
      </c>
      <c r="Y140" s="492">
        <v>0</v>
      </c>
      <c r="Z140" s="492">
        <f t="shared" si="91"/>
        <v>0</v>
      </c>
      <c r="AA140" s="492">
        <f t="shared" si="92"/>
        <v>0</v>
      </c>
      <c r="AB140" s="74">
        <f t="shared" si="93"/>
        <v>0</v>
      </c>
      <c r="AC140" s="74">
        <f t="shared" si="94"/>
        <v>0</v>
      </c>
      <c r="AD140" s="492">
        <v>0</v>
      </c>
      <c r="AE140" s="492">
        <v>0</v>
      </c>
      <c r="AF140" s="492">
        <f>SUM(AD140:AE140)</f>
        <v>0</v>
      </c>
      <c r="AG140" s="492">
        <f>AA140+AB140+AC140+AF140</f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89"/>
        <v>0</v>
      </c>
      <c r="AP140" s="493">
        <f t="shared" si="90"/>
        <v>0</v>
      </c>
      <c r="AQ140" s="495">
        <f t="shared" si="95"/>
        <v>0</v>
      </c>
      <c r="AR140" s="501">
        <f>I140+AG140</f>
        <v>37435836</v>
      </c>
      <c r="AS140" s="492">
        <f>J140+V140</f>
        <v>26866662</v>
      </c>
      <c r="AT140" s="492">
        <f t="shared" ref="AT140:AT144" si="181">K140+Z140</f>
        <v>45500</v>
      </c>
      <c r="AU140" s="492">
        <f t="shared" ref="AU140:AV144" si="182">L140+AB140</f>
        <v>9096311</v>
      </c>
      <c r="AV140" s="492">
        <f t="shared" si="182"/>
        <v>537333</v>
      </c>
      <c r="AW140" s="492">
        <f>N140+AF140</f>
        <v>890030</v>
      </c>
      <c r="AX140" s="493">
        <f>O140+AQ140</f>
        <v>48.253100000000003</v>
      </c>
      <c r="AY140" s="493">
        <f t="shared" ref="AY140:AZ144" si="183">P140+AO140</f>
        <v>37</v>
      </c>
      <c r="AZ140" s="495">
        <f t="shared" si="183"/>
        <v>11.2531</v>
      </c>
    </row>
    <row r="141" spans="1:52" ht="14.1" customHeight="1" x14ac:dyDescent="0.2">
      <c r="A141" s="72">
        <v>33</v>
      </c>
      <c r="B141" s="69">
        <v>2479</v>
      </c>
      <c r="C141" s="70">
        <v>600080340</v>
      </c>
      <c r="D141" s="69">
        <v>65100280</v>
      </c>
      <c r="E141" s="71" t="s">
        <v>634</v>
      </c>
      <c r="F141" s="72">
        <v>3113</v>
      </c>
      <c r="G141" s="84" t="s">
        <v>313</v>
      </c>
      <c r="H141" s="73" t="s">
        <v>279</v>
      </c>
      <c r="I141" s="494">
        <v>3311378</v>
      </c>
      <c r="J141" s="489">
        <v>2438423</v>
      </c>
      <c r="K141" s="489">
        <v>0</v>
      </c>
      <c r="L141" s="489">
        <v>824187</v>
      </c>
      <c r="M141" s="489">
        <v>48768</v>
      </c>
      <c r="N141" s="489">
        <v>0</v>
      </c>
      <c r="O141" s="490">
        <v>6.79</v>
      </c>
      <c r="P141" s="491">
        <v>6.79</v>
      </c>
      <c r="Q141" s="500">
        <v>0</v>
      </c>
      <c r="R141" s="502">
        <f t="shared" ref="R141:R204" si="184">W141*-1</f>
        <v>0</v>
      </c>
      <c r="S141" s="492">
        <v>53442</v>
      </c>
      <c r="T141" s="492">
        <v>0</v>
      </c>
      <c r="U141" s="492">
        <v>0</v>
      </c>
      <c r="V141" s="492">
        <f>SUM(R141:U141)</f>
        <v>53442</v>
      </c>
      <c r="W141" s="492">
        <v>0</v>
      </c>
      <c r="X141" s="492">
        <v>0</v>
      </c>
      <c r="Y141" s="492">
        <v>0</v>
      </c>
      <c r="Z141" s="492">
        <f t="shared" si="91"/>
        <v>0</v>
      </c>
      <c r="AA141" s="492">
        <f t="shared" si="92"/>
        <v>53442</v>
      </c>
      <c r="AB141" s="74">
        <f t="shared" si="93"/>
        <v>18063</v>
      </c>
      <c r="AC141" s="74">
        <f t="shared" si="94"/>
        <v>1069</v>
      </c>
      <c r="AD141" s="492">
        <v>0</v>
      </c>
      <c r="AE141" s="492">
        <v>0</v>
      </c>
      <c r="AF141" s="492">
        <f>SUM(AD141:AE141)</f>
        <v>0</v>
      </c>
      <c r="AG141" s="492">
        <f>AA141+AB141+AC141+AF141</f>
        <v>72574</v>
      </c>
      <c r="AH141" s="493">
        <v>0</v>
      </c>
      <c r="AI141" s="493">
        <v>0</v>
      </c>
      <c r="AJ141" s="493">
        <v>0.14000000000000001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ref="AO141:AO204" si="185">AH141+AJ141+AK141+AM141</f>
        <v>0.14000000000000001</v>
      </c>
      <c r="AP141" s="493">
        <f t="shared" ref="AP141:AP204" si="186">AI141+AL141+AN141</f>
        <v>0</v>
      </c>
      <c r="AQ141" s="495">
        <f t="shared" si="95"/>
        <v>0.14000000000000001</v>
      </c>
      <c r="AR141" s="501">
        <f>I141+AG141</f>
        <v>3383952</v>
      </c>
      <c r="AS141" s="492">
        <f>J141+V141</f>
        <v>2491865</v>
      </c>
      <c r="AT141" s="492">
        <f t="shared" si="181"/>
        <v>0</v>
      </c>
      <c r="AU141" s="492">
        <f t="shared" si="182"/>
        <v>842250</v>
      </c>
      <c r="AV141" s="492">
        <f t="shared" si="182"/>
        <v>49837</v>
      </c>
      <c r="AW141" s="492">
        <f>N141+AF141</f>
        <v>0</v>
      </c>
      <c r="AX141" s="493">
        <f>O141+AQ141</f>
        <v>6.93</v>
      </c>
      <c r="AY141" s="493">
        <f t="shared" si="183"/>
        <v>6.93</v>
      </c>
      <c r="AZ141" s="495">
        <f t="shared" si="183"/>
        <v>0</v>
      </c>
    </row>
    <row r="142" spans="1:52" ht="14.1" customHeight="1" x14ac:dyDescent="0.2">
      <c r="A142" s="72">
        <v>33</v>
      </c>
      <c r="B142" s="69">
        <v>2479</v>
      </c>
      <c r="C142" s="70">
        <v>600080340</v>
      </c>
      <c r="D142" s="69">
        <v>65100280</v>
      </c>
      <c r="E142" s="71" t="s">
        <v>634</v>
      </c>
      <c r="F142" s="72">
        <v>3141</v>
      </c>
      <c r="G142" s="71" t="s">
        <v>316</v>
      </c>
      <c r="H142" s="73" t="s">
        <v>279</v>
      </c>
      <c r="I142" s="494">
        <v>3415308</v>
      </c>
      <c r="J142" s="489">
        <v>2487365</v>
      </c>
      <c r="K142" s="489">
        <v>4030</v>
      </c>
      <c r="L142" s="489">
        <v>842092</v>
      </c>
      <c r="M142" s="489">
        <v>49747</v>
      </c>
      <c r="N142" s="489">
        <v>32074</v>
      </c>
      <c r="O142" s="490">
        <v>7.85</v>
      </c>
      <c r="P142" s="491">
        <v>0</v>
      </c>
      <c r="Q142" s="500">
        <v>7.85</v>
      </c>
      <c r="R142" s="502">
        <f t="shared" si="184"/>
        <v>0</v>
      </c>
      <c r="S142" s="492">
        <v>0</v>
      </c>
      <c r="T142" s="492">
        <v>0</v>
      </c>
      <c r="U142" s="492">
        <v>0</v>
      </c>
      <c r="V142" s="492">
        <f>SUM(R142:U142)</f>
        <v>0</v>
      </c>
      <c r="W142" s="492">
        <v>0</v>
      </c>
      <c r="X142" s="492">
        <v>0</v>
      </c>
      <c r="Y142" s="492">
        <v>0</v>
      </c>
      <c r="Z142" s="492">
        <f t="shared" si="91"/>
        <v>0</v>
      </c>
      <c r="AA142" s="492">
        <f t="shared" si="92"/>
        <v>0</v>
      </c>
      <c r="AB142" s="74">
        <f t="shared" si="93"/>
        <v>0</v>
      </c>
      <c r="AC142" s="74">
        <f t="shared" si="94"/>
        <v>0</v>
      </c>
      <c r="AD142" s="492">
        <v>0</v>
      </c>
      <c r="AE142" s="492">
        <v>0</v>
      </c>
      <c r="AF142" s="492">
        <f>SUM(AD142:AE142)</f>
        <v>0</v>
      </c>
      <c r="AG142" s="492">
        <f>AA142+AB142+AC142+AF142</f>
        <v>0</v>
      </c>
      <c r="AH142" s="493">
        <v>0</v>
      </c>
      <c r="AI142" s="493">
        <v>0</v>
      </c>
      <c r="AJ142" s="493">
        <v>0</v>
      </c>
      <c r="AK142" s="493">
        <v>0</v>
      </c>
      <c r="AL142" s="493">
        <v>0</v>
      </c>
      <c r="AM142" s="493">
        <v>0</v>
      </c>
      <c r="AN142" s="493">
        <v>0</v>
      </c>
      <c r="AO142" s="493">
        <f t="shared" si="185"/>
        <v>0</v>
      </c>
      <c r="AP142" s="493">
        <f t="shared" si="186"/>
        <v>0</v>
      </c>
      <c r="AQ142" s="495">
        <f t="shared" si="95"/>
        <v>0</v>
      </c>
      <c r="AR142" s="501">
        <f>I142+AG142</f>
        <v>3415308</v>
      </c>
      <c r="AS142" s="492">
        <f>J142+V142</f>
        <v>2487365</v>
      </c>
      <c r="AT142" s="492">
        <f t="shared" si="181"/>
        <v>4030</v>
      </c>
      <c r="AU142" s="492">
        <f t="shared" si="182"/>
        <v>842092</v>
      </c>
      <c r="AV142" s="492">
        <f t="shared" si="182"/>
        <v>49747</v>
      </c>
      <c r="AW142" s="492">
        <f>N142+AF142</f>
        <v>32074</v>
      </c>
      <c r="AX142" s="493">
        <f>O142+AQ142</f>
        <v>7.85</v>
      </c>
      <c r="AY142" s="493">
        <f t="shared" si="183"/>
        <v>0</v>
      </c>
      <c r="AZ142" s="495">
        <f t="shared" si="183"/>
        <v>7.85</v>
      </c>
    </row>
    <row r="143" spans="1:52" ht="14.1" customHeight="1" x14ac:dyDescent="0.2">
      <c r="A143" s="72">
        <v>33</v>
      </c>
      <c r="B143" s="69">
        <v>2479</v>
      </c>
      <c r="C143" s="70">
        <v>600080340</v>
      </c>
      <c r="D143" s="69">
        <v>65100280</v>
      </c>
      <c r="E143" s="71" t="s">
        <v>634</v>
      </c>
      <c r="F143" s="72">
        <v>3143</v>
      </c>
      <c r="G143" s="84" t="s">
        <v>629</v>
      </c>
      <c r="H143" s="73" t="s">
        <v>278</v>
      </c>
      <c r="I143" s="494">
        <v>4272910</v>
      </c>
      <c r="J143" s="489">
        <v>3145192</v>
      </c>
      <c r="K143" s="489">
        <v>1300</v>
      </c>
      <c r="L143" s="489">
        <v>1063514</v>
      </c>
      <c r="M143" s="489">
        <v>62904</v>
      </c>
      <c r="N143" s="489">
        <v>0</v>
      </c>
      <c r="O143" s="490">
        <v>6.1420000000000003</v>
      </c>
      <c r="P143" s="490">
        <v>6.1420000000000003</v>
      </c>
      <c r="Q143" s="500">
        <v>0</v>
      </c>
      <c r="R143" s="502">
        <f t="shared" si="184"/>
        <v>0</v>
      </c>
      <c r="S143" s="492">
        <v>0</v>
      </c>
      <c r="T143" s="492">
        <v>0</v>
      </c>
      <c r="U143" s="492">
        <v>0</v>
      </c>
      <c r="V143" s="492">
        <f>SUM(R143:U143)</f>
        <v>0</v>
      </c>
      <c r="W143" s="492">
        <v>0</v>
      </c>
      <c r="X143" s="492">
        <v>0</v>
      </c>
      <c r="Y143" s="492">
        <v>0</v>
      </c>
      <c r="Z143" s="492">
        <f t="shared" ref="Z143:Z205" si="187">SUM(W143:Y143)</f>
        <v>0</v>
      </c>
      <c r="AA143" s="492">
        <f t="shared" ref="AA143:AA205" si="188">V143+Z143</f>
        <v>0</v>
      </c>
      <c r="AB143" s="74">
        <f t="shared" ref="AB143:AB205" si="189">ROUND((V143+W143+X143)*33.8%,0)</f>
        <v>0</v>
      </c>
      <c r="AC143" s="74">
        <f t="shared" ref="AC143:AC205" si="190">ROUND(V143*2%,0)</f>
        <v>0</v>
      </c>
      <c r="AD143" s="492">
        <v>0</v>
      </c>
      <c r="AE143" s="492">
        <v>0</v>
      </c>
      <c r="AF143" s="492">
        <f>SUM(AD143:AE143)</f>
        <v>0</v>
      </c>
      <c r="AG143" s="492">
        <f>AA143+AB143+AC143+AF143</f>
        <v>0</v>
      </c>
      <c r="AH143" s="493">
        <v>0</v>
      </c>
      <c r="AI143" s="493">
        <v>0</v>
      </c>
      <c r="AJ143" s="493">
        <v>0</v>
      </c>
      <c r="AK143" s="493">
        <v>0</v>
      </c>
      <c r="AL143" s="493">
        <v>0</v>
      </c>
      <c r="AM143" s="493">
        <v>0</v>
      </c>
      <c r="AN143" s="493">
        <v>0</v>
      </c>
      <c r="AO143" s="493">
        <f t="shared" si="185"/>
        <v>0</v>
      </c>
      <c r="AP143" s="493">
        <f t="shared" si="186"/>
        <v>0</v>
      </c>
      <c r="AQ143" s="495">
        <f t="shared" ref="AQ143:AQ205" si="191">SUM(AO143:AP143)</f>
        <v>0</v>
      </c>
      <c r="AR143" s="501">
        <f>I143+AG143</f>
        <v>4272910</v>
      </c>
      <c r="AS143" s="492">
        <f>J143+V143</f>
        <v>3145192</v>
      </c>
      <c r="AT143" s="492">
        <f t="shared" si="181"/>
        <v>1300</v>
      </c>
      <c r="AU143" s="492">
        <f t="shared" si="182"/>
        <v>1063514</v>
      </c>
      <c r="AV143" s="492">
        <f t="shared" si="182"/>
        <v>62904</v>
      </c>
      <c r="AW143" s="492">
        <f>N143+AF143</f>
        <v>0</v>
      </c>
      <c r="AX143" s="493">
        <f>O143+AQ143</f>
        <v>6.1420000000000003</v>
      </c>
      <c r="AY143" s="493">
        <f t="shared" si="183"/>
        <v>6.1420000000000003</v>
      </c>
      <c r="AZ143" s="495">
        <f t="shared" si="183"/>
        <v>0</v>
      </c>
    </row>
    <row r="144" spans="1:52" ht="14.1" customHeight="1" x14ac:dyDescent="0.2">
      <c r="A144" s="72">
        <v>33</v>
      </c>
      <c r="B144" s="69">
        <v>2479</v>
      </c>
      <c r="C144" s="70">
        <v>600080340</v>
      </c>
      <c r="D144" s="69">
        <v>65100280</v>
      </c>
      <c r="E144" s="71" t="s">
        <v>634</v>
      </c>
      <c r="F144" s="72">
        <v>3143</v>
      </c>
      <c r="G144" s="84" t="s">
        <v>630</v>
      </c>
      <c r="H144" s="73" t="s">
        <v>279</v>
      </c>
      <c r="I144" s="494">
        <v>151200</v>
      </c>
      <c r="J144" s="489">
        <v>106922</v>
      </c>
      <c r="K144" s="489">
        <v>0</v>
      </c>
      <c r="L144" s="489">
        <v>36140</v>
      </c>
      <c r="M144" s="489">
        <v>2138</v>
      </c>
      <c r="N144" s="489">
        <v>6000</v>
      </c>
      <c r="O144" s="490">
        <v>0.42</v>
      </c>
      <c r="P144" s="491">
        <v>0</v>
      </c>
      <c r="Q144" s="500">
        <v>0.42</v>
      </c>
      <c r="R144" s="502">
        <f t="shared" si="184"/>
        <v>0</v>
      </c>
      <c r="S144" s="492">
        <v>0</v>
      </c>
      <c r="T144" s="492">
        <v>0</v>
      </c>
      <c r="U144" s="492">
        <v>0</v>
      </c>
      <c r="V144" s="492">
        <f>SUM(R144:U144)</f>
        <v>0</v>
      </c>
      <c r="W144" s="492">
        <v>0</v>
      </c>
      <c r="X144" s="492">
        <v>0</v>
      </c>
      <c r="Y144" s="492">
        <v>0</v>
      </c>
      <c r="Z144" s="492">
        <f t="shared" si="187"/>
        <v>0</v>
      </c>
      <c r="AA144" s="492">
        <f t="shared" si="188"/>
        <v>0</v>
      </c>
      <c r="AB144" s="74">
        <f t="shared" si="189"/>
        <v>0</v>
      </c>
      <c r="AC144" s="74">
        <f t="shared" si="190"/>
        <v>0</v>
      </c>
      <c r="AD144" s="492">
        <v>0</v>
      </c>
      <c r="AE144" s="492">
        <v>0</v>
      </c>
      <c r="AF144" s="492">
        <f>SUM(AD144:AE144)</f>
        <v>0</v>
      </c>
      <c r="AG144" s="492">
        <f>AA144+AB144+AC144+AF144</f>
        <v>0</v>
      </c>
      <c r="AH144" s="493">
        <v>0</v>
      </c>
      <c r="AI144" s="493">
        <v>0</v>
      </c>
      <c r="AJ144" s="493">
        <v>0</v>
      </c>
      <c r="AK144" s="493">
        <v>0</v>
      </c>
      <c r="AL144" s="493">
        <v>0</v>
      </c>
      <c r="AM144" s="493">
        <v>0</v>
      </c>
      <c r="AN144" s="493">
        <v>0</v>
      </c>
      <c r="AO144" s="493">
        <f t="shared" si="185"/>
        <v>0</v>
      </c>
      <c r="AP144" s="493">
        <f t="shared" si="186"/>
        <v>0</v>
      </c>
      <c r="AQ144" s="495">
        <f t="shared" si="191"/>
        <v>0</v>
      </c>
      <c r="AR144" s="501">
        <f>I144+AG144</f>
        <v>151200</v>
      </c>
      <c r="AS144" s="492">
        <f>J144+V144</f>
        <v>106922</v>
      </c>
      <c r="AT144" s="492">
        <f t="shared" si="181"/>
        <v>0</v>
      </c>
      <c r="AU144" s="492">
        <f t="shared" si="182"/>
        <v>36140</v>
      </c>
      <c r="AV144" s="492">
        <f t="shared" si="182"/>
        <v>2138</v>
      </c>
      <c r="AW144" s="492">
        <f>N144+AF144</f>
        <v>6000</v>
      </c>
      <c r="AX144" s="493">
        <f>O144+AQ144</f>
        <v>0.42</v>
      </c>
      <c r="AY144" s="493">
        <f t="shared" si="183"/>
        <v>0</v>
      </c>
      <c r="AZ144" s="495">
        <f t="shared" si="183"/>
        <v>0.42</v>
      </c>
    </row>
    <row r="145" spans="1:52" ht="14.1" customHeight="1" x14ac:dyDescent="0.2">
      <c r="A145" s="78">
        <v>33</v>
      </c>
      <c r="B145" s="75">
        <v>2479</v>
      </c>
      <c r="C145" s="76">
        <v>600080340</v>
      </c>
      <c r="D145" s="75">
        <v>65100280</v>
      </c>
      <c r="E145" s="77" t="s">
        <v>635</v>
      </c>
      <c r="F145" s="78"/>
      <c r="G145" s="77"/>
      <c r="H145" s="79"/>
      <c r="I145" s="80">
        <v>48586632</v>
      </c>
      <c r="J145" s="81">
        <v>35044564</v>
      </c>
      <c r="K145" s="81">
        <v>50830</v>
      </c>
      <c r="L145" s="81">
        <v>11862244</v>
      </c>
      <c r="M145" s="81">
        <v>700890</v>
      </c>
      <c r="N145" s="81">
        <v>928104</v>
      </c>
      <c r="O145" s="82">
        <v>69.455100000000002</v>
      </c>
      <c r="P145" s="82">
        <v>49.932000000000002</v>
      </c>
      <c r="Q145" s="452">
        <v>19.523099999999999</v>
      </c>
      <c r="R145" s="80">
        <f t="shared" ref="R145:AZ145" si="192">SUM(R140:R144)</f>
        <v>0</v>
      </c>
      <c r="S145" s="81">
        <f t="shared" si="192"/>
        <v>53442</v>
      </c>
      <c r="T145" s="81">
        <f t="shared" si="192"/>
        <v>0</v>
      </c>
      <c r="U145" s="81">
        <f t="shared" si="192"/>
        <v>0</v>
      </c>
      <c r="V145" s="81">
        <f t="shared" si="192"/>
        <v>53442</v>
      </c>
      <c r="W145" s="81">
        <f t="shared" si="192"/>
        <v>0</v>
      </c>
      <c r="X145" s="81">
        <f t="shared" si="192"/>
        <v>0</v>
      </c>
      <c r="Y145" s="81">
        <f t="shared" si="192"/>
        <v>0</v>
      </c>
      <c r="Z145" s="81">
        <f t="shared" si="192"/>
        <v>0</v>
      </c>
      <c r="AA145" s="81">
        <f t="shared" si="192"/>
        <v>53442</v>
      </c>
      <c r="AB145" s="81">
        <f t="shared" si="192"/>
        <v>18063</v>
      </c>
      <c r="AC145" s="81">
        <f t="shared" si="192"/>
        <v>1069</v>
      </c>
      <c r="AD145" s="81">
        <f t="shared" si="192"/>
        <v>0</v>
      </c>
      <c r="AE145" s="81">
        <f t="shared" si="192"/>
        <v>0</v>
      </c>
      <c r="AF145" s="81">
        <f t="shared" si="192"/>
        <v>0</v>
      </c>
      <c r="AG145" s="81">
        <f t="shared" si="192"/>
        <v>72574</v>
      </c>
      <c r="AH145" s="82">
        <f t="shared" si="192"/>
        <v>0</v>
      </c>
      <c r="AI145" s="82">
        <f t="shared" si="192"/>
        <v>0</v>
      </c>
      <c r="AJ145" s="82">
        <f t="shared" si="192"/>
        <v>0.14000000000000001</v>
      </c>
      <c r="AK145" s="82">
        <f t="shared" ref="AK145:AL145" si="193">SUM(AK140:AK144)</f>
        <v>0</v>
      </c>
      <c r="AL145" s="82">
        <f t="shared" si="193"/>
        <v>0</v>
      </c>
      <c r="AM145" s="82">
        <f t="shared" si="192"/>
        <v>0</v>
      </c>
      <c r="AN145" s="82">
        <f t="shared" si="192"/>
        <v>0</v>
      </c>
      <c r="AO145" s="82">
        <f t="shared" si="192"/>
        <v>0.14000000000000001</v>
      </c>
      <c r="AP145" s="82">
        <f t="shared" si="192"/>
        <v>0</v>
      </c>
      <c r="AQ145" s="83">
        <f t="shared" si="192"/>
        <v>0.14000000000000001</v>
      </c>
      <c r="AR145" s="438">
        <f t="shared" si="192"/>
        <v>48659206</v>
      </c>
      <c r="AS145" s="81">
        <f t="shared" si="192"/>
        <v>35098006</v>
      </c>
      <c r="AT145" s="81">
        <f t="shared" si="192"/>
        <v>50830</v>
      </c>
      <c r="AU145" s="81">
        <f t="shared" si="192"/>
        <v>11880307</v>
      </c>
      <c r="AV145" s="81">
        <f t="shared" si="192"/>
        <v>701959</v>
      </c>
      <c r="AW145" s="81">
        <f t="shared" si="192"/>
        <v>928104</v>
      </c>
      <c r="AX145" s="82">
        <f t="shared" si="192"/>
        <v>69.595100000000002</v>
      </c>
      <c r="AY145" s="82">
        <f t="shared" si="192"/>
        <v>50.072000000000003</v>
      </c>
      <c r="AZ145" s="83">
        <f t="shared" si="192"/>
        <v>19.523099999999999</v>
      </c>
    </row>
    <row r="146" spans="1:52" ht="14.1" customHeight="1" x14ac:dyDescent="0.2">
      <c r="A146" s="72">
        <v>34</v>
      </c>
      <c r="B146" s="69">
        <v>2475</v>
      </c>
      <c r="C146" s="70">
        <v>600080331</v>
      </c>
      <c r="D146" s="69">
        <v>65642368</v>
      </c>
      <c r="E146" s="71" t="s">
        <v>636</v>
      </c>
      <c r="F146" s="72">
        <v>3113</v>
      </c>
      <c r="G146" s="71" t="s">
        <v>315</v>
      </c>
      <c r="H146" s="73" t="s">
        <v>278</v>
      </c>
      <c r="I146" s="494">
        <v>41659285</v>
      </c>
      <c r="J146" s="489">
        <v>29719864</v>
      </c>
      <c r="K146" s="489">
        <v>260000</v>
      </c>
      <c r="L146" s="489">
        <v>10133194</v>
      </c>
      <c r="M146" s="489">
        <v>594397</v>
      </c>
      <c r="N146" s="489">
        <v>951830</v>
      </c>
      <c r="O146" s="490">
        <v>51.292499999999997</v>
      </c>
      <c r="P146" s="490">
        <v>40.376999999999995</v>
      </c>
      <c r="Q146" s="500">
        <v>10.9155</v>
      </c>
      <c r="R146" s="502">
        <f t="shared" si="184"/>
        <v>0</v>
      </c>
      <c r="S146" s="492">
        <v>0</v>
      </c>
      <c r="T146" s="492">
        <v>0</v>
      </c>
      <c r="U146" s="492">
        <v>0</v>
      </c>
      <c r="V146" s="492">
        <f>SUM(R146:U146)</f>
        <v>0</v>
      </c>
      <c r="W146" s="492">
        <v>0</v>
      </c>
      <c r="X146" s="492">
        <v>0</v>
      </c>
      <c r="Y146" s="492">
        <v>0</v>
      </c>
      <c r="Z146" s="492">
        <f t="shared" si="187"/>
        <v>0</v>
      </c>
      <c r="AA146" s="492">
        <f t="shared" si="188"/>
        <v>0</v>
      </c>
      <c r="AB146" s="74">
        <f t="shared" si="189"/>
        <v>0</v>
      </c>
      <c r="AC146" s="74">
        <f t="shared" si="190"/>
        <v>0</v>
      </c>
      <c r="AD146" s="492">
        <v>0</v>
      </c>
      <c r="AE146" s="492">
        <v>0</v>
      </c>
      <c r="AF146" s="492">
        <f>SUM(AD146:AE146)</f>
        <v>0</v>
      </c>
      <c r="AG146" s="492">
        <f>AA146+AB146+AC146+AF146</f>
        <v>0</v>
      </c>
      <c r="AH146" s="493">
        <v>0</v>
      </c>
      <c r="AI146" s="493">
        <v>0</v>
      </c>
      <c r="AJ146" s="493">
        <v>0</v>
      </c>
      <c r="AK146" s="493">
        <v>0</v>
      </c>
      <c r="AL146" s="493">
        <v>0</v>
      </c>
      <c r="AM146" s="493">
        <v>0</v>
      </c>
      <c r="AN146" s="493">
        <v>0</v>
      </c>
      <c r="AO146" s="493">
        <f t="shared" si="185"/>
        <v>0</v>
      </c>
      <c r="AP146" s="493">
        <f t="shared" si="186"/>
        <v>0</v>
      </c>
      <c r="AQ146" s="495">
        <f t="shared" si="191"/>
        <v>0</v>
      </c>
      <c r="AR146" s="501">
        <f>I146+AG146</f>
        <v>41659285</v>
      </c>
      <c r="AS146" s="492">
        <f>J146+V146</f>
        <v>29719864</v>
      </c>
      <c r="AT146" s="492">
        <f t="shared" ref="AT146:AT150" si="194">K146+Z146</f>
        <v>260000</v>
      </c>
      <c r="AU146" s="492">
        <f t="shared" ref="AU146:AV150" si="195">L146+AB146</f>
        <v>10133194</v>
      </c>
      <c r="AV146" s="492">
        <f t="shared" si="195"/>
        <v>594397</v>
      </c>
      <c r="AW146" s="492">
        <f>N146+AF146</f>
        <v>951830</v>
      </c>
      <c r="AX146" s="493">
        <f>O146+AQ146</f>
        <v>51.292499999999997</v>
      </c>
      <c r="AY146" s="493">
        <f t="shared" ref="AY146:AZ150" si="196">P146+AO146</f>
        <v>40.376999999999995</v>
      </c>
      <c r="AZ146" s="495">
        <f t="shared" si="196"/>
        <v>10.9155</v>
      </c>
    </row>
    <row r="147" spans="1:52" ht="14.1" customHeight="1" x14ac:dyDescent="0.2">
      <c r="A147" s="72">
        <v>34</v>
      </c>
      <c r="B147" s="69">
        <v>2475</v>
      </c>
      <c r="C147" s="70">
        <v>600080331</v>
      </c>
      <c r="D147" s="69">
        <v>65642368</v>
      </c>
      <c r="E147" s="71" t="s">
        <v>636</v>
      </c>
      <c r="F147" s="72">
        <v>3113</v>
      </c>
      <c r="G147" s="84" t="s">
        <v>313</v>
      </c>
      <c r="H147" s="73" t="s">
        <v>279</v>
      </c>
      <c r="I147" s="494">
        <v>4070813</v>
      </c>
      <c r="J147" s="489">
        <v>2997653</v>
      </c>
      <c r="K147" s="489">
        <v>0</v>
      </c>
      <c r="L147" s="489">
        <v>1013207</v>
      </c>
      <c r="M147" s="489">
        <v>59953</v>
      </c>
      <c r="N147" s="489">
        <v>0</v>
      </c>
      <c r="O147" s="490">
        <v>8.42</v>
      </c>
      <c r="P147" s="491">
        <v>8.42</v>
      </c>
      <c r="Q147" s="500">
        <v>0</v>
      </c>
      <c r="R147" s="502">
        <f t="shared" si="184"/>
        <v>0</v>
      </c>
      <c r="S147" s="492">
        <v>7223</v>
      </c>
      <c r="T147" s="492">
        <v>0</v>
      </c>
      <c r="U147" s="492">
        <v>0</v>
      </c>
      <c r="V147" s="492">
        <f>SUM(R147:U147)</f>
        <v>7223</v>
      </c>
      <c r="W147" s="492">
        <v>0</v>
      </c>
      <c r="X147" s="492">
        <v>0</v>
      </c>
      <c r="Y147" s="492">
        <v>0</v>
      </c>
      <c r="Z147" s="492">
        <f t="shared" si="187"/>
        <v>0</v>
      </c>
      <c r="AA147" s="492">
        <f t="shared" si="188"/>
        <v>7223</v>
      </c>
      <c r="AB147" s="74">
        <f t="shared" si="189"/>
        <v>2441</v>
      </c>
      <c r="AC147" s="74">
        <f t="shared" si="190"/>
        <v>144</v>
      </c>
      <c r="AD147" s="492">
        <v>0</v>
      </c>
      <c r="AE147" s="492">
        <v>0</v>
      </c>
      <c r="AF147" s="492">
        <f>SUM(AD147:AE147)</f>
        <v>0</v>
      </c>
      <c r="AG147" s="492">
        <f>AA147+AB147+AC147+AF147</f>
        <v>9808</v>
      </c>
      <c r="AH147" s="493">
        <v>0</v>
      </c>
      <c r="AI147" s="493">
        <v>0</v>
      </c>
      <c r="AJ147" s="493">
        <v>0.02</v>
      </c>
      <c r="AK147" s="493">
        <v>0</v>
      </c>
      <c r="AL147" s="493">
        <v>0</v>
      </c>
      <c r="AM147" s="493">
        <v>0</v>
      </c>
      <c r="AN147" s="493">
        <v>0</v>
      </c>
      <c r="AO147" s="493">
        <f t="shared" si="185"/>
        <v>0.02</v>
      </c>
      <c r="AP147" s="493">
        <f t="shared" si="186"/>
        <v>0</v>
      </c>
      <c r="AQ147" s="495">
        <f t="shared" si="191"/>
        <v>0.02</v>
      </c>
      <c r="AR147" s="501">
        <f>I147+AG147</f>
        <v>4080621</v>
      </c>
      <c r="AS147" s="492">
        <f>J147+V147</f>
        <v>3004876</v>
      </c>
      <c r="AT147" s="492">
        <f t="shared" si="194"/>
        <v>0</v>
      </c>
      <c r="AU147" s="492">
        <f t="shared" si="195"/>
        <v>1015648</v>
      </c>
      <c r="AV147" s="492">
        <f t="shared" si="195"/>
        <v>60097</v>
      </c>
      <c r="AW147" s="492">
        <f>N147+AF147</f>
        <v>0</v>
      </c>
      <c r="AX147" s="493">
        <f>O147+AQ147</f>
        <v>8.44</v>
      </c>
      <c r="AY147" s="493">
        <f t="shared" si="196"/>
        <v>8.44</v>
      </c>
      <c r="AZ147" s="495">
        <f t="shared" si="196"/>
        <v>0</v>
      </c>
    </row>
    <row r="148" spans="1:52" ht="14.1" customHeight="1" x14ac:dyDescent="0.2">
      <c r="A148" s="72">
        <v>34</v>
      </c>
      <c r="B148" s="69">
        <v>2475</v>
      </c>
      <c r="C148" s="70">
        <v>600080331</v>
      </c>
      <c r="D148" s="69">
        <v>65642368</v>
      </c>
      <c r="E148" s="71" t="s">
        <v>637</v>
      </c>
      <c r="F148" s="72">
        <v>3141</v>
      </c>
      <c r="G148" s="71" t="s">
        <v>316</v>
      </c>
      <c r="H148" s="73" t="s">
        <v>279</v>
      </c>
      <c r="I148" s="494">
        <v>1555363</v>
      </c>
      <c r="J148" s="489">
        <v>1114476</v>
      </c>
      <c r="K148" s="489">
        <v>13000</v>
      </c>
      <c r="L148" s="489">
        <v>381087</v>
      </c>
      <c r="M148" s="489">
        <v>22290</v>
      </c>
      <c r="N148" s="489">
        <v>24510</v>
      </c>
      <c r="O148" s="490">
        <v>3.55</v>
      </c>
      <c r="P148" s="491">
        <v>0</v>
      </c>
      <c r="Q148" s="500">
        <v>3.55</v>
      </c>
      <c r="R148" s="502">
        <f t="shared" si="184"/>
        <v>0</v>
      </c>
      <c r="S148" s="492">
        <v>0</v>
      </c>
      <c r="T148" s="492">
        <v>0</v>
      </c>
      <c r="U148" s="492">
        <v>0</v>
      </c>
      <c r="V148" s="492">
        <f>SUM(R148:U148)</f>
        <v>0</v>
      </c>
      <c r="W148" s="492">
        <v>0</v>
      </c>
      <c r="X148" s="492">
        <v>0</v>
      </c>
      <c r="Y148" s="492">
        <v>0</v>
      </c>
      <c r="Z148" s="492">
        <f t="shared" si="187"/>
        <v>0</v>
      </c>
      <c r="AA148" s="492">
        <f t="shared" si="188"/>
        <v>0</v>
      </c>
      <c r="AB148" s="74">
        <f t="shared" si="189"/>
        <v>0</v>
      </c>
      <c r="AC148" s="74">
        <f t="shared" si="190"/>
        <v>0</v>
      </c>
      <c r="AD148" s="492">
        <v>0</v>
      </c>
      <c r="AE148" s="492">
        <v>0</v>
      </c>
      <c r="AF148" s="492">
        <f>SUM(AD148:AE148)</f>
        <v>0</v>
      </c>
      <c r="AG148" s="492">
        <f>AA148+AB148+AC148+AF148</f>
        <v>0</v>
      </c>
      <c r="AH148" s="493">
        <v>0</v>
      </c>
      <c r="AI148" s="493">
        <v>0</v>
      </c>
      <c r="AJ148" s="493">
        <v>0</v>
      </c>
      <c r="AK148" s="493">
        <v>0</v>
      </c>
      <c r="AL148" s="493">
        <v>0</v>
      </c>
      <c r="AM148" s="493">
        <v>0</v>
      </c>
      <c r="AN148" s="493">
        <v>0</v>
      </c>
      <c r="AO148" s="493">
        <f t="shared" si="185"/>
        <v>0</v>
      </c>
      <c r="AP148" s="493">
        <f t="shared" si="186"/>
        <v>0</v>
      </c>
      <c r="AQ148" s="495">
        <f t="shared" si="191"/>
        <v>0</v>
      </c>
      <c r="AR148" s="501">
        <f>I148+AG148</f>
        <v>1555363</v>
      </c>
      <c r="AS148" s="492">
        <f>J148+V148</f>
        <v>1114476</v>
      </c>
      <c r="AT148" s="492">
        <f t="shared" si="194"/>
        <v>13000</v>
      </c>
      <c r="AU148" s="492">
        <f t="shared" si="195"/>
        <v>381087</v>
      </c>
      <c r="AV148" s="492">
        <f t="shared" si="195"/>
        <v>22290</v>
      </c>
      <c r="AW148" s="492">
        <f>N148+AF148</f>
        <v>24510</v>
      </c>
      <c r="AX148" s="493">
        <f>O148+AQ148</f>
        <v>3.55</v>
      </c>
      <c r="AY148" s="493">
        <f t="shared" si="196"/>
        <v>0</v>
      </c>
      <c r="AZ148" s="495">
        <f t="shared" si="196"/>
        <v>3.55</v>
      </c>
    </row>
    <row r="149" spans="1:52" ht="14.1" customHeight="1" x14ac:dyDescent="0.2">
      <c r="A149" s="72">
        <v>34</v>
      </c>
      <c r="B149" s="69">
        <v>2475</v>
      </c>
      <c r="C149" s="70">
        <v>600080331</v>
      </c>
      <c r="D149" s="69">
        <v>65642368</v>
      </c>
      <c r="E149" s="71" t="s">
        <v>636</v>
      </c>
      <c r="F149" s="72">
        <v>3143</v>
      </c>
      <c r="G149" s="84" t="s">
        <v>629</v>
      </c>
      <c r="H149" s="73" t="s">
        <v>278</v>
      </c>
      <c r="I149" s="494">
        <v>4124711</v>
      </c>
      <c r="J149" s="489">
        <v>3037342</v>
      </c>
      <c r="K149" s="489">
        <v>0</v>
      </c>
      <c r="L149" s="489">
        <v>1026622</v>
      </c>
      <c r="M149" s="489">
        <v>60747</v>
      </c>
      <c r="N149" s="489">
        <v>0</v>
      </c>
      <c r="O149" s="490">
        <v>6.16</v>
      </c>
      <c r="P149" s="490">
        <v>6.16</v>
      </c>
      <c r="Q149" s="500">
        <v>0</v>
      </c>
      <c r="R149" s="502">
        <f t="shared" si="184"/>
        <v>0</v>
      </c>
      <c r="S149" s="492">
        <v>0</v>
      </c>
      <c r="T149" s="492">
        <v>0</v>
      </c>
      <c r="U149" s="492">
        <v>0</v>
      </c>
      <c r="V149" s="492">
        <f>SUM(R149:U149)</f>
        <v>0</v>
      </c>
      <c r="W149" s="492">
        <v>0</v>
      </c>
      <c r="X149" s="492">
        <v>0</v>
      </c>
      <c r="Y149" s="492">
        <v>0</v>
      </c>
      <c r="Z149" s="492">
        <f t="shared" si="187"/>
        <v>0</v>
      </c>
      <c r="AA149" s="492">
        <f t="shared" si="188"/>
        <v>0</v>
      </c>
      <c r="AB149" s="74">
        <f t="shared" si="189"/>
        <v>0</v>
      </c>
      <c r="AC149" s="74">
        <f t="shared" si="190"/>
        <v>0</v>
      </c>
      <c r="AD149" s="492">
        <v>0</v>
      </c>
      <c r="AE149" s="492">
        <v>0</v>
      </c>
      <c r="AF149" s="492">
        <f>SUM(AD149:AE149)</f>
        <v>0</v>
      </c>
      <c r="AG149" s="492">
        <f>AA149+AB149+AC149+AF149</f>
        <v>0</v>
      </c>
      <c r="AH149" s="493">
        <v>0</v>
      </c>
      <c r="AI149" s="493">
        <v>0</v>
      </c>
      <c r="AJ149" s="493">
        <v>0</v>
      </c>
      <c r="AK149" s="493">
        <v>0</v>
      </c>
      <c r="AL149" s="493">
        <v>0</v>
      </c>
      <c r="AM149" s="493">
        <v>0</v>
      </c>
      <c r="AN149" s="493">
        <v>0</v>
      </c>
      <c r="AO149" s="493">
        <f t="shared" si="185"/>
        <v>0</v>
      </c>
      <c r="AP149" s="493">
        <f t="shared" si="186"/>
        <v>0</v>
      </c>
      <c r="AQ149" s="495">
        <f t="shared" si="191"/>
        <v>0</v>
      </c>
      <c r="AR149" s="501">
        <f>I149+AG149</f>
        <v>4124711</v>
      </c>
      <c r="AS149" s="492">
        <f>J149+V149</f>
        <v>3037342</v>
      </c>
      <c r="AT149" s="492">
        <f t="shared" si="194"/>
        <v>0</v>
      </c>
      <c r="AU149" s="492">
        <f t="shared" si="195"/>
        <v>1026622</v>
      </c>
      <c r="AV149" s="492">
        <f t="shared" si="195"/>
        <v>60747</v>
      </c>
      <c r="AW149" s="492">
        <f>N149+AF149</f>
        <v>0</v>
      </c>
      <c r="AX149" s="493">
        <f>O149+AQ149</f>
        <v>6.16</v>
      </c>
      <c r="AY149" s="493">
        <f t="shared" si="196"/>
        <v>6.16</v>
      </c>
      <c r="AZ149" s="495">
        <f t="shared" si="196"/>
        <v>0</v>
      </c>
    </row>
    <row r="150" spans="1:52" ht="14.1" customHeight="1" x14ac:dyDescent="0.2">
      <c r="A150" s="72">
        <v>34</v>
      </c>
      <c r="B150" s="69">
        <v>2475</v>
      </c>
      <c r="C150" s="70">
        <v>600080331</v>
      </c>
      <c r="D150" s="69">
        <v>65642368</v>
      </c>
      <c r="E150" s="71" t="s">
        <v>636</v>
      </c>
      <c r="F150" s="72">
        <v>3143</v>
      </c>
      <c r="G150" s="84" t="s">
        <v>630</v>
      </c>
      <c r="H150" s="73" t="s">
        <v>279</v>
      </c>
      <c r="I150" s="494">
        <v>135324</v>
      </c>
      <c r="J150" s="489">
        <v>95695</v>
      </c>
      <c r="K150" s="489">
        <v>0</v>
      </c>
      <c r="L150" s="489">
        <v>32345</v>
      </c>
      <c r="M150" s="489">
        <v>1914</v>
      </c>
      <c r="N150" s="489">
        <v>5370</v>
      </c>
      <c r="O150" s="490">
        <v>0.37</v>
      </c>
      <c r="P150" s="491">
        <v>0</v>
      </c>
      <c r="Q150" s="500">
        <v>0.37</v>
      </c>
      <c r="R150" s="502">
        <f t="shared" si="184"/>
        <v>0</v>
      </c>
      <c r="S150" s="492">
        <v>0</v>
      </c>
      <c r="T150" s="492">
        <v>0</v>
      </c>
      <c r="U150" s="492">
        <v>0</v>
      </c>
      <c r="V150" s="492">
        <f>SUM(R150:U150)</f>
        <v>0</v>
      </c>
      <c r="W150" s="492">
        <v>0</v>
      </c>
      <c r="X150" s="492">
        <v>0</v>
      </c>
      <c r="Y150" s="492">
        <v>0</v>
      </c>
      <c r="Z150" s="492">
        <f t="shared" si="187"/>
        <v>0</v>
      </c>
      <c r="AA150" s="492">
        <f t="shared" si="188"/>
        <v>0</v>
      </c>
      <c r="AB150" s="74">
        <f t="shared" si="189"/>
        <v>0</v>
      </c>
      <c r="AC150" s="74">
        <f t="shared" si="190"/>
        <v>0</v>
      </c>
      <c r="AD150" s="492">
        <v>0</v>
      </c>
      <c r="AE150" s="492">
        <v>0</v>
      </c>
      <c r="AF150" s="492">
        <f>SUM(AD150:AE150)</f>
        <v>0</v>
      </c>
      <c r="AG150" s="492">
        <f>AA150+AB150+AC150+AF150</f>
        <v>0</v>
      </c>
      <c r="AH150" s="493">
        <v>0</v>
      </c>
      <c r="AI150" s="493">
        <v>0</v>
      </c>
      <c r="AJ150" s="493">
        <v>0</v>
      </c>
      <c r="AK150" s="493">
        <v>0</v>
      </c>
      <c r="AL150" s="493">
        <v>0</v>
      </c>
      <c r="AM150" s="493">
        <v>0</v>
      </c>
      <c r="AN150" s="493">
        <v>0</v>
      </c>
      <c r="AO150" s="493">
        <f t="shared" si="185"/>
        <v>0</v>
      </c>
      <c r="AP150" s="493">
        <f t="shared" si="186"/>
        <v>0</v>
      </c>
      <c r="AQ150" s="495">
        <f t="shared" si="191"/>
        <v>0</v>
      </c>
      <c r="AR150" s="501">
        <f>I150+AG150</f>
        <v>135324</v>
      </c>
      <c r="AS150" s="492">
        <f>J150+V150</f>
        <v>95695</v>
      </c>
      <c r="AT150" s="492">
        <f t="shared" si="194"/>
        <v>0</v>
      </c>
      <c r="AU150" s="492">
        <f t="shared" si="195"/>
        <v>32345</v>
      </c>
      <c r="AV150" s="492">
        <f t="shared" si="195"/>
        <v>1914</v>
      </c>
      <c r="AW150" s="492">
        <f>N150+AF150</f>
        <v>5370</v>
      </c>
      <c r="AX150" s="493">
        <f>O150+AQ150</f>
        <v>0.37</v>
      </c>
      <c r="AY150" s="493">
        <f t="shared" si="196"/>
        <v>0</v>
      </c>
      <c r="AZ150" s="495">
        <f t="shared" si="196"/>
        <v>0.37</v>
      </c>
    </row>
    <row r="151" spans="1:52" ht="14.1" customHeight="1" x14ac:dyDescent="0.2">
      <c r="A151" s="78">
        <v>34</v>
      </c>
      <c r="B151" s="75">
        <v>2475</v>
      </c>
      <c r="C151" s="76">
        <v>600080331</v>
      </c>
      <c r="D151" s="75">
        <v>65642368</v>
      </c>
      <c r="E151" s="77" t="s">
        <v>638</v>
      </c>
      <c r="F151" s="78"/>
      <c r="G151" s="77"/>
      <c r="H151" s="79"/>
      <c r="I151" s="80">
        <v>51545496</v>
      </c>
      <c r="J151" s="81">
        <v>36965030</v>
      </c>
      <c r="K151" s="81">
        <v>273000</v>
      </c>
      <c r="L151" s="81">
        <v>12586455</v>
      </c>
      <c r="M151" s="81">
        <v>739301</v>
      </c>
      <c r="N151" s="81">
        <v>981710</v>
      </c>
      <c r="O151" s="82">
        <v>69.792500000000004</v>
      </c>
      <c r="P151" s="82">
        <v>54.956999999999994</v>
      </c>
      <c r="Q151" s="452">
        <v>14.835499999999998</v>
      </c>
      <c r="R151" s="80">
        <f t="shared" ref="R151:AZ151" si="197">SUM(R146:R150)</f>
        <v>0</v>
      </c>
      <c r="S151" s="81">
        <f t="shared" si="197"/>
        <v>7223</v>
      </c>
      <c r="T151" s="81">
        <f t="shared" si="197"/>
        <v>0</v>
      </c>
      <c r="U151" s="81">
        <f t="shared" si="197"/>
        <v>0</v>
      </c>
      <c r="V151" s="81">
        <f t="shared" si="197"/>
        <v>7223</v>
      </c>
      <c r="W151" s="81">
        <f t="shared" si="197"/>
        <v>0</v>
      </c>
      <c r="X151" s="81">
        <f t="shared" si="197"/>
        <v>0</v>
      </c>
      <c r="Y151" s="81">
        <f t="shared" si="197"/>
        <v>0</v>
      </c>
      <c r="Z151" s="81">
        <f t="shared" si="197"/>
        <v>0</v>
      </c>
      <c r="AA151" s="81">
        <f t="shared" si="197"/>
        <v>7223</v>
      </c>
      <c r="AB151" s="81">
        <f t="shared" si="197"/>
        <v>2441</v>
      </c>
      <c r="AC151" s="81">
        <f t="shared" si="197"/>
        <v>144</v>
      </c>
      <c r="AD151" s="81">
        <f t="shared" si="197"/>
        <v>0</v>
      </c>
      <c r="AE151" s="81">
        <f t="shared" si="197"/>
        <v>0</v>
      </c>
      <c r="AF151" s="81">
        <f t="shared" si="197"/>
        <v>0</v>
      </c>
      <c r="AG151" s="81">
        <f t="shared" si="197"/>
        <v>9808</v>
      </c>
      <c r="AH151" s="82">
        <f t="shared" si="197"/>
        <v>0</v>
      </c>
      <c r="AI151" s="82">
        <f t="shared" si="197"/>
        <v>0</v>
      </c>
      <c r="AJ151" s="82">
        <f t="shared" si="197"/>
        <v>0.02</v>
      </c>
      <c r="AK151" s="82">
        <f t="shared" ref="AK151:AL151" si="198">SUM(AK146:AK150)</f>
        <v>0</v>
      </c>
      <c r="AL151" s="82">
        <f t="shared" si="198"/>
        <v>0</v>
      </c>
      <c r="AM151" s="82">
        <f t="shared" si="197"/>
        <v>0</v>
      </c>
      <c r="AN151" s="82">
        <f t="shared" si="197"/>
        <v>0</v>
      </c>
      <c r="AO151" s="82">
        <f t="shared" si="197"/>
        <v>0.02</v>
      </c>
      <c r="AP151" s="82">
        <f t="shared" si="197"/>
        <v>0</v>
      </c>
      <c r="AQ151" s="83">
        <f t="shared" si="197"/>
        <v>0.02</v>
      </c>
      <c r="AR151" s="438">
        <f t="shared" si="197"/>
        <v>51555304</v>
      </c>
      <c r="AS151" s="81">
        <f t="shared" si="197"/>
        <v>36972253</v>
      </c>
      <c r="AT151" s="81">
        <f t="shared" si="197"/>
        <v>273000</v>
      </c>
      <c r="AU151" s="81">
        <f t="shared" si="197"/>
        <v>12588896</v>
      </c>
      <c r="AV151" s="81">
        <f t="shared" si="197"/>
        <v>739445</v>
      </c>
      <c r="AW151" s="81">
        <f t="shared" si="197"/>
        <v>981710</v>
      </c>
      <c r="AX151" s="82">
        <f t="shared" si="197"/>
        <v>69.8125</v>
      </c>
      <c r="AY151" s="82">
        <f t="shared" si="197"/>
        <v>54.97699999999999</v>
      </c>
      <c r="AZ151" s="83">
        <f t="shared" si="197"/>
        <v>14.835499999999998</v>
      </c>
    </row>
    <row r="152" spans="1:52" ht="14.1" customHeight="1" x14ac:dyDescent="0.2">
      <c r="A152" s="72">
        <v>35</v>
      </c>
      <c r="B152" s="69">
        <v>2476</v>
      </c>
      <c r="C152" s="70">
        <v>600080170</v>
      </c>
      <c r="D152" s="69">
        <v>64040364</v>
      </c>
      <c r="E152" s="71" t="s">
        <v>639</v>
      </c>
      <c r="F152" s="72">
        <v>3113</v>
      </c>
      <c r="G152" s="71" t="s">
        <v>315</v>
      </c>
      <c r="H152" s="73" t="s">
        <v>278</v>
      </c>
      <c r="I152" s="494">
        <v>40367539</v>
      </c>
      <c r="J152" s="489">
        <v>28930341</v>
      </c>
      <c r="K152" s="489">
        <v>94250</v>
      </c>
      <c r="L152" s="489">
        <v>9810311</v>
      </c>
      <c r="M152" s="489">
        <v>578607</v>
      </c>
      <c r="N152" s="489">
        <v>954030</v>
      </c>
      <c r="O152" s="490">
        <v>52.391799999999996</v>
      </c>
      <c r="P152" s="490">
        <v>40.802999999999997</v>
      </c>
      <c r="Q152" s="500">
        <v>11.588799999999999</v>
      </c>
      <c r="R152" s="502">
        <f t="shared" si="184"/>
        <v>0</v>
      </c>
      <c r="S152" s="492">
        <v>0</v>
      </c>
      <c r="T152" s="492">
        <v>0</v>
      </c>
      <c r="U152" s="492">
        <v>0</v>
      </c>
      <c r="V152" s="492">
        <f>SUM(R152:U152)</f>
        <v>0</v>
      </c>
      <c r="W152" s="492">
        <v>0</v>
      </c>
      <c r="X152" s="492">
        <v>0</v>
      </c>
      <c r="Y152" s="492">
        <v>0</v>
      </c>
      <c r="Z152" s="492">
        <f t="shared" si="187"/>
        <v>0</v>
      </c>
      <c r="AA152" s="492">
        <f t="shared" si="188"/>
        <v>0</v>
      </c>
      <c r="AB152" s="74">
        <f t="shared" si="189"/>
        <v>0</v>
      </c>
      <c r="AC152" s="74">
        <f t="shared" si="190"/>
        <v>0</v>
      </c>
      <c r="AD152" s="492">
        <v>0</v>
      </c>
      <c r="AE152" s="492">
        <v>0</v>
      </c>
      <c r="AF152" s="492">
        <f>SUM(AD152:AE152)</f>
        <v>0</v>
      </c>
      <c r="AG152" s="492">
        <f>AA152+AB152+AC152+AF152</f>
        <v>0</v>
      </c>
      <c r="AH152" s="493">
        <v>0</v>
      </c>
      <c r="AI152" s="493">
        <v>0</v>
      </c>
      <c r="AJ152" s="493">
        <v>0</v>
      </c>
      <c r="AK152" s="493">
        <v>0</v>
      </c>
      <c r="AL152" s="493">
        <v>0</v>
      </c>
      <c r="AM152" s="493">
        <v>0</v>
      </c>
      <c r="AN152" s="493">
        <v>0</v>
      </c>
      <c r="AO152" s="493">
        <f t="shared" si="185"/>
        <v>0</v>
      </c>
      <c r="AP152" s="493">
        <f t="shared" si="186"/>
        <v>0</v>
      </c>
      <c r="AQ152" s="495">
        <f t="shared" si="191"/>
        <v>0</v>
      </c>
      <c r="AR152" s="501">
        <f>I152+AG152</f>
        <v>40367539</v>
      </c>
      <c r="AS152" s="492">
        <f>J152+V152</f>
        <v>28930341</v>
      </c>
      <c r="AT152" s="492">
        <f t="shared" ref="AT152:AT156" si="199">K152+Z152</f>
        <v>94250</v>
      </c>
      <c r="AU152" s="492">
        <f t="shared" ref="AU152:AV156" si="200">L152+AB152</f>
        <v>9810311</v>
      </c>
      <c r="AV152" s="492">
        <f t="shared" si="200"/>
        <v>578607</v>
      </c>
      <c r="AW152" s="492">
        <f>N152+AF152</f>
        <v>954030</v>
      </c>
      <c r="AX152" s="493">
        <f>O152+AQ152</f>
        <v>52.391799999999996</v>
      </c>
      <c r="AY152" s="493">
        <f t="shared" ref="AY152:AZ156" si="201">P152+AO152</f>
        <v>40.802999999999997</v>
      </c>
      <c r="AZ152" s="495">
        <f t="shared" si="201"/>
        <v>11.588799999999999</v>
      </c>
    </row>
    <row r="153" spans="1:52" ht="14.1" customHeight="1" x14ac:dyDescent="0.2">
      <c r="A153" s="72">
        <v>35</v>
      </c>
      <c r="B153" s="69">
        <v>2476</v>
      </c>
      <c r="C153" s="70">
        <v>600080170</v>
      </c>
      <c r="D153" s="69">
        <v>64040364</v>
      </c>
      <c r="E153" s="71" t="s">
        <v>639</v>
      </c>
      <c r="F153" s="72">
        <v>3113</v>
      </c>
      <c r="G153" s="84" t="s">
        <v>313</v>
      </c>
      <c r="H153" s="73" t="s">
        <v>279</v>
      </c>
      <c r="I153" s="494">
        <v>5569934</v>
      </c>
      <c r="J153" s="489">
        <v>4099915</v>
      </c>
      <c r="K153" s="489">
        <v>0</v>
      </c>
      <c r="L153" s="489">
        <v>1385771</v>
      </c>
      <c r="M153" s="489">
        <v>81998</v>
      </c>
      <c r="N153" s="489">
        <v>2250</v>
      </c>
      <c r="O153" s="490">
        <v>11.71</v>
      </c>
      <c r="P153" s="491">
        <v>11.71</v>
      </c>
      <c r="Q153" s="500">
        <v>0</v>
      </c>
      <c r="R153" s="502">
        <f t="shared" si="184"/>
        <v>0</v>
      </c>
      <c r="S153" s="492">
        <v>0</v>
      </c>
      <c r="T153" s="492">
        <v>0</v>
      </c>
      <c r="U153" s="492">
        <v>0</v>
      </c>
      <c r="V153" s="492">
        <f>SUM(R153:U153)</f>
        <v>0</v>
      </c>
      <c r="W153" s="492">
        <v>0</v>
      </c>
      <c r="X153" s="492">
        <v>0</v>
      </c>
      <c r="Y153" s="492">
        <v>0</v>
      </c>
      <c r="Z153" s="492">
        <f t="shared" si="187"/>
        <v>0</v>
      </c>
      <c r="AA153" s="492">
        <f t="shared" si="188"/>
        <v>0</v>
      </c>
      <c r="AB153" s="74">
        <f t="shared" si="189"/>
        <v>0</v>
      </c>
      <c r="AC153" s="74">
        <f t="shared" si="190"/>
        <v>0</v>
      </c>
      <c r="AD153" s="492">
        <v>0</v>
      </c>
      <c r="AE153" s="492">
        <v>0</v>
      </c>
      <c r="AF153" s="492">
        <f>SUM(AD153:AE153)</f>
        <v>0</v>
      </c>
      <c r="AG153" s="492">
        <f>AA153+AB153+AC153+AF153</f>
        <v>0</v>
      </c>
      <c r="AH153" s="493">
        <v>0</v>
      </c>
      <c r="AI153" s="493">
        <v>0</v>
      </c>
      <c r="AJ153" s="493">
        <v>0</v>
      </c>
      <c r="AK153" s="493">
        <v>0</v>
      </c>
      <c r="AL153" s="493">
        <v>0</v>
      </c>
      <c r="AM153" s="493">
        <v>0</v>
      </c>
      <c r="AN153" s="493">
        <v>0</v>
      </c>
      <c r="AO153" s="493">
        <f t="shared" si="185"/>
        <v>0</v>
      </c>
      <c r="AP153" s="493">
        <f t="shared" si="186"/>
        <v>0</v>
      </c>
      <c r="AQ153" s="495">
        <f t="shared" si="191"/>
        <v>0</v>
      </c>
      <c r="AR153" s="501">
        <f>I153+AG153</f>
        <v>5569934</v>
      </c>
      <c r="AS153" s="492">
        <f>J153+V153</f>
        <v>4099915</v>
      </c>
      <c r="AT153" s="492">
        <f t="shared" si="199"/>
        <v>0</v>
      </c>
      <c r="AU153" s="492">
        <f t="shared" si="200"/>
        <v>1385771</v>
      </c>
      <c r="AV153" s="492">
        <f t="shared" si="200"/>
        <v>81998</v>
      </c>
      <c r="AW153" s="492">
        <f>N153+AF153</f>
        <v>2250</v>
      </c>
      <c r="AX153" s="493">
        <f>O153+AQ153</f>
        <v>11.71</v>
      </c>
      <c r="AY153" s="493">
        <f t="shared" si="201"/>
        <v>11.71</v>
      </c>
      <c r="AZ153" s="495">
        <f t="shared" si="201"/>
        <v>0</v>
      </c>
    </row>
    <row r="154" spans="1:52" ht="14.1" customHeight="1" x14ac:dyDescent="0.2">
      <c r="A154" s="72">
        <v>35</v>
      </c>
      <c r="B154" s="69">
        <v>2476</v>
      </c>
      <c r="C154" s="70">
        <v>600080170</v>
      </c>
      <c r="D154" s="69">
        <v>64040364</v>
      </c>
      <c r="E154" s="71" t="s">
        <v>639</v>
      </c>
      <c r="F154" s="72">
        <v>3141</v>
      </c>
      <c r="G154" s="71" t="s">
        <v>316</v>
      </c>
      <c r="H154" s="73" t="s">
        <v>279</v>
      </c>
      <c r="I154" s="494">
        <v>3494624</v>
      </c>
      <c r="J154" s="489">
        <v>2549059</v>
      </c>
      <c r="K154" s="489">
        <v>0</v>
      </c>
      <c r="L154" s="489">
        <v>861582</v>
      </c>
      <c r="M154" s="489">
        <v>50981</v>
      </c>
      <c r="N154" s="489">
        <v>33002</v>
      </c>
      <c r="O154" s="490">
        <v>8.0299999999999994</v>
      </c>
      <c r="P154" s="491">
        <v>0</v>
      </c>
      <c r="Q154" s="500">
        <v>8.0299999999999994</v>
      </c>
      <c r="R154" s="502">
        <f t="shared" si="184"/>
        <v>0</v>
      </c>
      <c r="S154" s="492">
        <v>0</v>
      </c>
      <c r="T154" s="492">
        <v>0</v>
      </c>
      <c r="U154" s="492">
        <v>0</v>
      </c>
      <c r="V154" s="492">
        <f>SUM(R154:U154)</f>
        <v>0</v>
      </c>
      <c r="W154" s="492">
        <v>0</v>
      </c>
      <c r="X154" s="492">
        <v>0</v>
      </c>
      <c r="Y154" s="492">
        <v>0</v>
      </c>
      <c r="Z154" s="492">
        <f t="shared" si="187"/>
        <v>0</v>
      </c>
      <c r="AA154" s="492">
        <f t="shared" si="188"/>
        <v>0</v>
      </c>
      <c r="AB154" s="74">
        <f t="shared" si="189"/>
        <v>0</v>
      </c>
      <c r="AC154" s="74">
        <f t="shared" si="190"/>
        <v>0</v>
      </c>
      <c r="AD154" s="492">
        <v>0</v>
      </c>
      <c r="AE154" s="492">
        <v>0</v>
      </c>
      <c r="AF154" s="492">
        <f>SUM(AD154:AE154)</f>
        <v>0</v>
      </c>
      <c r="AG154" s="492">
        <f>AA154+AB154+AC154+AF154</f>
        <v>0</v>
      </c>
      <c r="AH154" s="493">
        <v>0</v>
      </c>
      <c r="AI154" s="493">
        <v>0</v>
      </c>
      <c r="AJ154" s="493">
        <v>0</v>
      </c>
      <c r="AK154" s="493">
        <v>0</v>
      </c>
      <c r="AL154" s="493">
        <v>0</v>
      </c>
      <c r="AM154" s="493">
        <v>0</v>
      </c>
      <c r="AN154" s="493">
        <v>0</v>
      </c>
      <c r="AO154" s="493">
        <f t="shared" si="185"/>
        <v>0</v>
      </c>
      <c r="AP154" s="493">
        <f t="shared" si="186"/>
        <v>0</v>
      </c>
      <c r="AQ154" s="495">
        <f t="shared" si="191"/>
        <v>0</v>
      </c>
      <c r="AR154" s="501">
        <f>I154+AG154</f>
        <v>3494624</v>
      </c>
      <c r="AS154" s="492">
        <f>J154+V154</f>
        <v>2549059</v>
      </c>
      <c r="AT154" s="492">
        <f t="shared" si="199"/>
        <v>0</v>
      </c>
      <c r="AU154" s="492">
        <f t="shared" si="200"/>
        <v>861582</v>
      </c>
      <c r="AV154" s="492">
        <f t="shared" si="200"/>
        <v>50981</v>
      </c>
      <c r="AW154" s="492">
        <f>N154+AF154</f>
        <v>33002</v>
      </c>
      <c r="AX154" s="493">
        <f>O154+AQ154</f>
        <v>8.0299999999999994</v>
      </c>
      <c r="AY154" s="493">
        <f t="shared" si="201"/>
        <v>0</v>
      </c>
      <c r="AZ154" s="495">
        <f t="shared" si="201"/>
        <v>8.0299999999999994</v>
      </c>
    </row>
    <row r="155" spans="1:52" ht="14.1" customHeight="1" x14ac:dyDescent="0.2">
      <c r="A155" s="72">
        <v>35</v>
      </c>
      <c r="B155" s="69">
        <v>2476</v>
      </c>
      <c r="C155" s="70">
        <v>600080170</v>
      </c>
      <c r="D155" s="69">
        <v>64040364</v>
      </c>
      <c r="E155" s="71" t="s">
        <v>639</v>
      </c>
      <c r="F155" s="72">
        <v>3143</v>
      </c>
      <c r="G155" s="84" t="s">
        <v>629</v>
      </c>
      <c r="H155" s="73" t="s">
        <v>278</v>
      </c>
      <c r="I155" s="494">
        <v>4161625</v>
      </c>
      <c r="J155" s="489">
        <v>3061323</v>
      </c>
      <c r="K155" s="489">
        <v>3250</v>
      </c>
      <c r="L155" s="489">
        <v>1035826</v>
      </c>
      <c r="M155" s="489">
        <v>61226</v>
      </c>
      <c r="N155" s="489">
        <v>0</v>
      </c>
      <c r="O155" s="490">
        <v>6.0369999999999999</v>
      </c>
      <c r="P155" s="490">
        <v>6.0369999999999999</v>
      </c>
      <c r="Q155" s="500">
        <v>0</v>
      </c>
      <c r="R155" s="502">
        <f t="shared" si="184"/>
        <v>0</v>
      </c>
      <c r="S155" s="492">
        <v>0</v>
      </c>
      <c r="T155" s="492">
        <v>0</v>
      </c>
      <c r="U155" s="492">
        <v>0</v>
      </c>
      <c r="V155" s="492">
        <f>SUM(R155:U155)</f>
        <v>0</v>
      </c>
      <c r="W155" s="492">
        <v>0</v>
      </c>
      <c r="X155" s="492">
        <v>0</v>
      </c>
      <c r="Y155" s="492">
        <v>0</v>
      </c>
      <c r="Z155" s="492">
        <f t="shared" si="187"/>
        <v>0</v>
      </c>
      <c r="AA155" s="492">
        <f t="shared" si="188"/>
        <v>0</v>
      </c>
      <c r="AB155" s="74">
        <f t="shared" si="189"/>
        <v>0</v>
      </c>
      <c r="AC155" s="74">
        <f t="shared" si="190"/>
        <v>0</v>
      </c>
      <c r="AD155" s="492">
        <v>0</v>
      </c>
      <c r="AE155" s="492">
        <v>0</v>
      </c>
      <c r="AF155" s="492">
        <f>SUM(AD155:AE155)</f>
        <v>0</v>
      </c>
      <c r="AG155" s="492">
        <f>AA155+AB155+AC155+AF155</f>
        <v>0</v>
      </c>
      <c r="AH155" s="493">
        <v>0</v>
      </c>
      <c r="AI155" s="493">
        <v>0</v>
      </c>
      <c r="AJ155" s="493">
        <v>0</v>
      </c>
      <c r="AK155" s="493">
        <v>0</v>
      </c>
      <c r="AL155" s="493">
        <v>0</v>
      </c>
      <c r="AM155" s="493">
        <v>0</v>
      </c>
      <c r="AN155" s="493">
        <v>0</v>
      </c>
      <c r="AO155" s="493">
        <f t="shared" si="185"/>
        <v>0</v>
      </c>
      <c r="AP155" s="493">
        <f t="shared" si="186"/>
        <v>0</v>
      </c>
      <c r="AQ155" s="495">
        <f t="shared" si="191"/>
        <v>0</v>
      </c>
      <c r="AR155" s="501">
        <f>I155+AG155</f>
        <v>4161625</v>
      </c>
      <c r="AS155" s="492">
        <f>J155+V155</f>
        <v>3061323</v>
      </c>
      <c r="AT155" s="492">
        <f t="shared" si="199"/>
        <v>3250</v>
      </c>
      <c r="AU155" s="492">
        <f t="shared" si="200"/>
        <v>1035826</v>
      </c>
      <c r="AV155" s="492">
        <f t="shared" si="200"/>
        <v>61226</v>
      </c>
      <c r="AW155" s="492">
        <f>N155+AF155</f>
        <v>0</v>
      </c>
      <c r="AX155" s="493">
        <f>O155+AQ155</f>
        <v>6.0369999999999999</v>
      </c>
      <c r="AY155" s="493">
        <f t="shared" si="201"/>
        <v>6.0369999999999999</v>
      </c>
      <c r="AZ155" s="495">
        <f t="shared" si="201"/>
        <v>0</v>
      </c>
    </row>
    <row r="156" spans="1:52" ht="14.1" customHeight="1" x14ac:dyDescent="0.2">
      <c r="A156" s="72">
        <v>35</v>
      </c>
      <c r="B156" s="69">
        <v>2476</v>
      </c>
      <c r="C156" s="70">
        <v>600080170</v>
      </c>
      <c r="D156" s="69">
        <v>64040364</v>
      </c>
      <c r="E156" s="71" t="s">
        <v>639</v>
      </c>
      <c r="F156" s="72">
        <v>3143</v>
      </c>
      <c r="G156" s="84" t="s">
        <v>630</v>
      </c>
      <c r="H156" s="73" t="s">
        <v>279</v>
      </c>
      <c r="I156" s="494">
        <v>154223</v>
      </c>
      <c r="J156" s="489">
        <v>109060</v>
      </c>
      <c r="K156" s="489">
        <v>0</v>
      </c>
      <c r="L156" s="489">
        <v>36862</v>
      </c>
      <c r="M156" s="489">
        <v>2181</v>
      </c>
      <c r="N156" s="489">
        <v>6120</v>
      </c>
      <c r="O156" s="490">
        <v>0.43</v>
      </c>
      <c r="P156" s="491">
        <v>0</v>
      </c>
      <c r="Q156" s="500">
        <v>0.43</v>
      </c>
      <c r="R156" s="502">
        <f t="shared" si="184"/>
        <v>0</v>
      </c>
      <c r="S156" s="492">
        <v>0</v>
      </c>
      <c r="T156" s="492">
        <v>0</v>
      </c>
      <c r="U156" s="492">
        <v>0</v>
      </c>
      <c r="V156" s="492">
        <f>SUM(R156:U156)</f>
        <v>0</v>
      </c>
      <c r="W156" s="492">
        <v>0</v>
      </c>
      <c r="X156" s="492">
        <v>0</v>
      </c>
      <c r="Y156" s="492">
        <v>0</v>
      </c>
      <c r="Z156" s="492">
        <f t="shared" si="187"/>
        <v>0</v>
      </c>
      <c r="AA156" s="492">
        <f t="shared" si="188"/>
        <v>0</v>
      </c>
      <c r="AB156" s="74">
        <f t="shared" si="189"/>
        <v>0</v>
      </c>
      <c r="AC156" s="74">
        <f t="shared" si="190"/>
        <v>0</v>
      </c>
      <c r="AD156" s="492">
        <v>0</v>
      </c>
      <c r="AE156" s="492">
        <v>0</v>
      </c>
      <c r="AF156" s="492">
        <f>SUM(AD156:AE156)</f>
        <v>0</v>
      </c>
      <c r="AG156" s="492">
        <f>AA156+AB156+AC156+AF156</f>
        <v>0</v>
      </c>
      <c r="AH156" s="493">
        <v>0</v>
      </c>
      <c r="AI156" s="493">
        <v>0</v>
      </c>
      <c r="AJ156" s="493">
        <v>0</v>
      </c>
      <c r="AK156" s="493">
        <v>0</v>
      </c>
      <c r="AL156" s="493">
        <v>0</v>
      </c>
      <c r="AM156" s="493">
        <v>0</v>
      </c>
      <c r="AN156" s="493">
        <v>0</v>
      </c>
      <c r="AO156" s="493">
        <f t="shared" si="185"/>
        <v>0</v>
      </c>
      <c r="AP156" s="493">
        <f t="shared" si="186"/>
        <v>0</v>
      </c>
      <c r="AQ156" s="495">
        <f t="shared" si="191"/>
        <v>0</v>
      </c>
      <c r="AR156" s="501">
        <f>I156+AG156</f>
        <v>154223</v>
      </c>
      <c r="AS156" s="492">
        <f>J156+V156</f>
        <v>109060</v>
      </c>
      <c r="AT156" s="492">
        <f t="shared" si="199"/>
        <v>0</v>
      </c>
      <c r="AU156" s="492">
        <f t="shared" si="200"/>
        <v>36862</v>
      </c>
      <c r="AV156" s="492">
        <f t="shared" si="200"/>
        <v>2181</v>
      </c>
      <c r="AW156" s="492">
        <f>N156+AF156</f>
        <v>6120</v>
      </c>
      <c r="AX156" s="493">
        <f>O156+AQ156</f>
        <v>0.43</v>
      </c>
      <c r="AY156" s="493">
        <f t="shared" si="201"/>
        <v>0</v>
      </c>
      <c r="AZ156" s="495">
        <f t="shared" si="201"/>
        <v>0.43</v>
      </c>
    </row>
    <row r="157" spans="1:52" ht="14.1" customHeight="1" x14ac:dyDescent="0.2">
      <c r="A157" s="78">
        <v>35</v>
      </c>
      <c r="B157" s="75">
        <v>2476</v>
      </c>
      <c r="C157" s="76">
        <v>600080170</v>
      </c>
      <c r="D157" s="75">
        <v>64040364</v>
      </c>
      <c r="E157" s="77" t="s">
        <v>640</v>
      </c>
      <c r="F157" s="78"/>
      <c r="G157" s="77"/>
      <c r="H157" s="79"/>
      <c r="I157" s="80">
        <v>53747945</v>
      </c>
      <c r="J157" s="81">
        <v>38749698</v>
      </c>
      <c r="K157" s="81">
        <v>97500</v>
      </c>
      <c r="L157" s="81">
        <v>13130352</v>
      </c>
      <c r="M157" s="81">
        <v>774993</v>
      </c>
      <c r="N157" s="81">
        <v>995402</v>
      </c>
      <c r="O157" s="82">
        <v>78.598800000000011</v>
      </c>
      <c r="P157" s="82">
        <v>58.55</v>
      </c>
      <c r="Q157" s="452">
        <v>20.0488</v>
      </c>
      <c r="R157" s="80">
        <f t="shared" ref="R157:AZ157" si="202">SUM(R152:R156)</f>
        <v>0</v>
      </c>
      <c r="S157" s="81">
        <f t="shared" si="202"/>
        <v>0</v>
      </c>
      <c r="T157" s="81">
        <f t="shared" si="202"/>
        <v>0</v>
      </c>
      <c r="U157" s="81">
        <f t="shared" si="202"/>
        <v>0</v>
      </c>
      <c r="V157" s="81">
        <f t="shared" si="202"/>
        <v>0</v>
      </c>
      <c r="W157" s="81">
        <f t="shared" si="202"/>
        <v>0</v>
      </c>
      <c r="X157" s="81">
        <f t="shared" si="202"/>
        <v>0</v>
      </c>
      <c r="Y157" s="81">
        <f t="shared" si="202"/>
        <v>0</v>
      </c>
      <c r="Z157" s="81">
        <f t="shared" si="202"/>
        <v>0</v>
      </c>
      <c r="AA157" s="81">
        <f t="shared" si="202"/>
        <v>0</v>
      </c>
      <c r="AB157" s="81">
        <f t="shared" si="202"/>
        <v>0</v>
      </c>
      <c r="AC157" s="81">
        <f t="shared" si="202"/>
        <v>0</v>
      </c>
      <c r="AD157" s="81">
        <f t="shared" si="202"/>
        <v>0</v>
      </c>
      <c r="AE157" s="81">
        <f t="shared" si="202"/>
        <v>0</v>
      </c>
      <c r="AF157" s="81">
        <f t="shared" si="202"/>
        <v>0</v>
      </c>
      <c r="AG157" s="81">
        <f t="shared" si="202"/>
        <v>0</v>
      </c>
      <c r="AH157" s="82">
        <f t="shared" si="202"/>
        <v>0</v>
      </c>
      <c r="AI157" s="82">
        <f t="shared" si="202"/>
        <v>0</v>
      </c>
      <c r="AJ157" s="82">
        <f t="shared" si="202"/>
        <v>0</v>
      </c>
      <c r="AK157" s="82">
        <f t="shared" ref="AK157:AL157" si="203">SUM(AK152:AK156)</f>
        <v>0</v>
      </c>
      <c r="AL157" s="82">
        <f t="shared" si="203"/>
        <v>0</v>
      </c>
      <c r="AM157" s="82">
        <f t="shared" si="202"/>
        <v>0</v>
      </c>
      <c r="AN157" s="82">
        <f t="shared" si="202"/>
        <v>0</v>
      </c>
      <c r="AO157" s="82">
        <f t="shared" si="202"/>
        <v>0</v>
      </c>
      <c r="AP157" s="82">
        <f t="shared" si="202"/>
        <v>0</v>
      </c>
      <c r="AQ157" s="83">
        <f t="shared" si="202"/>
        <v>0</v>
      </c>
      <c r="AR157" s="438">
        <f t="shared" si="202"/>
        <v>53747945</v>
      </c>
      <c r="AS157" s="81">
        <f t="shared" si="202"/>
        <v>38749698</v>
      </c>
      <c r="AT157" s="81">
        <f t="shared" si="202"/>
        <v>97500</v>
      </c>
      <c r="AU157" s="81">
        <f t="shared" si="202"/>
        <v>13130352</v>
      </c>
      <c r="AV157" s="81">
        <f t="shared" si="202"/>
        <v>774993</v>
      </c>
      <c r="AW157" s="81">
        <f t="shared" si="202"/>
        <v>995402</v>
      </c>
      <c r="AX157" s="82">
        <f t="shared" si="202"/>
        <v>78.598800000000011</v>
      </c>
      <c r="AY157" s="82">
        <f t="shared" si="202"/>
        <v>58.55</v>
      </c>
      <c r="AZ157" s="83">
        <f t="shared" si="202"/>
        <v>20.0488</v>
      </c>
    </row>
    <row r="158" spans="1:52" ht="14.1" customHeight="1" x14ac:dyDescent="0.2">
      <c r="A158" s="72">
        <v>36</v>
      </c>
      <c r="B158" s="69">
        <v>2477</v>
      </c>
      <c r="C158" s="70">
        <v>600079872</v>
      </c>
      <c r="D158" s="69">
        <v>68975147</v>
      </c>
      <c r="E158" s="71" t="s">
        <v>641</v>
      </c>
      <c r="F158" s="72">
        <v>3113</v>
      </c>
      <c r="G158" s="71" t="s">
        <v>315</v>
      </c>
      <c r="H158" s="73" t="s">
        <v>278</v>
      </c>
      <c r="I158" s="494">
        <v>45895842</v>
      </c>
      <c r="J158" s="489">
        <v>32971421</v>
      </c>
      <c r="K158" s="489">
        <v>58500</v>
      </c>
      <c r="L158" s="489">
        <v>11164113</v>
      </c>
      <c r="M158" s="489">
        <v>659428</v>
      </c>
      <c r="N158" s="489">
        <v>1042380</v>
      </c>
      <c r="O158" s="490">
        <v>57.453499999999998</v>
      </c>
      <c r="P158" s="490">
        <v>45.047899999999998</v>
      </c>
      <c r="Q158" s="500">
        <v>12.4056</v>
      </c>
      <c r="R158" s="502">
        <f t="shared" si="184"/>
        <v>0</v>
      </c>
      <c r="S158" s="492">
        <v>0</v>
      </c>
      <c r="T158" s="492">
        <v>0</v>
      </c>
      <c r="U158" s="492">
        <v>0</v>
      </c>
      <c r="V158" s="492">
        <f>SUM(R158:U158)</f>
        <v>0</v>
      </c>
      <c r="W158" s="492">
        <v>0</v>
      </c>
      <c r="X158" s="492">
        <v>0</v>
      </c>
      <c r="Y158" s="492">
        <v>0</v>
      </c>
      <c r="Z158" s="492">
        <f t="shared" si="187"/>
        <v>0</v>
      </c>
      <c r="AA158" s="492">
        <f t="shared" si="188"/>
        <v>0</v>
      </c>
      <c r="AB158" s="74">
        <f t="shared" si="189"/>
        <v>0</v>
      </c>
      <c r="AC158" s="74">
        <f t="shared" si="190"/>
        <v>0</v>
      </c>
      <c r="AD158" s="492">
        <v>0</v>
      </c>
      <c r="AE158" s="492">
        <v>0</v>
      </c>
      <c r="AF158" s="492">
        <f>SUM(AD158:AE158)</f>
        <v>0</v>
      </c>
      <c r="AG158" s="492">
        <f>AA158+AB158+AC158+AF158</f>
        <v>0</v>
      </c>
      <c r="AH158" s="493">
        <v>0</v>
      </c>
      <c r="AI158" s="493">
        <v>0</v>
      </c>
      <c r="AJ158" s="493">
        <v>0</v>
      </c>
      <c r="AK158" s="493">
        <v>0</v>
      </c>
      <c r="AL158" s="493">
        <v>0</v>
      </c>
      <c r="AM158" s="493">
        <v>0</v>
      </c>
      <c r="AN158" s="493">
        <v>0</v>
      </c>
      <c r="AO158" s="493">
        <f t="shared" si="185"/>
        <v>0</v>
      </c>
      <c r="AP158" s="493">
        <f t="shared" si="186"/>
        <v>0</v>
      </c>
      <c r="AQ158" s="495">
        <f t="shared" si="191"/>
        <v>0</v>
      </c>
      <c r="AR158" s="501">
        <f>I158+AG158</f>
        <v>45895842</v>
      </c>
      <c r="AS158" s="492">
        <f>J158+V158</f>
        <v>32971421</v>
      </c>
      <c r="AT158" s="492">
        <f t="shared" ref="AT158:AT161" si="204">K158+Z158</f>
        <v>58500</v>
      </c>
      <c r="AU158" s="492">
        <f t="shared" ref="AU158:AV161" si="205">L158+AB158</f>
        <v>11164113</v>
      </c>
      <c r="AV158" s="492">
        <f t="shared" si="205"/>
        <v>659428</v>
      </c>
      <c r="AW158" s="492">
        <f>N158+AF158</f>
        <v>1042380</v>
      </c>
      <c r="AX158" s="493">
        <f>O158+AQ158</f>
        <v>57.453499999999998</v>
      </c>
      <c r="AY158" s="493">
        <f t="shared" ref="AY158:AZ161" si="206">P158+AO158</f>
        <v>45.047899999999998</v>
      </c>
      <c r="AZ158" s="495">
        <f t="shared" si="206"/>
        <v>12.4056</v>
      </c>
    </row>
    <row r="159" spans="1:52" ht="14.1" customHeight="1" x14ac:dyDescent="0.2">
      <c r="A159" s="72">
        <v>36</v>
      </c>
      <c r="B159" s="69">
        <v>2477</v>
      </c>
      <c r="C159" s="70">
        <v>600079872</v>
      </c>
      <c r="D159" s="69">
        <v>68975147</v>
      </c>
      <c r="E159" s="71" t="s">
        <v>641</v>
      </c>
      <c r="F159" s="72">
        <v>3113</v>
      </c>
      <c r="G159" s="84" t="s">
        <v>313</v>
      </c>
      <c r="H159" s="73" t="s">
        <v>279</v>
      </c>
      <c r="I159" s="494">
        <v>3297500</v>
      </c>
      <c r="J159" s="489">
        <v>2428203</v>
      </c>
      <c r="K159" s="489">
        <v>0</v>
      </c>
      <c r="L159" s="489">
        <v>820733</v>
      </c>
      <c r="M159" s="489">
        <v>48564</v>
      </c>
      <c r="N159" s="489">
        <v>0</v>
      </c>
      <c r="O159" s="490">
        <v>6.8999999999999995</v>
      </c>
      <c r="P159" s="491">
        <v>6.8999999999999995</v>
      </c>
      <c r="Q159" s="500">
        <v>0</v>
      </c>
      <c r="R159" s="502">
        <f t="shared" si="184"/>
        <v>0</v>
      </c>
      <c r="S159" s="492">
        <v>0</v>
      </c>
      <c r="T159" s="492">
        <v>0</v>
      </c>
      <c r="U159" s="492">
        <v>0</v>
      </c>
      <c r="V159" s="492">
        <f>SUM(R159:U159)</f>
        <v>0</v>
      </c>
      <c r="W159" s="492">
        <v>0</v>
      </c>
      <c r="X159" s="492">
        <v>0</v>
      </c>
      <c r="Y159" s="492">
        <v>0</v>
      </c>
      <c r="Z159" s="492">
        <f t="shared" si="187"/>
        <v>0</v>
      </c>
      <c r="AA159" s="492">
        <f t="shared" si="188"/>
        <v>0</v>
      </c>
      <c r="AB159" s="74">
        <f t="shared" si="189"/>
        <v>0</v>
      </c>
      <c r="AC159" s="74">
        <f t="shared" si="190"/>
        <v>0</v>
      </c>
      <c r="AD159" s="492">
        <v>0</v>
      </c>
      <c r="AE159" s="492">
        <v>0</v>
      </c>
      <c r="AF159" s="492">
        <f>SUM(AD159:AE159)</f>
        <v>0</v>
      </c>
      <c r="AG159" s="492">
        <f>AA159+AB159+AC159+AF159</f>
        <v>0</v>
      </c>
      <c r="AH159" s="493">
        <v>0</v>
      </c>
      <c r="AI159" s="493">
        <v>0</v>
      </c>
      <c r="AJ159" s="493">
        <v>0</v>
      </c>
      <c r="AK159" s="493">
        <v>0</v>
      </c>
      <c r="AL159" s="493">
        <v>0</v>
      </c>
      <c r="AM159" s="493">
        <v>0</v>
      </c>
      <c r="AN159" s="493">
        <v>0</v>
      </c>
      <c r="AO159" s="493">
        <f t="shared" si="185"/>
        <v>0</v>
      </c>
      <c r="AP159" s="493">
        <f t="shared" si="186"/>
        <v>0</v>
      </c>
      <c r="AQ159" s="495">
        <f t="shared" si="191"/>
        <v>0</v>
      </c>
      <c r="AR159" s="501">
        <f>I159+AG159</f>
        <v>3297500</v>
      </c>
      <c r="AS159" s="492">
        <f>J159+V159</f>
        <v>2428203</v>
      </c>
      <c r="AT159" s="492">
        <f t="shared" si="204"/>
        <v>0</v>
      </c>
      <c r="AU159" s="492">
        <f t="shared" si="205"/>
        <v>820733</v>
      </c>
      <c r="AV159" s="492">
        <f t="shared" si="205"/>
        <v>48564</v>
      </c>
      <c r="AW159" s="492">
        <f>N159+AF159</f>
        <v>0</v>
      </c>
      <c r="AX159" s="493">
        <f>O159+AQ159</f>
        <v>6.8999999999999995</v>
      </c>
      <c r="AY159" s="493">
        <f t="shared" si="206"/>
        <v>6.8999999999999995</v>
      </c>
      <c r="AZ159" s="495">
        <f t="shared" si="206"/>
        <v>0</v>
      </c>
    </row>
    <row r="160" spans="1:52" ht="14.1" customHeight="1" x14ac:dyDescent="0.2">
      <c r="A160" s="72">
        <v>36</v>
      </c>
      <c r="B160" s="69">
        <v>2477</v>
      </c>
      <c r="C160" s="70">
        <v>600079872</v>
      </c>
      <c r="D160" s="69">
        <v>68975147</v>
      </c>
      <c r="E160" s="71" t="s">
        <v>641</v>
      </c>
      <c r="F160" s="72">
        <v>3143</v>
      </c>
      <c r="G160" s="84" t="s">
        <v>629</v>
      </c>
      <c r="H160" s="73" t="s">
        <v>278</v>
      </c>
      <c r="I160" s="494">
        <v>4326748</v>
      </c>
      <c r="J160" s="489">
        <v>3186118</v>
      </c>
      <c r="K160" s="489">
        <v>0</v>
      </c>
      <c r="L160" s="489">
        <v>1076908</v>
      </c>
      <c r="M160" s="489">
        <v>63722</v>
      </c>
      <c r="N160" s="489">
        <v>0</v>
      </c>
      <c r="O160" s="490">
        <v>6.1428000000000003</v>
      </c>
      <c r="P160" s="490">
        <v>6.1428000000000003</v>
      </c>
      <c r="Q160" s="500">
        <v>0</v>
      </c>
      <c r="R160" s="502">
        <f t="shared" si="184"/>
        <v>0</v>
      </c>
      <c r="S160" s="492">
        <v>0</v>
      </c>
      <c r="T160" s="492">
        <v>0</v>
      </c>
      <c r="U160" s="492">
        <v>0</v>
      </c>
      <c r="V160" s="492">
        <f>SUM(R160:U160)</f>
        <v>0</v>
      </c>
      <c r="W160" s="492">
        <v>0</v>
      </c>
      <c r="X160" s="492">
        <v>0</v>
      </c>
      <c r="Y160" s="492">
        <v>0</v>
      </c>
      <c r="Z160" s="492">
        <f t="shared" si="187"/>
        <v>0</v>
      </c>
      <c r="AA160" s="492">
        <f t="shared" si="188"/>
        <v>0</v>
      </c>
      <c r="AB160" s="74">
        <f t="shared" si="189"/>
        <v>0</v>
      </c>
      <c r="AC160" s="74">
        <f t="shared" si="190"/>
        <v>0</v>
      </c>
      <c r="AD160" s="492">
        <v>0</v>
      </c>
      <c r="AE160" s="492">
        <v>0</v>
      </c>
      <c r="AF160" s="492">
        <f>SUM(AD160:AE160)</f>
        <v>0</v>
      </c>
      <c r="AG160" s="492">
        <f>AA160+AB160+AC160+AF160</f>
        <v>0</v>
      </c>
      <c r="AH160" s="493">
        <v>0</v>
      </c>
      <c r="AI160" s="493">
        <v>0</v>
      </c>
      <c r="AJ160" s="493">
        <v>0</v>
      </c>
      <c r="AK160" s="493">
        <v>0</v>
      </c>
      <c r="AL160" s="493">
        <v>0</v>
      </c>
      <c r="AM160" s="493">
        <v>0</v>
      </c>
      <c r="AN160" s="493">
        <v>0</v>
      </c>
      <c r="AO160" s="493">
        <f t="shared" si="185"/>
        <v>0</v>
      </c>
      <c r="AP160" s="493">
        <f t="shared" si="186"/>
        <v>0</v>
      </c>
      <c r="AQ160" s="495">
        <f t="shared" si="191"/>
        <v>0</v>
      </c>
      <c r="AR160" s="501">
        <f>I160+AG160</f>
        <v>4326748</v>
      </c>
      <c r="AS160" s="492">
        <f>J160+V160</f>
        <v>3186118</v>
      </c>
      <c r="AT160" s="492">
        <f t="shared" si="204"/>
        <v>0</v>
      </c>
      <c r="AU160" s="492">
        <f t="shared" si="205"/>
        <v>1076908</v>
      </c>
      <c r="AV160" s="492">
        <f t="shared" si="205"/>
        <v>63722</v>
      </c>
      <c r="AW160" s="492">
        <f>N160+AF160</f>
        <v>0</v>
      </c>
      <c r="AX160" s="493">
        <f>O160+AQ160</f>
        <v>6.1428000000000003</v>
      </c>
      <c r="AY160" s="493">
        <f t="shared" si="206"/>
        <v>6.1428000000000003</v>
      </c>
      <c r="AZ160" s="495">
        <f t="shared" si="206"/>
        <v>0</v>
      </c>
    </row>
    <row r="161" spans="1:52" ht="14.1" customHeight="1" x14ac:dyDescent="0.2">
      <c r="A161" s="72">
        <v>36</v>
      </c>
      <c r="B161" s="69">
        <v>2477</v>
      </c>
      <c r="C161" s="70">
        <v>600079872</v>
      </c>
      <c r="D161" s="69">
        <v>68975147</v>
      </c>
      <c r="E161" s="71" t="s">
        <v>641</v>
      </c>
      <c r="F161" s="72">
        <v>3143</v>
      </c>
      <c r="G161" s="84" t="s">
        <v>630</v>
      </c>
      <c r="H161" s="73" t="s">
        <v>279</v>
      </c>
      <c r="I161" s="494">
        <v>148177</v>
      </c>
      <c r="J161" s="489">
        <v>104784</v>
      </c>
      <c r="K161" s="489">
        <v>0</v>
      </c>
      <c r="L161" s="489">
        <v>35417</v>
      </c>
      <c r="M161" s="489">
        <v>2096</v>
      </c>
      <c r="N161" s="489">
        <v>5880</v>
      </c>
      <c r="O161" s="490">
        <v>0.41</v>
      </c>
      <c r="P161" s="491">
        <v>0</v>
      </c>
      <c r="Q161" s="500">
        <v>0.41</v>
      </c>
      <c r="R161" s="502">
        <f t="shared" si="184"/>
        <v>0</v>
      </c>
      <c r="S161" s="492">
        <v>0</v>
      </c>
      <c r="T161" s="492">
        <v>0</v>
      </c>
      <c r="U161" s="492">
        <v>0</v>
      </c>
      <c r="V161" s="492">
        <f>SUM(R161:U161)</f>
        <v>0</v>
      </c>
      <c r="W161" s="492">
        <v>0</v>
      </c>
      <c r="X161" s="492">
        <v>0</v>
      </c>
      <c r="Y161" s="492">
        <v>0</v>
      </c>
      <c r="Z161" s="492">
        <f t="shared" si="187"/>
        <v>0</v>
      </c>
      <c r="AA161" s="492">
        <f t="shared" si="188"/>
        <v>0</v>
      </c>
      <c r="AB161" s="74">
        <f t="shared" si="189"/>
        <v>0</v>
      </c>
      <c r="AC161" s="74">
        <f t="shared" si="190"/>
        <v>0</v>
      </c>
      <c r="AD161" s="492">
        <v>0</v>
      </c>
      <c r="AE161" s="492">
        <v>0</v>
      </c>
      <c r="AF161" s="492">
        <f>SUM(AD161:AE161)</f>
        <v>0</v>
      </c>
      <c r="AG161" s="492">
        <f>AA161+AB161+AC161+AF161</f>
        <v>0</v>
      </c>
      <c r="AH161" s="493">
        <v>0</v>
      </c>
      <c r="AI161" s="493">
        <v>0</v>
      </c>
      <c r="AJ161" s="493">
        <v>0</v>
      </c>
      <c r="AK161" s="493">
        <v>0</v>
      </c>
      <c r="AL161" s="493">
        <v>0</v>
      </c>
      <c r="AM161" s="493">
        <v>0</v>
      </c>
      <c r="AN161" s="493">
        <v>0</v>
      </c>
      <c r="AO161" s="493">
        <f t="shared" si="185"/>
        <v>0</v>
      </c>
      <c r="AP161" s="493">
        <f t="shared" si="186"/>
        <v>0</v>
      </c>
      <c r="AQ161" s="495">
        <f t="shared" si="191"/>
        <v>0</v>
      </c>
      <c r="AR161" s="501">
        <f>I161+AG161</f>
        <v>148177</v>
      </c>
      <c r="AS161" s="492">
        <f>J161+V161</f>
        <v>104784</v>
      </c>
      <c r="AT161" s="492">
        <f t="shared" si="204"/>
        <v>0</v>
      </c>
      <c r="AU161" s="492">
        <f t="shared" si="205"/>
        <v>35417</v>
      </c>
      <c r="AV161" s="492">
        <f t="shared" si="205"/>
        <v>2096</v>
      </c>
      <c r="AW161" s="492">
        <f>N161+AF161</f>
        <v>5880</v>
      </c>
      <c r="AX161" s="493">
        <f>O161+AQ161</f>
        <v>0.41</v>
      </c>
      <c r="AY161" s="493">
        <f t="shared" si="206"/>
        <v>0</v>
      </c>
      <c r="AZ161" s="495">
        <f t="shared" si="206"/>
        <v>0.41</v>
      </c>
    </row>
    <row r="162" spans="1:52" ht="14.1" customHeight="1" x14ac:dyDescent="0.2">
      <c r="A162" s="78">
        <v>36</v>
      </c>
      <c r="B162" s="75">
        <v>2477</v>
      </c>
      <c r="C162" s="76">
        <v>600079872</v>
      </c>
      <c r="D162" s="75">
        <v>68975147</v>
      </c>
      <c r="E162" s="77" t="s">
        <v>642</v>
      </c>
      <c r="F162" s="78"/>
      <c r="G162" s="77"/>
      <c r="H162" s="79"/>
      <c r="I162" s="80">
        <v>53668267</v>
      </c>
      <c r="J162" s="81">
        <v>38690526</v>
      </c>
      <c r="K162" s="81">
        <v>58500</v>
      </c>
      <c r="L162" s="81">
        <v>13097171</v>
      </c>
      <c r="M162" s="81">
        <v>773810</v>
      </c>
      <c r="N162" s="81">
        <v>1048260</v>
      </c>
      <c r="O162" s="82">
        <v>70.906299999999987</v>
      </c>
      <c r="P162" s="82">
        <v>58.090699999999998</v>
      </c>
      <c r="Q162" s="452">
        <v>12.8156</v>
      </c>
      <c r="R162" s="80">
        <f t="shared" ref="R162:AZ162" si="207">SUM(R158:R161)</f>
        <v>0</v>
      </c>
      <c r="S162" s="81">
        <f t="shared" si="207"/>
        <v>0</v>
      </c>
      <c r="T162" s="81">
        <f t="shared" si="207"/>
        <v>0</v>
      </c>
      <c r="U162" s="81">
        <f t="shared" si="207"/>
        <v>0</v>
      </c>
      <c r="V162" s="81">
        <f t="shared" si="207"/>
        <v>0</v>
      </c>
      <c r="W162" s="81">
        <f t="shared" si="207"/>
        <v>0</v>
      </c>
      <c r="X162" s="81">
        <f t="shared" si="207"/>
        <v>0</v>
      </c>
      <c r="Y162" s="81">
        <f t="shared" si="207"/>
        <v>0</v>
      </c>
      <c r="Z162" s="81">
        <f t="shared" si="207"/>
        <v>0</v>
      </c>
      <c r="AA162" s="81">
        <f t="shared" si="207"/>
        <v>0</v>
      </c>
      <c r="AB162" s="81">
        <f t="shared" si="207"/>
        <v>0</v>
      </c>
      <c r="AC162" s="81">
        <f t="shared" si="207"/>
        <v>0</v>
      </c>
      <c r="AD162" s="81">
        <f t="shared" si="207"/>
        <v>0</v>
      </c>
      <c r="AE162" s="81">
        <f t="shared" si="207"/>
        <v>0</v>
      </c>
      <c r="AF162" s="81">
        <f t="shared" si="207"/>
        <v>0</v>
      </c>
      <c r="AG162" s="81">
        <f t="shared" si="207"/>
        <v>0</v>
      </c>
      <c r="AH162" s="82">
        <f t="shared" si="207"/>
        <v>0</v>
      </c>
      <c r="AI162" s="82">
        <f t="shared" si="207"/>
        <v>0</v>
      </c>
      <c r="AJ162" s="82">
        <f t="shared" si="207"/>
        <v>0</v>
      </c>
      <c r="AK162" s="82">
        <f t="shared" ref="AK162:AL162" si="208">SUM(AK158:AK161)</f>
        <v>0</v>
      </c>
      <c r="AL162" s="82">
        <f t="shared" si="208"/>
        <v>0</v>
      </c>
      <c r="AM162" s="82">
        <f t="shared" si="207"/>
        <v>0</v>
      </c>
      <c r="AN162" s="82">
        <f t="shared" si="207"/>
        <v>0</v>
      </c>
      <c r="AO162" s="82">
        <f t="shared" si="207"/>
        <v>0</v>
      </c>
      <c r="AP162" s="82">
        <f t="shared" si="207"/>
        <v>0</v>
      </c>
      <c r="AQ162" s="83">
        <f t="shared" si="207"/>
        <v>0</v>
      </c>
      <c r="AR162" s="438">
        <f t="shared" si="207"/>
        <v>53668267</v>
      </c>
      <c r="AS162" s="81">
        <f t="shared" si="207"/>
        <v>38690526</v>
      </c>
      <c r="AT162" s="81">
        <f t="shared" si="207"/>
        <v>58500</v>
      </c>
      <c r="AU162" s="81">
        <f t="shared" si="207"/>
        <v>13097171</v>
      </c>
      <c r="AV162" s="81">
        <f t="shared" si="207"/>
        <v>773810</v>
      </c>
      <c r="AW162" s="81">
        <f t="shared" si="207"/>
        <v>1048260</v>
      </c>
      <c r="AX162" s="82">
        <f t="shared" si="207"/>
        <v>70.906299999999987</v>
      </c>
      <c r="AY162" s="82">
        <f t="shared" si="207"/>
        <v>58.090699999999998</v>
      </c>
      <c r="AZ162" s="83">
        <f t="shared" si="207"/>
        <v>12.8156</v>
      </c>
    </row>
    <row r="163" spans="1:52" ht="14.1" customHeight="1" x14ac:dyDescent="0.2">
      <c r="A163" s="72">
        <v>37</v>
      </c>
      <c r="B163" s="69">
        <v>2470</v>
      </c>
      <c r="C163" s="70">
        <v>600080013</v>
      </c>
      <c r="D163" s="69">
        <v>72741554</v>
      </c>
      <c r="E163" s="71" t="s">
        <v>643</v>
      </c>
      <c r="F163" s="72">
        <v>3113</v>
      </c>
      <c r="G163" s="71" t="s">
        <v>315</v>
      </c>
      <c r="H163" s="73" t="s">
        <v>278</v>
      </c>
      <c r="I163" s="494">
        <v>38809418</v>
      </c>
      <c r="J163" s="489">
        <v>27775328</v>
      </c>
      <c r="K163" s="489">
        <v>188500</v>
      </c>
      <c r="L163" s="489">
        <v>9451774</v>
      </c>
      <c r="M163" s="489">
        <v>555506</v>
      </c>
      <c r="N163" s="489">
        <v>838310</v>
      </c>
      <c r="O163" s="490">
        <v>44.886199999999995</v>
      </c>
      <c r="P163" s="490">
        <v>36.086799999999997</v>
      </c>
      <c r="Q163" s="500">
        <v>8.7994000000000003</v>
      </c>
      <c r="R163" s="502">
        <f t="shared" si="184"/>
        <v>0</v>
      </c>
      <c r="S163" s="492">
        <v>0</v>
      </c>
      <c r="T163" s="492">
        <v>0</v>
      </c>
      <c r="U163" s="492">
        <v>0</v>
      </c>
      <c r="V163" s="492">
        <f>SUM(R163:U163)</f>
        <v>0</v>
      </c>
      <c r="W163" s="492">
        <v>0</v>
      </c>
      <c r="X163" s="492">
        <v>0</v>
      </c>
      <c r="Y163" s="492">
        <v>0</v>
      </c>
      <c r="Z163" s="492">
        <f t="shared" si="187"/>
        <v>0</v>
      </c>
      <c r="AA163" s="492">
        <f t="shared" si="188"/>
        <v>0</v>
      </c>
      <c r="AB163" s="74">
        <f t="shared" si="189"/>
        <v>0</v>
      </c>
      <c r="AC163" s="74">
        <f t="shared" si="190"/>
        <v>0</v>
      </c>
      <c r="AD163" s="492">
        <v>0</v>
      </c>
      <c r="AE163" s="492">
        <v>0</v>
      </c>
      <c r="AF163" s="492">
        <f>SUM(AD163:AE163)</f>
        <v>0</v>
      </c>
      <c r="AG163" s="492">
        <f>AA163+AB163+AC163+AF163</f>
        <v>0</v>
      </c>
      <c r="AH163" s="493">
        <v>0</v>
      </c>
      <c r="AI163" s="493">
        <v>0</v>
      </c>
      <c r="AJ163" s="493">
        <v>0</v>
      </c>
      <c r="AK163" s="493">
        <v>0</v>
      </c>
      <c r="AL163" s="493">
        <v>0</v>
      </c>
      <c r="AM163" s="493">
        <v>0</v>
      </c>
      <c r="AN163" s="493">
        <v>0</v>
      </c>
      <c r="AO163" s="493">
        <f t="shared" si="185"/>
        <v>0</v>
      </c>
      <c r="AP163" s="493">
        <f t="shared" si="186"/>
        <v>0</v>
      </c>
      <c r="AQ163" s="495">
        <f t="shared" si="191"/>
        <v>0</v>
      </c>
      <c r="AR163" s="501">
        <f>I163+AG163</f>
        <v>38809418</v>
      </c>
      <c r="AS163" s="492">
        <f>J163+V163</f>
        <v>27775328</v>
      </c>
      <c r="AT163" s="492">
        <f t="shared" ref="AT163:AT167" si="209">K163+Z163</f>
        <v>188500</v>
      </c>
      <c r="AU163" s="492">
        <f t="shared" ref="AU163:AV167" si="210">L163+AB163</f>
        <v>9451774</v>
      </c>
      <c r="AV163" s="492">
        <f t="shared" si="210"/>
        <v>555506</v>
      </c>
      <c r="AW163" s="492">
        <f>N163+AF163</f>
        <v>838310</v>
      </c>
      <c r="AX163" s="493">
        <f>O163+AQ163</f>
        <v>44.886199999999995</v>
      </c>
      <c r="AY163" s="493">
        <f t="shared" ref="AY163:AZ167" si="211">P163+AO163</f>
        <v>36.086799999999997</v>
      </c>
      <c r="AZ163" s="495">
        <f t="shared" si="211"/>
        <v>8.7994000000000003</v>
      </c>
    </row>
    <row r="164" spans="1:52" ht="14.1" customHeight="1" x14ac:dyDescent="0.2">
      <c r="A164" s="72">
        <v>37</v>
      </c>
      <c r="B164" s="69">
        <v>2470</v>
      </c>
      <c r="C164" s="70">
        <v>600080013</v>
      </c>
      <c r="D164" s="69">
        <v>72741554</v>
      </c>
      <c r="E164" s="71" t="s">
        <v>643</v>
      </c>
      <c r="F164" s="72">
        <v>3113</v>
      </c>
      <c r="G164" s="84" t="s">
        <v>313</v>
      </c>
      <c r="H164" s="73" t="s">
        <v>279</v>
      </c>
      <c r="I164" s="494">
        <v>1483522</v>
      </c>
      <c r="J164" s="489">
        <v>1092431</v>
      </c>
      <c r="K164" s="489">
        <v>0</v>
      </c>
      <c r="L164" s="489">
        <v>369242</v>
      </c>
      <c r="M164" s="489">
        <v>21849</v>
      </c>
      <c r="N164" s="489">
        <v>0</v>
      </c>
      <c r="O164" s="490">
        <v>2.93</v>
      </c>
      <c r="P164" s="491">
        <v>2.93</v>
      </c>
      <c r="Q164" s="500">
        <v>0</v>
      </c>
      <c r="R164" s="502">
        <f t="shared" si="184"/>
        <v>0</v>
      </c>
      <c r="S164" s="492">
        <v>0</v>
      </c>
      <c r="T164" s="492">
        <v>0</v>
      </c>
      <c r="U164" s="492">
        <v>0</v>
      </c>
      <c r="V164" s="492">
        <f>SUM(R164:U164)</f>
        <v>0</v>
      </c>
      <c r="W164" s="492">
        <v>0</v>
      </c>
      <c r="X164" s="492">
        <v>0</v>
      </c>
      <c r="Y164" s="492">
        <v>0</v>
      </c>
      <c r="Z164" s="492">
        <f t="shared" si="187"/>
        <v>0</v>
      </c>
      <c r="AA164" s="492">
        <f t="shared" si="188"/>
        <v>0</v>
      </c>
      <c r="AB164" s="74">
        <f t="shared" si="189"/>
        <v>0</v>
      </c>
      <c r="AC164" s="74">
        <f t="shared" si="190"/>
        <v>0</v>
      </c>
      <c r="AD164" s="492">
        <v>0</v>
      </c>
      <c r="AE164" s="492">
        <v>0</v>
      </c>
      <c r="AF164" s="492">
        <f>SUM(AD164:AE164)</f>
        <v>0</v>
      </c>
      <c r="AG164" s="492">
        <f>AA164+AB164+AC164+AF164</f>
        <v>0</v>
      </c>
      <c r="AH164" s="493">
        <v>0</v>
      </c>
      <c r="AI164" s="493">
        <v>0</v>
      </c>
      <c r="AJ164" s="493">
        <v>0</v>
      </c>
      <c r="AK164" s="493">
        <v>0</v>
      </c>
      <c r="AL164" s="493">
        <v>0</v>
      </c>
      <c r="AM164" s="493">
        <v>0</v>
      </c>
      <c r="AN164" s="493">
        <v>0</v>
      </c>
      <c r="AO164" s="493">
        <f t="shared" si="185"/>
        <v>0</v>
      </c>
      <c r="AP164" s="493">
        <f t="shared" si="186"/>
        <v>0</v>
      </c>
      <c r="AQ164" s="495">
        <f t="shared" si="191"/>
        <v>0</v>
      </c>
      <c r="AR164" s="501">
        <f>I164+AG164</f>
        <v>1483522</v>
      </c>
      <c r="AS164" s="492">
        <f>J164+V164</f>
        <v>1092431</v>
      </c>
      <c r="AT164" s="492">
        <f t="shared" si="209"/>
        <v>0</v>
      </c>
      <c r="AU164" s="492">
        <f t="shared" si="210"/>
        <v>369242</v>
      </c>
      <c r="AV164" s="492">
        <f t="shared" si="210"/>
        <v>21849</v>
      </c>
      <c r="AW164" s="492">
        <f>N164+AF164</f>
        <v>0</v>
      </c>
      <c r="AX164" s="493">
        <f>O164+AQ164</f>
        <v>2.93</v>
      </c>
      <c r="AY164" s="493">
        <f t="shared" si="211"/>
        <v>2.93</v>
      </c>
      <c r="AZ164" s="495">
        <f t="shared" si="211"/>
        <v>0</v>
      </c>
    </row>
    <row r="165" spans="1:52" ht="14.1" customHeight="1" x14ac:dyDescent="0.2">
      <c r="A165" s="72">
        <v>37</v>
      </c>
      <c r="B165" s="69">
        <v>2470</v>
      </c>
      <c r="C165" s="70">
        <v>600080013</v>
      </c>
      <c r="D165" s="69">
        <v>72741554</v>
      </c>
      <c r="E165" s="71" t="s">
        <v>643</v>
      </c>
      <c r="F165" s="72">
        <v>3141</v>
      </c>
      <c r="G165" s="84" t="s">
        <v>316</v>
      </c>
      <c r="H165" s="73" t="s">
        <v>279</v>
      </c>
      <c r="I165" s="494">
        <v>3449588</v>
      </c>
      <c r="J165" s="489">
        <v>2490663</v>
      </c>
      <c r="K165" s="489">
        <v>26000</v>
      </c>
      <c r="L165" s="489">
        <v>850632</v>
      </c>
      <c r="M165" s="489">
        <v>49813</v>
      </c>
      <c r="N165" s="489">
        <v>32480</v>
      </c>
      <c r="O165" s="490">
        <v>7.4399999999999995</v>
      </c>
      <c r="P165" s="491">
        <v>0</v>
      </c>
      <c r="Q165" s="500">
        <v>7.4399999999999995</v>
      </c>
      <c r="R165" s="502">
        <f t="shared" si="184"/>
        <v>0</v>
      </c>
      <c r="S165" s="492">
        <v>0</v>
      </c>
      <c r="T165" s="492">
        <v>0</v>
      </c>
      <c r="U165" s="492">
        <v>0</v>
      </c>
      <c r="V165" s="492">
        <f>SUM(R165:U165)</f>
        <v>0</v>
      </c>
      <c r="W165" s="492">
        <v>0</v>
      </c>
      <c r="X165" s="492">
        <v>0</v>
      </c>
      <c r="Y165" s="492">
        <v>0</v>
      </c>
      <c r="Z165" s="492">
        <f t="shared" si="187"/>
        <v>0</v>
      </c>
      <c r="AA165" s="492">
        <f t="shared" si="188"/>
        <v>0</v>
      </c>
      <c r="AB165" s="74">
        <f t="shared" si="189"/>
        <v>0</v>
      </c>
      <c r="AC165" s="74">
        <f t="shared" si="190"/>
        <v>0</v>
      </c>
      <c r="AD165" s="492">
        <v>0</v>
      </c>
      <c r="AE165" s="492">
        <v>0</v>
      </c>
      <c r="AF165" s="492">
        <f>SUM(AD165:AE165)</f>
        <v>0</v>
      </c>
      <c r="AG165" s="492">
        <f>AA165+AB165+AC165+AF165</f>
        <v>0</v>
      </c>
      <c r="AH165" s="493">
        <v>0</v>
      </c>
      <c r="AI165" s="493">
        <v>0</v>
      </c>
      <c r="AJ165" s="493">
        <v>0</v>
      </c>
      <c r="AK165" s="493">
        <v>0</v>
      </c>
      <c r="AL165" s="493">
        <v>0</v>
      </c>
      <c r="AM165" s="493">
        <v>0</v>
      </c>
      <c r="AN165" s="493">
        <v>0</v>
      </c>
      <c r="AO165" s="493">
        <f t="shared" si="185"/>
        <v>0</v>
      </c>
      <c r="AP165" s="493">
        <f t="shared" si="186"/>
        <v>0</v>
      </c>
      <c r="AQ165" s="495">
        <f t="shared" si="191"/>
        <v>0</v>
      </c>
      <c r="AR165" s="501">
        <f>I165+AG165</f>
        <v>3449588</v>
      </c>
      <c r="AS165" s="492">
        <f>J165+V165</f>
        <v>2490663</v>
      </c>
      <c r="AT165" s="492">
        <f t="shared" si="209"/>
        <v>26000</v>
      </c>
      <c r="AU165" s="492">
        <f t="shared" si="210"/>
        <v>850632</v>
      </c>
      <c r="AV165" s="492">
        <f t="shared" si="210"/>
        <v>49813</v>
      </c>
      <c r="AW165" s="492">
        <f>N165+AF165</f>
        <v>32480</v>
      </c>
      <c r="AX165" s="493">
        <f>O165+AQ165</f>
        <v>7.4399999999999995</v>
      </c>
      <c r="AY165" s="493">
        <f t="shared" si="211"/>
        <v>0</v>
      </c>
      <c r="AZ165" s="495">
        <f t="shared" si="211"/>
        <v>7.4399999999999995</v>
      </c>
    </row>
    <row r="166" spans="1:52" ht="14.1" customHeight="1" x14ac:dyDescent="0.2">
      <c r="A166" s="72">
        <v>37</v>
      </c>
      <c r="B166" s="69">
        <v>2470</v>
      </c>
      <c r="C166" s="70">
        <v>600080013</v>
      </c>
      <c r="D166" s="69">
        <v>72741554</v>
      </c>
      <c r="E166" s="71" t="s">
        <v>643</v>
      </c>
      <c r="F166" s="72">
        <v>3143</v>
      </c>
      <c r="G166" s="84" t="s">
        <v>629</v>
      </c>
      <c r="H166" s="73" t="s">
        <v>278</v>
      </c>
      <c r="I166" s="494">
        <v>4006034</v>
      </c>
      <c r="J166" s="489">
        <v>2937143</v>
      </c>
      <c r="K166" s="489">
        <v>13000</v>
      </c>
      <c r="L166" s="489">
        <v>997148</v>
      </c>
      <c r="M166" s="489">
        <v>58743</v>
      </c>
      <c r="N166" s="489">
        <v>0</v>
      </c>
      <c r="O166" s="490">
        <v>6.3090999999999999</v>
      </c>
      <c r="P166" s="490">
        <v>6.3090999999999999</v>
      </c>
      <c r="Q166" s="500">
        <v>0</v>
      </c>
      <c r="R166" s="502">
        <f t="shared" si="184"/>
        <v>0</v>
      </c>
      <c r="S166" s="492">
        <v>0</v>
      </c>
      <c r="T166" s="492">
        <v>0</v>
      </c>
      <c r="U166" s="492">
        <v>0</v>
      </c>
      <c r="V166" s="492">
        <f>SUM(R166:U166)</f>
        <v>0</v>
      </c>
      <c r="W166" s="492">
        <v>0</v>
      </c>
      <c r="X166" s="492">
        <v>0</v>
      </c>
      <c r="Y166" s="492">
        <v>0</v>
      </c>
      <c r="Z166" s="492">
        <f t="shared" si="187"/>
        <v>0</v>
      </c>
      <c r="AA166" s="492">
        <f t="shared" si="188"/>
        <v>0</v>
      </c>
      <c r="AB166" s="74">
        <f t="shared" si="189"/>
        <v>0</v>
      </c>
      <c r="AC166" s="74">
        <f t="shared" si="190"/>
        <v>0</v>
      </c>
      <c r="AD166" s="492">
        <v>0</v>
      </c>
      <c r="AE166" s="492">
        <v>0</v>
      </c>
      <c r="AF166" s="492">
        <f>SUM(AD166:AE166)</f>
        <v>0</v>
      </c>
      <c r="AG166" s="492">
        <f>AA166+AB166+AC166+AF166</f>
        <v>0</v>
      </c>
      <c r="AH166" s="493">
        <v>0</v>
      </c>
      <c r="AI166" s="493">
        <v>0</v>
      </c>
      <c r="AJ166" s="493">
        <v>0</v>
      </c>
      <c r="AK166" s="493">
        <v>0</v>
      </c>
      <c r="AL166" s="493">
        <v>0</v>
      </c>
      <c r="AM166" s="493">
        <v>0</v>
      </c>
      <c r="AN166" s="493">
        <v>0</v>
      </c>
      <c r="AO166" s="493">
        <f t="shared" si="185"/>
        <v>0</v>
      </c>
      <c r="AP166" s="493">
        <f t="shared" si="186"/>
        <v>0</v>
      </c>
      <c r="AQ166" s="495">
        <f t="shared" si="191"/>
        <v>0</v>
      </c>
      <c r="AR166" s="501">
        <f>I166+AG166</f>
        <v>4006034</v>
      </c>
      <c r="AS166" s="492">
        <f>J166+V166</f>
        <v>2937143</v>
      </c>
      <c r="AT166" s="492">
        <f t="shared" si="209"/>
        <v>13000</v>
      </c>
      <c r="AU166" s="492">
        <f t="shared" si="210"/>
        <v>997148</v>
      </c>
      <c r="AV166" s="492">
        <f t="shared" si="210"/>
        <v>58743</v>
      </c>
      <c r="AW166" s="492">
        <f>N166+AF166</f>
        <v>0</v>
      </c>
      <c r="AX166" s="493">
        <f>O166+AQ166</f>
        <v>6.3090999999999999</v>
      </c>
      <c r="AY166" s="493">
        <f t="shared" si="211"/>
        <v>6.3090999999999999</v>
      </c>
      <c r="AZ166" s="495">
        <f t="shared" si="211"/>
        <v>0</v>
      </c>
    </row>
    <row r="167" spans="1:52" ht="14.1" customHeight="1" x14ac:dyDescent="0.2">
      <c r="A167" s="72">
        <v>37</v>
      </c>
      <c r="B167" s="69">
        <v>2470</v>
      </c>
      <c r="C167" s="70">
        <v>600080013</v>
      </c>
      <c r="D167" s="69">
        <v>72741554</v>
      </c>
      <c r="E167" s="71" t="s">
        <v>643</v>
      </c>
      <c r="F167" s="72">
        <v>3143</v>
      </c>
      <c r="G167" s="84" t="s">
        <v>630</v>
      </c>
      <c r="H167" s="73" t="s">
        <v>279</v>
      </c>
      <c r="I167" s="494">
        <v>124740</v>
      </c>
      <c r="J167" s="489">
        <v>88211</v>
      </c>
      <c r="K167" s="489">
        <v>0</v>
      </c>
      <c r="L167" s="489">
        <v>29815</v>
      </c>
      <c r="M167" s="489">
        <v>1764</v>
      </c>
      <c r="N167" s="489">
        <v>4950</v>
      </c>
      <c r="O167" s="490">
        <v>0.34</v>
      </c>
      <c r="P167" s="491">
        <v>0</v>
      </c>
      <c r="Q167" s="500">
        <v>0.34</v>
      </c>
      <c r="R167" s="502">
        <f t="shared" si="184"/>
        <v>0</v>
      </c>
      <c r="S167" s="492">
        <v>0</v>
      </c>
      <c r="T167" s="492">
        <v>0</v>
      </c>
      <c r="U167" s="492">
        <v>0</v>
      </c>
      <c r="V167" s="492">
        <f>SUM(R167:U167)</f>
        <v>0</v>
      </c>
      <c r="W167" s="492">
        <v>0</v>
      </c>
      <c r="X167" s="492">
        <v>0</v>
      </c>
      <c r="Y167" s="492">
        <v>0</v>
      </c>
      <c r="Z167" s="492">
        <f t="shared" si="187"/>
        <v>0</v>
      </c>
      <c r="AA167" s="492">
        <f t="shared" si="188"/>
        <v>0</v>
      </c>
      <c r="AB167" s="74">
        <f t="shared" si="189"/>
        <v>0</v>
      </c>
      <c r="AC167" s="74">
        <f t="shared" si="190"/>
        <v>0</v>
      </c>
      <c r="AD167" s="492">
        <v>0</v>
      </c>
      <c r="AE167" s="492">
        <v>0</v>
      </c>
      <c r="AF167" s="492">
        <f>SUM(AD167:AE167)</f>
        <v>0</v>
      </c>
      <c r="AG167" s="492">
        <f>AA167+AB167+AC167+AF167</f>
        <v>0</v>
      </c>
      <c r="AH167" s="493">
        <v>0</v>
      </c>
      <c r="AI167" s="493">
        <v>0</v>
      </c>
      <c r="AJ167" s="493">
        <v>0</v>
      </c>
      <c r="AK167" s="493">
        <v>0</v>
      </c>
      <c r="AL167" s="493">
        <v>0</v>
      </c>
      <c r="AM167" s="493">
        <v>0</v>
      </c>
      <c r="AN167" s="493">
        <v>0</v>
      </c>
      <c r="AO167" s="493">
        <f t="shared" si="185"/>
        <v>0</v>
      </c>
      <c r="AP167" s="493">
        <f t="shared" si="186"/>
        <v>0</v>
      </c>
      <c r="AQ167" s="495">
        <f t="shared" si="191"/>
        <v>0</v>
      </c>
      <c r="AR167" s="501">
        <f>I167+AG167</f>
        <v>124740</v>
      </c>
      <c r="AS167" s="492">
        <f>J167+V167</f>
        <v>88211</v>
      </c>
      <c r="AT167" s="492">
        <f t="shared" si="209"/>
        <v>0</v>
      </c>
      <c r="AU167" s="492">
        <f t="shared" si="210"/>
        <v>29815</v>
      </c>
      <c r="AV167" s="492">
        <f t="shared" si="210"/>
        <v>1764</v>
      </c>
      <c r="AW167" s="492">
        <f>N167+AF167</f>
        <v>4950</v>
      </c>
      <c r="AX167" s="493">
        <f>O167+AQ167</f>
        <v>0.34</v>
      </c>
      <c r="AY167" s="493">
        <f t="shared" si="211"/>
        <v>0</v>
      </c>
      <c r="AZ167" s="495">
        <f t="shared" si="211"/>
        <v>0.34</v>
      </c>
    </row>
    <row r="168" spans="1:52" ht="14.1" customHeight="1" x14ac:dyDescent="0.2">
      <c r="A168" s="78">
        <v>37</v>
      </c>
      <c r="B168" s="75">
        <v>2470</v>
      </c>
      <c r="C168" s="76">
        <v>600080013</v>
      </c>
      <c r="D168" s="75">
        <v>72741554</v>
      </c>
      <c r="E168" s="77" t="s">
        <v>644</v>
      </c>
      <c r="F168" s="78"/>
      <c r="G168" s="77"/>
      <c r="H168" s="79"/>
      <c r="I168" s="80">
        <v>47873302</v>
      </c>
      <c r="J168" s="81">
        <v>34383776</v>
      </c>
      <c r="K168" s="81">
        <v>227500</v>
      </c>
      <c r="L168" s="81">
        <v>11698611</v>
      </c>
      <c r="M168" s="81">
        <v>687675</v>
      </c>
      <c r="N168" s="81">
        <v>875740</v>
      </c>
      <c r="O168" s="82">
        <v>61.905299999999997</v>
      </c>
      <c r="P168" s="82">
        <v>45.325899999999997</v>
      </c>
      <c r="Q168" s="452">
        <v>16.5794</v>
      </c>
      <c r="R168" s="80">
        <f t="shared" ref="R168:AZ168" si="212">SUM(R163:R167)</f>
        <v>0</v>
      </c>
      <c r="S168" s="81">
        <f t="shared" si="212"/>
        <v>0</v>
      </c>
      <c r="T168" s="81">
        <f t="shared" si="212"/>
        <v>0</v>
      </c>
      <c r="U168" s="81">
        <f t="shared" si="212"/>
        <v>0</v>
      </c>
      <c r="V168" s="81">
        <f t="shared" si="212"/>
        <v>0</v>
      </c>
      <c r="W168" s="81">
        <f t="shared" si="212"/>
        <v>0</v>
      </c>
      <c r="X168" s="81">
        <f t="shared" si="212"/>
        <v>0</v>
      </c>
      <c r="Y168" s="81">
        <f t="shared" si="212"/>
        <v>0</v>
      </c>
      <c r="Z168" s="81">
        <f t="shared" si="212"/>
        <v>0</v>
      </c>
      <c r="AA168" s="81">
        <f t="shared" si="212"/>
        <v>0</v>
      </c>
      <c r="AB168" s="81">
        <f t="shared" si="212"/>
        <v>0</v>
      </c>
      <c r="AC168" s="81">
        <f t="shared" si="212"/>
        <v>0</v>
      </c>
      <c r="AD168" s="81">
        <f t="shared" si="212"/>
        <v>0</v>
      </c>
      <c r="AE168" s="81">
        <f t="shared" si="212"/>
        <v>0</v>
      </c>
      <c r="AF168" s="81">
        <f t="shared" si="212"/>
        <v>0</v>
      </c>
      <c r="AG168" s="81">
        <f t="shared" si="212"/>
        <v>0</v>
      </c>
      <c r="AH168" s="82">
        <f t="shared" si="212"/>
        <v>0</v>
      </c>
      <c r="AI168" s="82">
        <f t="shared" si="212"/>
        <v>0</v>
      </c>
      <c r="AJ168" s="82">
        <f t="shared" si="212"/>
        <v>0</v>
      </c>
      <c r="AK168" s="82">
        <f t="shared" ref="AK168:AL168" si="213">SUM(AK163:AK167)</f>
        <v>0</v>
      </c>
      <c r="AL168" s="82">
        <f t="shared" si="213"/>
        <v>0</v>
      </c>
      <c r="AM168" s="82">
        <f t="shared" si="212"/>
        <v>0</v>
      </c>
      <c r="AN168" s="82">
        <f t="shared" si="212"/>
        <v>0</v>
      </c>
      <c r="AO168" s="82">
        <f t="shared" si="212"/>
        <v>0</v>
      </c>
      <c r="AP168" s="82">
        <f t="shared" si="212"/>
        <v>0</v>
      </c>
      <c r="AQ168" s="83">
        <f t="shared" si="212"/>
        <v>0</v>
      </c>
      <c r="AR168" s="438">
        <f t="shared" si="212"/>
        <v>47873302</v>
      </c>
      <c r="AS168" s="81">
        <f t="shared" si="212"/>
        <v>34383776</v>
      </c>
      <c r="AT168" s="81">
        <f t="shared" si="212"/>
        <v>227500</v>
      </c>
      <c r="AU168" s="81">
        <f t="shared" si="212"/>
        <v>11698611</v>
      </c>
      <c r="AV168" s="81">
        <f t="shared" si="212"/>
        <v>687675</v>
      </c>
      <c r="AW168" s="81">
        <f t="shared" si="212"/>
        <v>875740</v>
      </c>
      <c r="AX168" s="82">
        <f t="shared" si="212"/>
        <v>61.905299999999997</v>
      </c>
      <c r="AY168" s="82">
        <f t="shared" si="212"/>
        <v>45.325899999999997</v>
      </c>
      <c r="AZ168" s="83">
        <f t="shared" si="212"/>
        <v>16.5794</v>
      </c>
    </row>
    <row r="169" spans="1:52" ht="14.1" customHeight="1" x14ac:dyDescent="0.2">
      <c r="A169" s="72">
        <v>38</v>
      </c>
      <c r="B169" s="69">
        <v>2307</v>
      </c>
      <c r="C169" s="70">
        <v>600079911</v>
      </c>
      <c r="D169" s="69">
        <v>72743212</v>
      </c>
      <c r="E169" s="71" t="s">
        <v>645</v>
      </c>
      <c r="F169" s="72">
        <v>3113</v>
      </c>
      <c r="G169" s="71" t="s">
        <v>315</v>
      </c>
      <c r="H169" s="73" t="s">
        <v>278</v>
      </c>
      <c r="I169" s="494">
        <v>41261444</v>
      </c>
      <c r="J169" s="489">
        <v>29481818</v>
      </c>
      <c r="K169" s="489">
        <v>182000</v>
      </c>
      <c r="L169" s="489">
        <v>10026370</v>
      </c>
      <c r="M169" s="489">
        <v>589636</v>
      </c>
      <c r="N169" s="489">
        <v>981620</v>
      </c>
      <c r="O169" s="490">
        <v>51.401399999999995</v>
      </c>
      <c r="P169" s="490">
        <v>40.042599999999993</v>
      </c>
      <c r="Q169" s="500">
        <v>11.358799999999999</v>
      </c>
      <c r="R169" s="502">
        <f t="shared" si="184"/>
        <v>0</v>
      </c>
      <c r="S169" s="492">
        <v>0</v>
      </c>
      <c r="T169" s="492">
        <v>0</v>
      </c>
      <c r="U169" s="492">
        <v>0</v>
      </c>
      <c r="V169" s="492">
        <f>SUM(R169:U169)</f>
        <v>0</v>
      </c>
      <c r="W169" s="492">
        <v>0</v>
      </c>
      <c r="X169" s="492">
        <v>0</v>
      </c>
      <c r="Y169" s="492">
        <v>0</v>
      </c>
      <c r="Z169" s="492">
        <f t="shared" si="187"/>
        <v>0</v>
      </c>
      <c r="AA169" s="492">
        <f t="shared" si="188"/>
        <v>0</v>
      </c>
      <c r="AB169" s="74">
        <f t="shared" si="189"/>
        <v>0</v>
      </c>
      <c r="AC169" s="74">
        <f t="shared" si="190"/>
        <v>0</v>
      </c>
      <c r="AD169" s="492">
        <v>0</v>
      </c>
      <c r="AE169" s="492">
        <v>0</v>
      </c>
      <c r="AF169" s="492">
        <f>SUM(AD169:AE169)</f>
        <v>0</v>
      </c>
      <c r="AG169" s="492">
        <f>AA169+AB169+AC169+AF169</f>
        <v>0</v>
      </c>
      <c r="AH169" s="493">
        <v>0</v>
      </c>
      <c r="AI169" s="493">
        <v>0</v>
      </c>
      <c r="AJ169" s="493">
        <v>0</v>
      </c>
      <c r="AK169" s="493">
        <v>0</v>
      </c>
      <c r="AL169" s="493">
        <v>0</v>
      </c>
      <c r="AM169" s="493">
        <v>0</v>
      </c>
      <c r="AN169" s="493">
        <v>0</v>
      </c>
      <c r="AO169" s="493">
        <f t="shared" si="185"/>
        <v>0</v>
      </c>
      <c r="AP169" s="493">
        <f t="shared" si="186"/>
        <v>0</v>
      </c>
      <c r="AQ169" s="495">
        <f t="shared" si="191"/>
        <v>0</v>
      </c>
      <c r="AR169" s="501">
        <f>I169+AG169</f>
        <v>41261444</v>
      </c>
      <c r="AS169" s="492">
        <f>J169+V169</f>
        <v>29481818</v>
      </c>
      <c r="AT169" s="492">
        <f t="shared" ref="AT169:AT173" si="214">K169+Z169</f>
        <v>182000</v>
      </c>
      <c r="AU169" s="492">
        <f t="shared" ref="AU169:AV173" si="215">L169+AB169</f>
        <v>10026370</v>
      </c>
      <c r="AV169" s="492">
        <f t="shared" si="215"/>
        <v>589636</v>
      </c>
      <c r="AW169" s="492">
        <f>N169+AF169</f>
        <v>981620</v>
      </c>
      <c r="AX169" s="493">
        <f>O169+AQ169</f>
        <v>51.401399999999995</v>
      </c>
      <c r="AY169" s="493">
        <f t="shared" ref="AY169:AZ173" si="216">P169+AO169</f>
        <v>40.042599999999993</v>
      </c>
      <c r="AZ169" s="495">
        <f t="shared" si="216"/>
        <v>11.358799999999999</v>
      </c>
    </row>
    <row r="170" spans="1:52" ht="14.1" customHeight="1" x14ac:dyDescent="0.2">
      <c r="A170" s="72">
        <v>38</v>
      </c>
      <c r="B170" s="69">
        <v>2307</v>
      </c>
      <c r="C170" s="70">
        <v>600079911</v>
      </c>
      <c r="D170" s="69">
        <v>72743212</v>
      </c>
      <c r="E170" s="71" t="s">
        <v>645</v>
      </c>
      <c r="F170" s="72">
        <v>3113</v>
      </c>
      <c r="G170" s="84" t="s">
        <v>313</v>
      </c>
      <c r="H170" s="73" t="s">
        <v>279</v>
      </c>
      <c r="I170" s="494">
        <v>3101500</v>
      </c>
      <c r="J170" s="489">
        <v>2283137</v>
      </c>
      <c r="K170" s="489">
        <v>0</v>
      </c>
      <c r="L170" s="489">
        <v>771700</v>
      </c>
      <c r="M170" s="489">
        <v>45663</v>
      </c>
      <c r="N170" s="489">
        <v>1000</v>
      </c>
      <c r="O170" s="490">
        <v>6.59</v>
      </c>
      <c r="P170" s="491">
        <v>6.59</v>
      </c>
      <c r="Q170" s="500">
        <v>0</v>
      </c>
      <c r="R170" s="502">
        <f t="shared" si="184"/>
        <v>0</v>
      </c>
      <c r="S170" s="492">
        <v>0</v>
      </c>
      <c r="T170" s="492">
        <v>0</v>
      </c>
      <c r="U170" s="492">
        <v>0</v>
      </c>
      <c r="V170" s="492">
        <f>SUM(R170:U170)</f>
        <v>0</v>
      </c>
      <c r="W170" s="492">
        <v>0</v>
      </c>
      <c r="X170" s="492">
        <v>0</v>
      </c>
      <c r="Y170" s="492">
        <v>0</v>
      </c>
      <c r="Z170" s="492">
        <f t="shared" si="187"/>
        <v>0</v>
      </c>
      <c r="AA170" s="492">
        <f t="shared" si="188"/>
        <v>0</v>
      </c>
      <c r="AB170" s="74">
        <f t="shared" si="189"/>
        <v>0</v>
      </c>
      <c r="AC170" s="74">
        <f t="shared" si="190"/>
        <v>0</v>
      </c>
      <c r="AD170" s="492">
        <v>0</v>
      </c>
      <c r="AE170" s="492">
        <v>0</v>
      </c>
      <c r="AF170" s="492">
        <f>SUM(AD170:AE170)</f>
        <v>0</v>
      </c>
      <c r="AG170" s="492">
        <f>AA170+AB170+AC170+AF170</f>
        <v>0</v>
      </c>
      <c r="AH170" s="493">
        <v>0</v>
      </c>
      <c r="AI170" s="493">
        <v>0</v>
      </c>
      <c r="AJ170" s="493">
        <v>0</v>
      </c>
      <c r="AK170" s="493">
        <v>0</v>
      </c>
      <c r="AL170" s="493">
        <v>0</v>
      </c>
      <c r="AM170" s="493">
        <v>0</v>
      </c>
      <c r="AN170" s="493">
        <v>0</v>
      </c>
      <c r="AO170" s="493">
        <f t="shared" si="185"/>
        <v>0</v>
      </c>
      <c r="AP170" s="493">
        <f t="shared" si="186"/>
        <v>0</v>
      </c>
      <c r="AQ170" s="495">
        <f t="shared" si="191"/>
        <v>0</v>
      </c>
      <c r="AR170" s="501">
        <f>I170+AG170</f>
        <v>3101500</v>
      </c>
      <c r="AS170" s="492">
        <f>J170+V170</f>
        <v>2283137</v>
      </c>
      <c r="AT170" s="492">
        <f t="shared" si="214"/>
        <v>0</v>
      </c>
      <c r="AU170" s="492">
        <f t="shared" si="215"/>
        <v>771700</v>
      </c>
      <c r="AV170" s="492">
        <f t="shared" si="215"/>
        <v>45663</v>
      </c>
      <c r="AW170" s="492">
        <f>N170+AF170</f>
        <v>1000</v>
      </c>
      <c r="AX170" s="493">
        <f>O170+AQ170</f>
        <v>6.59</v>
      </c>
      <c r="AY170" s="493">
        <f t="shared" si="216"/>
        <v>6.59</v>
      </c>
      <c r="AZ170" s="495">
        <f t="shared" si="216"/>
        <v>0</v>
      </c>
    </row>
    <row r="171" spans="1:52" ht="14.1" customHeight="1" x14ac:dyDescent="0.2">
      <c r="A171" s="72">
        <v>38</v>
      </c>
      <c r="B171" s="69">
        <v>2307</v>
      </c>
      <c r="C171" s="70">
        <v>600079911</v>
      </c>
      <c r="D171" s="69">
        <v>72743212</v>
      </c>
      <c r="E171" s="71" t="s">
        <v>645</v>
      </c>
      <c r="F171" s="72">
        <v>3143</v>
      </c>
      <c r="G171" s="84" t="s">
        <v>629</v>
      </c>
      <c r="H171" s="73" t="s">
        <v>278</v>
      </c>
      <c r="I171" s="494">
        <v>3790832</v>
      </c>
      <c r="J171" s="489">
        <v>2791481</v>
      </c>
      <c r="K171" s="489">
        <v>0</v>
      </c>
      <c r="L171" s="489">
        <v>943521</v>
      </c>
      <c r="M171" s="489">
        <v>55830</v>
      </c>
      <c r="N171" s="489">
        <v>0</v>
      </c>
      <c r="O171" s="490">
        <v>5.4107000000000003</v>
      </c>
      <c r="P171" s="490">
        <v>5.4107000000000003</v>
      </c>
      <c r="Q171" s="500">
        <v>0</v>
      </c>
      <c r="R171" s="502">
        <f t="shared" si="184"/>
        <v>0</v>
      </c>
      <c r="S171" s="492">
        <v>0</v>
      </c>
      <c r="T171" s="492">
        <v>0</v>
      </c>
      <c r="U171" s="492">
        <v>0</v>
      </c>
      <c r="V171" s="492">
        <f>SUM(R171:U171)</f>
        <v>0</v>
      </c>
      <c r="W171" s="492">
        <v>0</v>
      </c>
      <c r="X171" s="492">
        <v>0</v>
      </c>
      <c r="Y171" s="492">
        <v>0</v>
      </c>
      <c r="Z171" s="492">
        <f t="shared" si="187"/>
        <v>0</v>
      </c>
      <c r="AA171" s="492">
        <f t="shared" si="188"/>
        <v>0</v>
      </c>
      <c r="AB171" s="74">
        <f t="shared" si="189"/>
        <v>0</v>
      </c>
      <c r="AC171" s="74">
        <f t="shared" si="190"/>
        <v>0</v>
      </c>
      <c r="AD171" s="492">
        <v>0</v>
      </c>
      <c r="AE171" s="492">
        <v>0</v>
      </c>
      <c r="AF171" s="492">
        <f>SUM(AD171:AE171)</f>
        <v>0</v>
      </c>
      <c r="AG171" s="492">
        <f>AA171+AB171+AC171+AF171</f>
        <v>0</v>
      </c>
      <c r="AH171" s="493">
        <v>0</v>
      </c>
      <c r="AI171" s="493">
        <v>0</v>
      </c>
      <c r="AJ171" s="493">
        <v>0</v>
      </c>
      <c r="AK171" s="493">
        <v>0</v>
      </c>
      <c r="AL171" s="493">
        <v>0</v>
      </c>
      <c r="AM171" s="493">
        <v>0</v>
      </c>
      <c r="AN171" s="493">
        <v>0</v>
      </c>
      <c r="AO171" s="493">
        <f t="shared" si="185"/>
        <v>0</v>
      </c>
      <c r="AP171" s="493">
        <f t="shared" si="186"/>
        <v>0</v>
      </c>
      <c r="AQ171" s="495">
        <f t="shared" si="191"/>
        <v>0</v>
      </c>
      <c r="AR171" s="501">
        <f>I171+AG171</f>
        <v>3790832</v>
      </c>
      <c r="AS171" s="492">
        <f>J171+V171</f>
        <v>2791481</v>
      </c>
      <c r="AT171" s="492">
        <f t="shared" si="214"/>
        <v>0</v>
      </c>
      <c r="AU171" s="492">
        <f t="shared" si="215"/>
        <v>943521</v>
      </c>
      <c r="AV171" s="492">
        <f t="shared" si="215"/>
        <v>55830</v>
      </c>
      <c r="AW171" s="492">
        <f>N171+AF171</f>
        <v>0</v>
      </c>
      <c r="AX171" s="493">
        <f>O171+AQ171</f>
        <v>5.4107000000000003</v>
      </c>
      <c r="AY171" s="493">
        <f t="shared" si="216"/>
        <v>5.4107000000000003</v>
      </c>
      <c r="AZ171" s="495">
        <f t="shared" si="216"/>
        <v>0</v>
      </c>
    </row>
    <row r="172" spans="1:52" ht="14.1" customHeight="1" x14ac:dyDescent="0.2">
      <c r="A172" s="72">
        <v>38</v>
      </c>
      <c r="B172" s="69">
        <v>2307</v>
      </c>
      <c r="C172" s="70">
        <v>600079911</v>
      </c>
      <c r="D172" s="69">
        <v>72743212</v>
      </c>
      <c r="E172" s="71" t="s">
        <v>645</v>
      </c>
      <c r="F172" s="72">
        <v>3143</v>
      </c>
      <c r="G172" s="84" t="s">
        <v>630</v>
      </c>
      <c r="H172" s="73" t="s">
        <v>279</v>
      </c>
      <c r="I172" s="494">
        <v>136081</v>
      </c>
      <c r="J172" s="489">
        <v>96230</v>
      </c>
      <c r="K172" s="489">
        <v>0</v>
      </c>
      <c r="L172" s="489">
        <v>32526</v>
      </c>
      <c r="M172" s="489">
        <v>1925</v>
      </c>
      <c r="N172" s="489">
        <v>5400</v>
      </c>
      <c r="O172" s="490">
        <v>0.38</v>
      </c>
      <c r="P172" s="491">
        <v>0</v>
      </c>
      <c r="Q172" s="500">
        <v>0.38</v>
      </c>
      <c r="R172" s="502">
        <f t="shared" si="184"/>
        <v>0</v>
      </c>
      <c r="S172" s="492">
        <v>0</v>
      </c>
      <c r="T172" s="492">
        <v>0</v>
      </c>
      <c r="U172" s="492">
        <v>0</v>
      </c>
      <c r="V172" s="492">
        <f>SUM(R172:U172)</f>
        <v>0</v>
      </c>
      <c r="W172" s="492">
        <v>0</v>
      </c>
      <c r="X172" s="492">
        <v>0</v>
      </c>
      <c r="Y172" s="492">
        <v>0</v>
      </c>
      <c r="Z172" s="492">
        <f t="shared" si="187"/>
        <v>0</v>
      </c>
      <c r="AA172" s="492">
        <f t="shared" si="188"/>
        <v>0</v>
      </c>
      <c r="AB172" s="74">
        <f t="shared" si="189"/>
        <v>0</v>
      </c>
      <c r="AC172" s="74">
        <f t="shared" si="190"/>
        <v>0</v>
      </c>
      <c r="AD172" s="492">
        <v>0</v>
      </c>
      <c r="AE172" s="492">
        <v>0</v>
      </c>
      <c r="AF172" s="492">
        <f>SUM(AD172:AE172)</f>
        <v>0</v>
      </c>
      <c r="AG172" s="492">
        <f>AA172+AB172+AC172+AF172</f>
        <v>0</v>
      </c>
      <c r="AH172" s="493">
        <v>0</v>
      </c>
      <c r="AI172" s="493">
        <v>0</v>
      </c>
      <c r="AJ172" s="493">
        <v>0</v>
      </c>
      <c r="AK172" s="493">
        <v>0</v>
      </c>
      <c r="AL172" s="493">
        <v>0</v>
      </c>
      <c r="AM172" s="493">
        <v>0</v>
      </c>
      <c r="AN172" s="493">
        <v>0</v>
      </c>
      <c r="AO172" s="493">
        <f t="shared" si="185"/>
        <v>0</v>
      </c>
      <c r="AP172" s="493">
        <f t="shared" si="186"/>
        <v>0</v>
      </c>
      <c r="AQ172" s="495">
        <f t="shared" si="191"/>
        <v>0</v>
      </c>
      <c r="AR172" s="501">
        <f>I172+AG172</f>
        <v>136081</v>
      </c>
      <c r="AS172" s="492">
        <f>J172+V172</f>
        <v>96230</v>
      </c>
      <c r="AT172" s="492">
        <f t="shared" si="214"/>
        <v>0</v>
      </c>
      <c r="AU172" s="492">
        <f t="shared" si="215"/>
        <v>32526</v>
      </c>
      <c r="AV172" s="492">
        <f t="shared" si="215"/>
        <v>1925</v>
      </c>
      <c r="AW172" s="492">
        <f>N172+AF172</f>
        <v>5400</v>
      </c>
      <c r="AX172" s="493">
        <f>O172+AQ172</f>
        <v>0.38</v>
      </c>
      <c r="AY172" s="493">
        <f t="shared" si="216"/>
        <v>0</v>
      </c>
      <c r="AZ172" s="495">
        <f t="shared" si="216"/>
        <v>0.38</v>
      </c>
    </row>
    <row r="173" spans="1:52" ht="14.1" customHeight="1" x14ac:dyDescent="0.2">
      <c r="A173" s="72">
        <v>38</v>
      </c>
      <c r="B173" s="69">
        <v>2307</v>
      </c>
      <c r="C173" s="70">
        <v>600079911</v>
      </c>
      <c r="D173" s="69">
        <v>72743212</v>
      </c>
      <c r="E173" s="71" t="s">
        <v>645</v>
      </c>
      <c r="F173" s="72">
        <v>3143</v>
      </c>
      <c r="G173" s="84" t="s">
        <v>318</v>
      </c>
      <c r="H173" s="73" t="s">
        <v>279</v>
      </c>
      <c r="I173" s="494">
        <v>417440</v>
      </c>
      <c r="J173" s="489">
        <v>306922</v>
      </c>
      <c r="K173" s="489">
        <v>0</v>
      </c>
      <c r="L173" s="489">
        <v>103740</v>
      </c>
      <c r="M173" s="489">
        <v>6138</v>
      </c>
      <c r="N173" s="489">
        <v>640</v>
      </c>
      <c r="O173" s="490">
        <v>0.65999999999999992</v>
      </c>
      <c r="P173" s="490">
        <v>0.59</v>
      </c>
      <c r="Q173" s="500">
        <v>7.0000000000000007E-2</v>
      </c>
      <c r="R173" s="502">
        <f t="shared" si="184"/>
        <v>0</v>
      </c>
      <c r="S173" s="492">
        <v>0</v>
      </c>
      <c r="T173" s="492">
        <v>0</v>
      </c>
      <c r="U173" s="492">
        <v>0</v>
      </c>
      <c r="V173" s="492">
        <f>SUM(R173:U173)</f>
        <v>0</v>
      </c>
      <c r="W173" s="492">
        <v>0</v>
      </c>
      <c r="X173" s="492">
        <v>0</v>
      </c>
      <c r="Y173" s="492">
        <v>0</v>
      </c>
      <c r="Z173" s="492">
        <f t="shared" si="187"/>
        <v>0</v>
      </c>
      <c r="AA173" s="492">
        <f t="shared" si="188"/>
        <v>0</v>
      </c>
      <c r="AB173" s="74">
        <f t="shared" si="189"/>
        <v>0</v>
      </c>
      <c r="AC173" s="74">
        <f t="shared" si="190"/>
        <v>0</v>
      </c>
      <c r="AD173" s="492">
        <v>0</v>
      </c>
      <c r="AE173" s="492">
        <v>0</v>
      </c>
      <c r="AF173" s="492">
        <f>SUM(AD173:AE173)</f>
        <v>0</v>
      </c>
      <c r="AG173" s="492">
        <f>AA173+AB173+AC173+AF173</f>
        <v>0</v>
      </c>
      <c r="AH173" s="493">
        <v>0</v>
      </c>
      <c r="AI173" s="493">
        <v>0</v>
      </c>
      <c r="AJ173" s="493">
        <v>0</v>
      </c>
      <c r="AK173" s="493">
        <v>0</v>
      </c>
      <c r="AL173" s="493">
        <v>0</v>
      </c>
      <c r="AM173" s="493">
        <v>0</v>
      </c>
      <c r="AN173" s="493">
        <v>0</v>
      </c>
      <c r="AO173" s="493">
        <f t="shared" si="185"/>
        <v>0</v>
      </c>
      <c r="AP173" s="493">
        <f t="shared" si="186"/>
        <v>0</v>
      </c>
      <c r="AQ173" s="495">
        <f t="shared" si="191"/>
        <v>0</v>
      </c>
      <c r="AR173" s="501">
        <f>I173+AG173</f>
        <v>417440</v>
      </c>
      <c r="AS173" s="492">
        <f>J173+V173</f>
        <v>306922</v>
      </c>
      <c r="AT173" s="492">
        <f t="shared" si="214"/>
        <v>0</v>
      </c>
      <c r="AU173" s="492">
        <f t="shared" si="215"/>
        <v>103740</v>
      </c>
      <c r="AV173" s="492">
        <f t="shared" si="215"/>
        <v>6138</v>
      </c>
      <c r="AW173" s="492">
        <f>N173+AF173</f>
        <v>640</v>
      </c>
      <c r="AX173" s="493">
        <f>O173+AQ173</f>
        <v>0.65999999999999992</v>
      </c>
      <c r="AY173" s="493">
        <f t="shared" si="216"/>
        <v>0.59</v>
      </c>
      <c r="AZ173" s="495">
        <f t="shared" si="216"/>
        <v>7.0000000000000007E-2</v>
      </c>
    </row>
    <row r="174" spans="1:52" ht="14.1" customHeight="1" x14ac:dyDescent="0.2">
      <c r="A174" s="78">
        <v>38</v>
      </c>
      <c r="B174" s="75">
        <v>2307</v>
      </c>
      <c r="C174" s="76">
        <v>600079911</v>
      </c>
      <c r="D174" s="75">
        <v>72743212</v>
      </c>
      <c r="E174" s="77" t="s">
        <v>646</v>
      </c>
      <c r="F174" s="78"/>
      <c r="G174" s="77"/>
      <c r="H174" s="79"/>
      <c r="I174" s="80">
        <v>48707297</v>
      </c>
      <c r="J174" s="81">
        <v>34959588</v>
      </c>
      <c r="K174" s="81">
        <v>182000</v>
      </c>
      <c r="L174" s="81">
        <v>11877857</v>
      </c>
      <c r="M174" s="81">
        <v>699192</v>
      </c>
      <c r="N174" s="81">
        <v>988660</v>
      </c>
      <c r="O174" s="82">
        <v>64.442099999999996</v>
      </c>
      <c r="P174" s="82">
        <v>52.633299999999998</v>
      </c>
      <c r="Q174" s="452">
        <v>11.8088</v>
      </c>
      <c r="R174" s="80">
        <f t="shared" ref="R174:AZ174" si="217">SUM(R169:R173)</f>
        <v>0</v>
      </c>
      <c r="S174" s="81">
        <f t="shared" si="217"/>
        <v>0</v>
      </c>
      <c r="T174" s="81">
        <f t="shared" si="217"/>
        <v>0</v>
      </c>
      <c r="U174" s="81">
        <f t="shared" si="217"/>
        <v>0</v>
      </c>
      <c r="V174" s="81">
        <f t="shared" si="217"/>
        <v>0</v>
      </c>
      <c r="W174" s="81">
        <f t="shared" si="217"/>
        <v>0</v>
      </c>
      <c r="X174" s="81">
        <f t="shared" si="217"/>
        <v>0</v>
      </c>
      <c r="Y174" s="81">
        <f t="shared" si="217"/>
        <v>0</v>
      </c>
      <c r="Z174" s="81">
        <f t="shared" si="217"/>
        <v>0</v>
      </c>
      <c r="AA174" s="81">
        <f t="shared" si="217"/>
        <v>0</v>
      </c>
      <c r="AB174" s="81">
        <f t="shared" si="217"/>
        <v>0</v>
      </c>
      <c r="AC174" s="81">
        <f t="shared" si="217"/>
        <v>0</v>
      </c>
      <c r="AD174" s="81">
        <f t="shared" si="217"/>
        <v>0</v>
      </c>
      <c r="AE174" s="81">
        <f t="shared" si="217"/>
        <v>0</v>
      </c>
      <c r="AF174" s="81">
        <f t="shared" si="217"/>
        <v>0</v>
      </c>
      <c r="AG174" s="81">
        <f t="shared" si="217"/>
        <v>0</v>
      </c>
      <c r="AH174" s="82">
        <f t="shared" si="217"/>
        <v>0</v>
      </c>
      <c r="AI174" s="82">
        <f t="shared" si="217"/>
        <v>0</v>
      </c>
      <c r="AJ174" s="82">
        <f t="shared" si="217"/>
        <v>0</v>
      </c>
      <c r="AK174" s="82">
        <f t="shared" ref="AK174:AL174" si="218">SUM(AK169:AK173)</f>
        <v>0</v>
      </c>
      <c r="AL174" s="82">
        <f t="shared" si="218"/>
        <v>0</v>
      </c>
      <c r="AM174" s="82">
        <f t="shared" si="217"/>
        <v>0</v>
      </c>
      <c r="AN174" s="82">
        <f t="shared" si="217"/>
        <v>0</v>
      </c>
      <c r="AO174" s="82">
        <f t="shared" si="217"/>
        <v>0</v>
      </c>
      <c r="AP174" s="82">
        <f t="shared" si="217"/>
        <v>0</v>
      </c>
      <c r="AQ174" s="83">
        <f t="shared" si="217"/>
        <v>0</v>
      </c>
      <c r="AR174" s="438">
        <f t="shared" si="217"/>
        <v>48707297</v>
      </c>
      <c r="AS174" s="81">
        <f t="shared" si="217"/>
        <v>34959588</v>
      </c>
      <c r="AT174" s="81">
        <f t="shared" si="217"/>
        <v>182000</v>
      </c>
      <c r="AU174" s="81">
        <f t="shared" si="217"/>
        <v>11877857</v>
      </c>
      <c r="AV174" s="81">
        <f t="shared" si="217"/>
        <v>699192</v>
      </c>
      <c r="AW174" s="81">
        <f t="shared" si="217"/>
        <v>988660</v>
      </c>
      <c r="AX174" s="82">
        <f t="shared" si="217"/>
        <v>64.442099999999996</v>
      </c>
      <c r="AY174" s="82">
        <f t="shared" si="217"/>
        <v>52.633299999999998</v>
      </c>
      <c r="AZ174" s="83">
        <f t="shared" si="217"/>
        <v>11.8088</v>
      </c>
    </row>
    <row r="175" spans="1:52" ht="14.1" customHeight="1" x14ac:dyDescent="0.2">
      <c r="A175" s="72">
        <v>39</v>
      </c>
      <c r="B175" s="69">
        <v>2478</v>
      </c>
      <c r="C175" s="70">
        <v>600079929</v>
      </c>
      <c r="D175" s="69">
        <v>72743379</v>
      </c>
      <c r="E175" s="71" t="s">
        <v>647</v>
      </c>
      <c r="F175" s="72">
        <v>3113</v>
      </c>
      <c r="G175" s="71" t="s">
        <v>315</v>
      </c>
      <c r="H175" s="73" t="s">
        <v>278</v>
      </c>
      <c r="I175" s="494">
        <v>35314500</v>
      </c>
      <c r="J175" s="489">
        <v>25154280</v>
      </c>
      <c r="K175" s="489">
        <v>305320</v>
      </c>
      <c r="L175" s="489">
        <v>8605345</v>
      </c>
      <c r="M175" s="489">
        <v>503085</v>
      </c>
      <c r="N175" s="489">
        <v>746470</v>
      </c>
      <c r="O175" s="490">
        <v>45.249499999999998</v>
      </c>
      <c r="P175" s="490">
        <v>35.815599999999996</v>
      </c>
      <c r="Q175" s="500">
        <v>9.4338999999999995</v>
      </c>
      <c r="R175" s="502">
        <f t="shared" si="184"/>
        <v>0</v>
      </c>
      <c r="S175" s="492">
        <v>0</v>
      </c>
      <c r="T175" s="492">
        <v>0</v>
      </c>
      <c r="U175" s="492">
        <v>0</v>
      </c>
      <c r="V175" s="492">
        <f>SUM(R175:U175)</f>
        <v>0</v>
      </c>
      <c r="W175" s="492">
        <v>0</v>
      </c>
      <c r="X175" s="492">
        <v>0</v>
      </c>
      <c r="Y175" s="492">
        <v>0</v>
      </c>
      <c r="Z175" s="492">
        <f t="shared" si="187"/>
        <v>0</v>
      </c>
      <c r="AA175" s="492">
        <f t="shared" si="188"/>
        <v>0</v>
      </c>
      <c r="AB175" s="74">
        <f t="shared" si="189"/>
        <v>0</v>
      </c>
      <c r="AC175" s="74">
        <f t="shared" si="190"/>
        <v>0</v>
      </c>
      <c r="AD175" s="492">
        <v>0</v>
      </c>
      <c r="AE175" s="492">
        <v>0</v>
      </c>
      <c r="AF175" s="492">
        <f>SUM(AD175:AE175)</f>
        <v>0</v>
      </c>
      <c r="AG175" s="492">
        <f>AA175+AB175+AC175+AF175</f>
        <v>0</v>
      </c>
      <c r="AH175" s="493">
        <v>0</v>
      </c>
      <c r="AI175" s="493">
        <v>0</v>
      </c>
      <c r="AJ175" s="493">
        <v>0</v>
      </c>
      <c r="AK175" s="493">
        <v>0</v>
      </c>
      <c r="AL175" s="493">
        <v>0</v>
      </c>
      <c r="AM175" s="493">
        <v>0</v>
      </c>
      <c r="AN175" s="493">
        <v>0</v>
      </c>
      <c r="AO175" s="493">
        <f t="shared" si="185"/>
        <v>0</v>
      </c>
      <c r="AP175" s="493">
        <f t="shared" si="186"/>
        <v>0</v>
      </c>
      <c r="AQ175" s="495">
        <f t="shared" si="191"/>
        <v>0</v>
      </c>
      <c r="AR175" s="501">
        <f>I175+AG175</f>
        <v>35314500</v>
      </c>
      <c r="AS175" s="492">
        <f>J175+V175</f>
        <v>25154280</v>
      </c>
      <c r="AT175" s="492">
        <f t="shared" ref="AT175:AT179" si="219">K175+Z175</f>
        <v>305320</v>
      </c>
      <c r="AU175" s="492">
        <f t="shared" ref="AU175:AV179" si="220">L175+AB175</f>
        <v>8605345</v>
      </c>
      <c r="AV175" s="492">
        <f t="shared" si="220"/>
        <v>503085</v>
      </c>
      <c r="AW175" s="492">
        <f>N175+AF175</f>
        <v>746470</v>
      </c>
      <c r="AX175" s="493">
        <f>O175+AQ175</f>
        <v>45.249499999999998</v>
      </c>
      <c r="AY175" s="493">
        <f t="shared" ref="AY175:AZ179" si="221">P175+AO175</f>
        <v>35.815599999999996</v>
      </c>
      <c r="AZ175" s="495">
        <f t="shared" si="221"/>
        <v>9.4338999999999995</v>
      </c>
    </row>
    <row r="176" spans="1:52" ht="14.1" customHeight="1" x14ac:dyDescent="0.2">
      <c r="A176" s="72">
        <v>39</v>
      </c>
      <c r="B176" s="69">
        <v>2478</v>
      </c>
      <c r="C176" s="70">
        <v>600079929</v>
      </c>
      <c r="D176" s="69">
        <v>72743379</v>
      </c>
      <c r="E176" s="71" t="s">
        <v>647</v>
      </c>
      <c r="F176" s="72">
        <v>3113</v>
      </c>
      <c r="G176" s="84" t="s">
        <v>313</v>
      </c>
      <c r="H176" s="73" t="s">
        <v>279</v>
      </c>
      <c r="I176" s="494">
        <v>5119845</v>
      </c>
      <c r="J176" s="489">
        <v>3770136</v>
      </c>
      <c r="K176" s="489">
        <v>0</v>
      </c>
      <c r="L176" s="489">
        <v>1274306</v>
      </c>
      <c r="M176" s="489">
        <v>75403</v>
      </c>
      <c r="N176" s="489">
        <v>0</v>
      </c>
      <c r="O176" s="490">
        <v>11.020000000000001</v>
      </c>
      <c r="P176" s="491">
        <v>11.020000000000001</v>
      </c>
      <c r="Q176" s="500">
        <v>0</v>
      </c>
      <c r="R176" s="502">
        <f t="shared" si="184"/>
        <v>0</v>
      </c>
      <c r="S176" s="492">
        <v>17352</v>
      </c>
      <c r="T176" s="492">
        <v>0</v>
      </c>
      <c r="U176" s="492">
        <v>0</v>
      </c>
      <c r="V176" s="492">
        <f>SUM(R176:U176)</f>
        <v>17352</v>
      </c>
      <c r="W176" s="492">
        <v>0</v>
      </c>
      <c r="X176" s="492">
        <v>0</v>
      </c>
      <c r="Y176" s="492">
        <v>0</v>
      </c>
      <c r="Z176" s="492">
        <f t="shared" si="187"/>
        <v>0</v>
      </c>
      <c r="AA176" s="492">
        <f t="shared" si="188"/>
        <v>17352</v>
      </c>
      <c r="AB176" s="74">
        <f t="shared" si="189"/>
        <v>5865</v>
      </c>
      <c r="AC176" s="74">
        <f t="shared" si="190"/>
        <v>347</v>
      </c>
      <c r="AD176" s="492">
        <v>0</v>
      </c>
      <c r="AE176" s="492">
        <v>0</v>
      </c>
      <c r="AF176" s="492">
        <f>SUM(AD176:AE176)</f>
        <v>0</v>
      </c>
      <c r="AG176" s="492">
        <f>AA176+AB176+AC176+AF176</f>
        <v>23564</v>
      </c>
      <c r="AH176" s="493">
        <v>0</v>
      </c>
      <c r="AI176" s="493">
        <v>0</v>
      </c>
      <c r="AJ176" s="493">
        <v>0.04</v>
      </c>
      <c r="AK176" s="493">
        <v>0</v>
      </c>
      <c r="AL176" s="493">
        <v>0</v>
      </c>
      <c r="AM176" s="493">
        <v>0</v>
      </c>
      <c r="AN176" s="493">
        <v>0</v>
      </c>
      <c r="AO176" s="493">
        <f t="shared" si="185"/>
        <v>0.04</v>
      </c>
      <c r="AP176" s="493">
        <f t="shared" si="186"/>
        <v>0</v>
      </c>
      <c r="AQ176" s="495">
        <f t="shared" si="191"/>
        <v>0.04</v>
      </c>
      <c r="AR176" s="501">
        <f>I176+AG176</f>
        <v>5143409</v>
      </c>
      <c r="AS176" s="492">
        <f>J176+V176</f>
        <v>3787488</v>
      </c>
      <c r="AT176" s="492">
        <f t="shared" si="219"/>
        <v>0</v>
      </c>
      <c r="AU176" s="492">
        <f t="shared" si="220"/>
        <v>1280171</v>
      </c>
      <c r="AV176" s="492">
        <f t="shared" si="220"/>
        <v>75750</v>
      </c>
      <c r="AW176" s="492">
        <f>N176+AF176</f>
        <v>0</v>
      </c>
      <c r="AX176" s="493">
        <f>O176+AQ176</f>
        <v>11.06</v>
      </c>
      <c r="AY176" s="493">
        <f t="shared" si="221"/>
        <v>11.06</v>
      </c>
      <c r="AZ176" s="495">
        <f t="shared" si="221"/>
        <v>0</v>
      </c>
    </row>
    <row r="177" spans="1:52" ht="14.1" customHeight="1" x14ac:dyDescent="0.2">
      <c r="A177" s="72">
        <v>39</v>
      </c>
      <c r="B177" s="69">
        <v>2478</v>
      </c>
      <c r="C177" s="70">
        <v>600079929</v>
      </c>
      <c r="D177" s="69">
        <v>72743379</v>
      </c>
      <c r="E177" s="71" t="s">
        <v>647</v>
      </c>
      <c r="F177" s="72">
        <v>3141</v>
      </c>
      <c r="G177" s="71" t="s">
        <v>316</v>
      </c>
      <c r="H177" s="73" t="s">
        <v>279</v>
      </c>
      <c r="I177" s="494">
        <v>3434089</v>
      </c>
      <c r="J177" s="489">
        <v>2489899</v>
      </c>
      <c r="K177" s="489">
        <v>13000</v>
      </c>
      <c r="L177" s="489">
        <v>845980</v>
      </c>
      <c r="M177" s="489">
        <v>49798</v>
      </c>
      <c r="N177" s="489">
        <v>35412</v>
      </c>
      <c r="O177" s="490">
        <v>7.8900000000000006</v>
      </c>
      <c r="P177" s="491">
        <v>0</v>
      </c>
      <c r="Q177" s="500">
        <v>7.8900000000000006</v>
      </c>
      <c r="R177" s="502">
        <f t="shared" si="184"/>
        <v>0</v>
      </c>
      <c r="S177" s="492">
        <v>0</v>
      </c>
      <c r="T177" s="492">
        <v>0</v>
      </c>
      <c r="U177" s="492">
        <v>0</v>
      </c>
      <c r="V177" s="492">
        <f>SUM(R177:U177)</f>
        <v>0</v>
      </c>
      <c r="W177" s="492">
        <v>0</v>
      </c>
      <c r="X177" s="492">
        <v>0</v>
      </c>
      <c r="Y177" s="492">
        <v>0</v>
      </c>
      <c r="Z177" s="492">
        <f t="shared" si="187"/>
        <v>0</v>
      </c>
      <c r="AA177" s="492">
        <f t="shared" si="188"/>
        <v>0</v>
      </c>
      <c r="AB177" s="74">
        <f t="shared" si="189"/>
        <v>0</v>
      </c>
      <c r="AC177" s="74">
        <f t="shared" si="190"/>
        <v>0</v>
      </c>
      <c r="AD177" s="492">
        <v>0</v>
      </c>
      <c r="AE177" s="492">
        <v>0</v>
      </c>
      <c r="AF177" s="492">
        <f>SUM(AD177:AE177)</f>
        <v>0</v>
      </c>
      <c r="AG177" s="492">
        <f>AA177+AB177+AC177+AF177</f>
        <v>0</v>
      </c>
      <c r="AH177" s="493">
        <v>0</v>
      </c>
      <c r="AI177" s="493">
        <v>0</v>
      </c>
      <c r="AJ177" s="493">
        <v>0</v>
      </c>
      <c r="AK177" s="493">
        <v>0</v>
      </c>
      <c r="AL177" s="493">
        <v>0</v>
      </c>
      <c r="AM177" s="493">
        <v>0</v>
      </c>
      <c r="AN177" s="493">
        <v>0</v>
      </c>
      <c r="AO177" s="493">
        <f t="shared" si="185"/>
        <v>0</v>
      </c>
      <c r="AP177" s="493">
        <f t="shared" si="186"/>
        <v>0</v>
      </c>
      <c r="AQ177" s="495">
        <f t="shared" si="191"/>
        <v>0</v>
      </c>
      <c r="AR177" s="501">
        <f>I177+AG177</f>
        <v>3434089</v>
      </c>
      <c r="AS177" s="492">
        <f>J177+V177</f>
        <v>2489899</v>
      </c>
      <c r="AT177" s="492">
        <f t="shared" si="219"/>
        <v>13000</v>
      </c>
      <c r="AU177" s="492">
        <f t="shared" si="220"/>
        <v>845980</v>
      </c>
      <c r="AV177" s="492">
        <f t="shared" si="220"/>
        <v>49798</v>
      </c>
      <c r="AW177" s="492">
        <f>N177+AF177</f>
        <v>35412</v>
      </c>
      <c r="AX177" s="493">
        <f>O177+AQ177</f>
        <v>7.8900000000000006</v>
      </c>
      <c r="AY177" s="493">
        <f t="shared" si="221"/>
        <v>0</v>
      </c>
      <c r="AZ177" s="495">
        <f t="shared" si="221"/>
        <v>7.8900000000000006</v>
      </c>
    </row>
    <row r="178" spans="1:52" ht="14.1" customHeight="1" x14ac:dyDescent="0.2">
      <c r="A178" s="72">
        <v>39</v>
      </c>
      <c r="B178" s="69">
        <v>2478</v>
      </c>
      <c r="C178" s="70">
        <v>600079929</v>
      </c>
      <c r="D178" s="69">
        <v>72743379</v>
      </c>
      <c r="E178" s="71" t="s">
        <v>647</v>
      </c>
      <c r="F178" s="72">
        <v>3143</v>
      </c>
      <c r="G178" s="84" t="s">
        <v>629</v>
      </c>
      <c r="H178" s="73" t="s">
        <v>278</v>
      </c>
      <c r="I178" s="494">
        <v>3479683</v>
      </c>
      <c r="J178" s="489">
        <v>2530337</v>
      </c>
      <c r="K178" s="489">
        <v>32500</v>
      </c>
      <c r="L178" s="489">
        <v>866239</v>
      </c>
      <c r="M178" s="489">
        <v>50607</v>
      </c>
      <c r="N178" s="489">
        <v>0</v>
      </c>
      <c r="O178" s="490">
        <v>5.5715000000000003</v>
      </c>
      <c r="P178" s="490">
        <v>5.5715000000000003</v>
      </c>
      <c r="Q178" s="500">
        <v>0</v>
      </c>
      <c r="R178" s="502">
        <f t="shared" si="184"/>
        <v>0</v>
      </c>
      <c r="S178" s="492">
        <v>0</v>
      </c>
      <c r="T178" s="492">
        <v>0</v>
      </c>
      <c r="U178" s="492">
        <v>0</v>
      </c>
      <c r="V178" s="492">
        <f>SUM(R178:U178)</f>
        <v>0</v>
      </c>
      <c r="W178" s="492">
        <v>0</v>
      </c>
      <c r="X178" s="492">
        <v>0</v>
      </c>
      <c r="Y178" s="492">
        <v>0</v>
      </c>
      <c r="Z178" s="492">
        <f t="shared" si="187"/>
        <v>0</v>
      </c>
      <c r="AA178" s="492">
        <f t="shared" si="188"/>
        <v>0</v>
      </c>
      <c r="AB178" s="74">
        <f t="shared" si="189"/>
        <v>0</v>
      </c>
      <c r="AC178" s="74">
        <f t="shared" si="190"/>
        <v>0</v>
      </c>
      <c r="AD178" s="492">
        <v>0</v>
      </c>
      <c r="AE178" s="492">
        <v>0</v>
      </c>
      <c r="AF178" s="492">
        <f>SUM(AD178:AE178)</f>
        <v>0</v>
      </c>
      <c r="AG178" s="492">
        <f>AA178+AB178+AC178+AF178</f>
        <v>0</v>
      </c>
      <c r="AH178" s="493">
        <v>0</v>
      </c>
      <c r="AI178" s="493">
        <v>0</v>
      </c>
      <c r="AJ178" s="493">
        <v>0</v>
      </c>
      <c r="AK178" s="493">
        <v>0</v>
      </c>
      <c r="AL178" s="493">
        <v>0</v>
      </c>
      <c r="AM178" s="493">
        <v>0</v>
      </c>
      <c r="AN178" s="493">
        <v>0</v>
      </c>
      <c r="AO178" s="493">
        <f t="shared" si="185"/>
        <v>0</v>
      </c>
      <c r="AP178" s="493">
        <f t="shared" si="186"/>
        <v>0</v>
      </c>
      <c r="AQ178" s="495">
        <f t="shared" si="191"/>
        <v>0</v>
      </c>
      <c r="AR178" s="501">
        <f>I178+AG178</f>
        <v>3479683</v>
      </c>
      <c r="AS178" s="492">
        <f>J178+V178</f>
        <v>2530337</v>
      </c>
      <c r="AT178" s="492">
        <f t="shared" si="219"/>
        <v>32500</v>
      </c>
      <c r="AU178" s="492">
        <f t="shared" si="220"/>
        <v>866239</v>
      </c>
      <c r="AV178" s="492">
        <f t="shared" si="220"/>
        <v>50607</v>
      </c>
      <c r="AW178" s="492">
        <f>N178+AF178</f>
        <v>0</v>
      </c>
      <c r="AX178" s="493">
        <f>O178+AQ178</f>
        <v>5.5715000000000003</v>
      </c>
      <c r="AY178" s="493">
        <f t="shared" si="221"/>
        <v>5.5715000000000003</v>
      </c>
      <c r="AZ178" s="495">
        <f t="shared" si="221"/>
        <v>0</v>
      </c>
    </row>
    <row r="179" spans="1:52" ht="14.1" customHeight="1" x14ac:dyDescent="0.2">
      <c r="A179" s="72">
        <v>39</v>
      </c>
      <c r="B179" s="69">
        <v>2478</v>
      </c>
      <c r="C179" s="70">
        <v>600079929</v>
      </c>
      <c r="D179" s="69">
        <v>72743379</v>
      </c>
      <c r="E179" s="71" t="s">
        <v>647</v>
      </c>
      <c r="F179" s="72">
        <v>3143</v>
      </c>
      <c r="G179" s="84" t="s">
        <v>630</v>
      </c>
      <c r="H179" s="73" t="s">
        <v>279</v>
      </c>
      <c r="I179" s="494">
        <v>105083</v>
      </c>
      <c r="J179" s="489">
        <v>74310</v>
      </c>
      <c r="K179" s="489">
        <v>0</v>
      </c>
      <c r="L179" s="489">
        <v>25117</v>
      </c>
      <c r="M179" s="489">
        <v>1486</v>
      </c>
      <c r="N179" s="489">
        <v>4170</v>
      </c>
      <c r="O179" s="490">
        <v>0.29000000000000004</v>
      </c>
      <c r="P179" s="491">
        <v>0</v>
      </c>
      <c r="Q179" s="500">
        <v>0.29000000000000004</v>
      </c>
      <c r="R179" s="502">
        <f t="shared" si="184"/>
        <v>0</v>
      </c>
      <c r="S179" s="492">
        <v>0</v>
      </c>
      <c r="T179" s="492">
        <v>0</v>
      </c>
      <c r="U179" s="492">
        <v>0</v>
      </c>
      <c r="V179" s="492">
        <f>SUM(R179:U179)</f>
        <v>0</v>
      </c>
      <c r="W179" s="492">
        <v>0</v>
      </c>
      <c r="X179" s="492">
        <v>0</v>
      </c>
      <c r="Y179" s="492">
        <v>0</v>
      </c>
      <c r="Z179" s="492">
        <f t="shared" si="187"/>
        <v>0</v>
      </c>
      <c r="AA179" s="492">
        <f t="shared" si="188"/>
        <v>0</v>
      </c>
      <c r="AB179" s="74">
        <f t="shared" si="189"/>
        <v>0</v>
      </c>
      <c r="AC179" s="74">
        <f t="shared" si="190"/>
        <v>0</v>
      </c>
      <c r="AD179" s="492">
        <v>0</v>
      </c>
      <c r="AE179" s="492">
        <v>0</v>
      </c>
      <c r="AF179" s="492">
        <f>SUM(AD179:AE179)</f>
        <v>0</v>
      </c>
      <c r="AG179" s="492">
        <f>AA179+AB179+AC179+AF179</f>
        <v>0</v>
      </c>
      <c r="AH179" s="493">
        <v>0</v>
      </c>
      <c r="AI179" s="493">
        <v>0</v>
      </c>
      <c r="AJ179" s="493">
        <v>0</v>
      </c>
      <c r="AK179" s="493">
        <v>0</v>
      </c>
      <c r="AL179" s="493">
        <v>0</v>
      </c>
      <c r="AM179" s="493">
        <v>0</v>
      </c>
      <c r="AN179" s="493">
        <v>0</v>
      </c>
      <c r="AO179" s="493">
        <f t="shared" si="185"/>
        <v>0</v>
      </c>
      <c r="AP179" s="493">
        <f t="shared" si="186"/>
        <v>0</v>
      </c>
      <c r="AQ179" s="495">
        <f t="shared" si="191"/>
        <v>0</v>
      </c>
      <c r="AR179" s="501">
        <f>I179+AG179</f>
        <v>105083</v>
      </c>
      <c r="AS179" s="492">
        <f>J179+V179</f>
        <v>74310</v>
      </c>
      <c r="AT179" s="492">
        <f t="shared" si="219"/>
        <v>0</v>
      </c>
      <c r="AU179" s="492">
        <f t="shared" si="220"/>
        <v>25117</v>
      </c>
      <c r="AV179" s="492">
        <f t="shared" si="220"/>
        <v>1486</v>
      </c>
      <c r="AW179" s="492">
        <f>N179+AF179</f>
        <v>4170</v>
      </c>
      <c r="AX179" s="493">
        <f>O179+AQ179</f>
        <v>0.29000000000000004</v>
      </c>
      <c r="AY179" s="493">
        <f t="shared" si="221"/>
        <v>0</v>
      </c>
      <c r="AZ179" s="495">
        <f t="shared" si="221"/>
        <v>0.29000000000000004</v>
      </c>
    </row>
    <row r="180" spans="1:52" ht="14.1" customHeight="1" x14ac:dyDescent="0.2">
      <c r="A180" s="78">
        <v>39</v>
      </c>
      <c r="B180" s="75">
        <v>2478</v>
      </c>
      <c r="C180" s="76">
        <v>600079929</v>
      </c>
      <c r="D180" s="75">
        <v>72743379</v>
      </c>
      <c r="E180" s="77" t="s">
        <v>648</v>
      </c>
      <c r="F180" s="78"/>
      <c r="G180" s="77"/>
      <c r="H180" s="79"/>
      <c r="I180" s="80">
        <v>47453200</v>
      </c>
      <c r="J180" s="81">
        <v>34018962</v>
      </c>
      <c r="K180" s="81">
        <v>350820</v>
      </c>
      <c r="L180" s="81">
        <v>11616987</v>
      </c>
      <c r="M180" s="81">
        <v>680379</v>
      </c>
      <c r="N180" s="81">
        <v>786052</v>
      </c>
      <c r="O180" s="82">
        <v>70.021000000000015</v>
      </c>
      <c r="P180" s="82">
        <v>52.4071</v>
      </c>
      <c r="Q180" s="452">
        <v>17.613900000000001</v>
      </c>
      <c r="R180" s="80">
        <f t="shared" ref="R180:AZ180" si="222">SUM(R175:R179)</f>
        <v>0</v>
      </c>
      <c r="S180" s="81">
        <f t="shared" si="222"/>
        <v>17352</v>
      </c>
      <c r="T180" s="81">
        <f t="shared" si="222"/>
        <v>0</v>
      </c>
      <c r="U180" s="81">
        <f t="shared" si="222"/>
        <v>0</v>
      </c>
      <c r="V180" s="81">
        <f t="shared" si="222"/>
        <v>17352</v>
      </c>
      <c r="W180" s="81">
        <f t="shared" si="222"/>
        <v>0</v>
      </c>
      <c r="X180" s="81">
        <f t="shared" si="222"/>
        <v>0</v>
      </c>
      <c r="Y180" s="81">
        <f t="shared" si="222"/>
        <v>0</v>
      </c>
      <c r="Z180" s="81">
        <f t="shared" si="222"/>
        <v>0</v>
      </c>
      <c r="AA180" s="81">
        <f t="shared" si="222"/>
        <v>17352</v>
      </c>
      <c r="AB180" s="81">
        <f t="shared" si="222"/>
        <v>5865</v>
      </c>
      <c r="AC180" s="81">
        <f t="shared" si="222"/>
        <v>347</v>
      </c>
      <c r="AD180" s="81">
        <f t="shared" si="222"/>
        <v>0</v>
      </c>
      <c r="AE180" s="81">
        <f t="shared" si="222"/>
        <v>0</v>
      </c>
      <c r="AF180" s="81">
        <f t="shared" si="222"/>
        <v>0</v>
      </c>
      <c r="AG180" s="81">
        <f t="shared" si="222"/>
        <v>23564</v>
      </c>
      <c r="AH180" s="82">
        <f t="shared" si="222"/>
        <v>0</v>
      </c>
      <c r="AI180" s="82">
        <f t="shared" si="222"/>
        <v>0</v>
      </c>
      <c r="AJ180" s="82">
        <f t="shared" si="222"/>
        <v>0.04</v>
      </c>
      <c r="AK180" s="82">
        <f t="shared" ref="AK180:AL180" si="223">SUM(AK175:AK179)</f>
        <v>0</v>
      </c>
      <c r="AL180" s="82">
        <f t="shared" si="223"/>
        <v>0</v>
      </c>
      <c r="AM180" s="82">
        <f t="shared" si="222"/>
        <v>0</v>
      </c>
      <c r="AN180" s="82">
        <f t="shared" si="222"/>
        <v>0</v>
      </c>
      <c r="AO180" s="82">
        <f t="shared" si="222"/>
        <v>0.04</v>
      </c>
      <c r="AP180" s="82">
        <f t="shared" si="222"/>
        <v>0</v>
      </c>
      <c r="AQ180" s="83">
        <f t="shared" si="222"/>
        <v>0.04</v>
      </c>
      <c r="AR180" s="438">
        <f t="shared" si="222"/>
        <v>47476764</v>
      </c>
      <c r="AS180" s="81">
        <f t="shared" si="222"/>
        <v>34036314</v>
      </c>
      <c r="AT180" s="81">
        <f t="shared" si="222"/>
        <v>350820</v>
      </c>
      <c r="AU180" s="81">
        <f t="shared" si="222"/>
        <v>11622852</v>
      </c>
      <c r="AV180" s="81">
        <f t="shared" si="222"/>
        <v>680726</v>
      </c>
      <c r="AW180" s="81">
        <f t="shared" si="222"/>
        <v>786052</v>
      </c>
      <c r="AX180" s="82">
        <f t="shared" si="222"/>
        <v>70.061000000000007</v>
      </c>
      <c r="AY180" s="82">
        <f t="shared" si="222"/>
        <v>52.447099999999999</v>
      </c>
      <c r="AZ180" s="83">
        <f t="shared" si="222"/>
        <v>17.613900000000001</v>
      </c>
    </row>
    <row r="181" spans="1:52" ht="14.1" customHeight="1" x14ac:dyDescent="0.2">
      <c r="A181" s="72">
        <v>40</v>
      </c>
      <c r="B181" s="69">
        <v>2465</v>
      </c>
      <c r="C181" s="70">
        <v>650018273</v>
      </c>
      <c r="D181" s="69">
        <v>72741791</v>
      </c>
      <c r="E181" s="71" t="s">
        <v>649</v>
      </c>
      <c r="F181" s="72">
        <v>3111</v>
      </c>
      <c r="G181" s="71" t="s">
        <v>312</v>
      </c>
      <c r="H181" s="73" t="s">
        <v>278</v>
      </c>
      <c r="I181" s="494">
        <v>6073016</v>
      </c>
      <c r="J181" s="489">
        <v>4370765</v>
      </c>
      <c r="K181" s="489">
        <v>71500</v>
      </c>
      <c r="L181" s="489">
        <v>1501486</v>
      </c>
      <c r="M181" s="489">
        <v>87415</v>
      </c>
      <c r="N181" s="489">
        <v>41850</v>
      </c>
      <c r="O181" s="490">
        <v>9.8792000000000009</v>
      </c>
      <c r="P181" s="490">
        <v>7.9355000000000002</v>
      </c>
      <c r="Q181" s="500">
        <v>1.9436999999999998</v>
      </c>
      <c r="R181" s="502">
        <f t="shared" si="184"/>
        <v>0</v>
      </c>
      <c r="S181" s="492">
        <v>0</v>
      </c>
      <c r="T181" s="492">
        <v>0</v>
      </c>
      <c r="U181" s="492">
        <v>0</v>
      </c>
      <c r="V181" s="492">
        <f t="shared" ref="V181:V186" si="224">SUM(R181:U181)</f>
        <v>0</v>
      </c>
      <c r="W181" s="492">
        <v>0</v>
      </c>
      <c r="X181" s="492">
        <v>0</v>
      </c>
      <c r="Y181" s="492">
        <v>0</v>
      </c>
      <c r="Z181" s="492">
        <f t="shared" si="187"/>
        <v>0</v>
      </c>
      <c r="AA181" s="492">
        <f t="shared" si="188"/>
        <v>0</v>
      </c>
      <c r="AB181" s="74">
        <f t="shared" si="189"/>
        <v>0</v>
      </c>
      <c r="AC181" s="74">
        <f t="shared" si="190"/>
        <v>0</v>
      </c>
      <c r="AD181" s="492">
        <v>0</v>
      </c>
      <c r="AE181" s="492">
        <v>0</v>
      </c>
      <c r="AF181" s="492">
        <f t="shared" ref="AF181:AF186" si="225">SUM(AD181:AE181)</f>
        <v>0</v>
      </c>
      <c r="AG181" s="492">
        <f t="shared" ref="AG181:AG186" si="226">AA181+AB181+AC181+AF181</f>
        <v>0</v>
      </c>
      <c r="AH181" s="493">
        <v>0</v>
      </c>
      <c r="AI181" s="493">
        <v>0</v>
      </c>
      <c r="AJ181" s="493">
        <v>0</v>
      </c>
      <c r="AK181" s="493">
        <v>0</v>
      </c>
      <c r="AL181" s="493">
        <v>0</v>
      </c>
      <c r="AM181" s="493">
        <v>0</v>
      </c>
      <c r="AN181" s="493">
        <v>0</v>
      </c>
      <c r="AO181" s="493">
        <f t="shared" si="185"/>
        <v>0</v>
      </c>
      <c r="AP181" s="493">
        <f t="shared" si="186"/>
        <v>0</v>
      </c>
      <c r="AQ181" s="495">
        <f t="shared" si="191"/>
        <v>0</v>
      </c>
      <c r="AR181" s="501">
        <f t="shared" ref="AR181:AR186" si="227">I181+AG181</f>
        <v>6073016</v>
      </c>
      <c r="AS181" s="492">
        <f t="shared" ref="AS181:AS186" si="228">J181+V181</f>
        <v>4370765</v>
      </c>
      <c r="AT181" s="492">
        <f t="shared" ref="AT181:AT186" si="229">K181+Z181</f>
        <v>71500</v>
      </c>
      <c r="AU181" s="492">
        <f t="shared" ref="AU181:AV186" si="230">L181+AB181</f>
        <v>1501486</v>
      </c>
      <c r="AV181" s="492">
        <f t="shared" si="230"/>
        <v>87415</v>
      </c>
      <c r="AW181" s="492">
        <f t="shared" ref="AW181:AW186" si="231">N181+AF181</f>
        <v>41850</v>
      </c>
      <c r="AX181" s="493">
        <f t="shared" ref="AX181:AX186" si="232">O181+AQ181</f>
        <v>9.8792000000000009</v>
      </c>
      <c r="AY181" s="493">
        <f t="shared" ref="AY181:AZ186" si="233">P181+AO181</f>
        <v>7.9355000000000002</v>
      </c>
      <c r="AZ181" s="495">
        <f t="shared" si="233"/>
        <v>1.9436999999999998</v>
      </c>
    </row>
    <row r="182" spans="1:52" ht="14.1" customHeight="1" x14ac:dyDescent="0.2">
      <c r="A182" s="72">
        <v>40</v>
      </c>
      <c r="B182" s="69">
        <v>2465</v>
      </c>
      <c r="C182" s="70">
        <v>650018273</v>
      </c>
      <c r="D182" s="69">
        <v>72741791</v>
      </c>
      <c r="E182" s="71" t="s">
        <v>649</v>
      </c>
      <c r="F182" s="72">
        <v>3113</v>
      </c>
      <c r="G182" s="71" t="s">
        <v>315</v>
      </c>
      <c r="H182" s="73" t="s">
        <v>278</v>
      </c>
      <c r="I182" s="494">
        <v>20439709</v>
      </c>
      <c r="J182" s="489">
        <v>14679263</v>
      </c>
      <c r="K182" s="489">
        <v>65000</v>
      </c>
      <c r="L182" s="489">
        <v>4983560</v>
      </c>
      <c r="M182" s="489">
        <v>293586</v>
      </c>
      <c r="N182" s="489">
        <v>418300</v>
      </c>
      <c r="O182" s="490">
        <v>27.114799999999999</v>
      </c>
      <c r="P182" s="490">
        <v>19.454499999999999</v>
      </c>
      <c r="Q182" s="500">
        <v>7.6602999999999994</v>
      </c>
      <c r="R182" s="502">
        <f t="shared" si="184"/>
        <v>0</v>
      </c>
      <c r="S182" s="492">
        <v>0</v>
      </c>
      <c r="T182" s="492">
        <v>0</v>
      </c>
      <c r="U182" s="492">
        <v>0</v>
      </c>
      <c r="V182" s="492">
        <f t="shared" si="224"/>
        <v>0</v>
      </c>
      <c r="W182" s="492">
        <v>0</v>
      </c>
      <c r="X182" s="492">
        <v>0</v>
      </c>
      <c r="Y182" s="492">
        <v>0</v>
      </c>
      <c r="Z182" s="492">
        <f t="shared" si="187"/>
        <v>0</v>
      </c>
      <c r="AA182" s="492">
        <f t="shared" si="188"/>
        <v>0</v>
      </c>
      <c r="AB182" s="74">
        <f t="shared" si="189"/>
        <v>0</v>
      </c>
      <c r="AC182" s="74">
        <f t="shared" si="190"/>
        <v>0</v>
      </c>
      <c r="AD182" s="492">
        <v>0</v>
      </c>
      <c r="AE182" s="492">
        <v>0</v>
      </c>
      <c r="AF182" s="492">
        <f t="shared" si="225"/>
        <v>0</v>
      </c>
      <c r="AG182" s="492">
        <f t="shared" si="226"/>
        <v>0</v>
      </c>
      <c r="AH182" s="493">
        <v>0</v>
      </c>
      <c r="AI182" s="493">
        <v>0</v>
      </c>
      <c r="AJ182" s="493">
        <v>0</v>
      </c>
      <c r="AK182" s="493">
        <v>0</v>
      </c>
      <c r="AL182" s="493">
        <v>0</v>
      </c>
      <c r="AM182" s="493">
        <v>0</v>
      </c>
      <c r="AN182" s="493">
        <v>0</v>
      </c>
      <c r="AO182" s="493">
        <f t="shared" si="185"/>
        <v>0</v>
      </c>
      <c r="AP182" s="493">
        <f t="shared" si="186"/>
        <v>0</v>
      </c>
      <c r="AQ182" s="495">
        <f t="shared" si="191"/>
        <v>0</v>
      </c>
      <c r="AR182" s="501">
        <f t="shared" si="227"/>
        <v>20439709</v>
      </c>
      <c r="AS182" s="492">
        <f t="shared" si="228"/>
        <v>14679263</v>
      </c>
      <c r="AT182" s="492">
        <f t="shared" si="229"/>
        <v>65000</v>
      </c>
      <c r="AU182" s="492">
        <f t="shared" si="230"/>
        <v>4983560</v>
      </c>
      <c r="AV182" s="492">
        <f t="shared" si="230"/>
        <v>293586</v>
      </c>
      <c r="AW182" s="492">
        <f t="shared" si="231"/>
        <v>418300</v>
      </c>
      <c r="AX182" s="493">
        <f t="shared" si="232"/>
        <v>27.114799999999999</v>
      </c>
      <c r="AY182" s="493">
        <f t="shared" si="233"/>
        <v>19.454499999999999</v>
      </c>
      <c r="AZ182" s="495">
        <f t="shared" si="233"/>
        <v>7.6602999999999994</v>
      </c>
    </row>
    <row r="183" spans="1:52" ht="14.1" customHeight="1" x14ac:dyDescent="0.2">
      <c r="A183" s="72">
        <v>40</v>
      </c>
      <c r="B183" s="69">
        <v>2465</v>
      </c>
      <c r="C183" s="70">
        <v>650018273</v>
      </c>
      <c r="D183" s="69">
        <v>72741791</v>
      </c>
      <c r="E183" s="71" t="s">
        <v>649</v>
      </c>
      <c r="F183" s="72">
        <v>3113</v>
      </c>
      <c r="G183" s="84" t="s">
        <v>313</v>
      </c>
      <c r="H183" s="73" t="s">
        <v>279</v>
      </c>
      <c r="I183" s="494">
        <v>3917430</v>
      </c>
      <c r="J183" s="489">
        <v>2882496</v>
      </c>
      <c r="K183" s="489">
        <v>0</v>
      </c>
      <c r="L183" s="489">
        <v>974284</v>
      </c>
      <c r="M183" s="489">
        <v>57650</v>
      </c>
      <c r="N183" s="489">
        <v>3000</v>
      </c>
      <c r="O183" s="490">
        <v>8.34</v>
      </c>
      <c r="P183" s="491">
        <v>8.34</v>
      </c>
      <c r="Q183" s="500">
        <v>0</v>
      </c>
      <c r="R183" s="502">
        <f t="shared" si="184"/>
        <v>0</v>
      </c>
      <c r="S183" s="492">
        <v>0</v>
      </c>
      <c r="T183" s="492">
        <v>0</v>
      </c>
      <c r="U183" s="492">
        <v>0</v>
      </c>
      <c r="V183" s="492">
        <f t="shared" si="224"/>
        <v>0</v>
      </c>
      <c r="W183" s="492">
        <v>0</v>
      </c>
      <c r="X183" s="492">
        <v>0</v>
      </c>
      <c r="Y183" s="492">
        <v>0</v>
      </c>
      <c r="Z183" s="492">
        <f t="shared" si="187"/>
        <v>0</v>
      </c>
      <c r="AA183" s="492">
        <f t="shared" si="188"/>
        <v>0</v>
      </c>
      <c r="AB183" s="74">
        <f t="shared" si="189"/>
        <v>0</v>
      </c>
      <c r="AC183" s="74">
        <f t="shared" si="190"/>
        <v>0</v>
      </c>
      <c r="AD183" s="492">
        <v>0</v>
      </c>
      <c r="AE183" s="492">
        <v>0</v>
      </c>
      <c r="AF183" s="492">
        <f t="shared" si="225"/>
        <v>0</v>
      </c>
      <c r="AG183" s="492">
        <f t="shared" si="226"/>
        <v>0</v>
      </c>
      <c r="AH183" s="493">
        <v>0</v>
      </c>
      <c r="AI183" s="493">
        <v>0</v>
      </c>
      <c r="AJ183" s="493">
        <v>0</v>
      </c>
      <c r="AK183" s="493">
        <v>0</v>
      </c>
      <c r="AL183" s="493">
        <v>0</v>
      </c>
      <c r="AM183" s="493">
        <v>0</v>
      </c>
      <c r="AN183" s="493">
        <v>0</v>
      </c>
      <c r="AO183" s="493">
        <f t="shared" si="185"/>
        <v>0</v>
      </c>
      <c r="AP183" s="493">
        <f t="shared" si="186"/>
        <v>0</v>
      </c>
      <c r="AQ183" s="495">
        <f t="shared" si="191"/>
        <v>0</v>
      </c>
      <c r="AR183" s="501">
        <f t="shared" si="227"/>
        <v>3917430</v>
      </c>
      <c r="AS183" s="492">
        <f t="shared" si="228"/>
        <v>2882496</v>
      </c>
      <c r="AT183" s="492">
        <f t="shared" si="229"/>
        <v>0</v>
      </c>
      <c r="AU183" s="492">
        <f t="shared" si="230"/>
        <v>974284</v>
      </c>
      <c r="AV183" s="492">
        <f t="shared" si="230"/>
        <v>57650</v>
      </c>
      <c r="AW183" s="492">
        <f t="shared" si="231"/>
        <v>3000</v>
      </c>
      <c r="AX183" s="493">
        <f t="shared" si="232"/>
        <v>8.34</v>
      </c>
      <c r="AY183" s="493">
        <f t="shared" si="233"/>
        <v>8.34</v>
      </c>
      <c r="AZ183" s="495">
        <f t="shared" si="233"/>
        <v>0</v>
      </c>
    </row>
    <row r="184" spans="1:52" ht="14.1" customHeight="1" x14ac:dyDescent="0.2">
      <c r="A184" s="72">
        <v>40</v>
      </c>
      <c r="B184" s="69">
        <v>2465</v>
      </c>
      <c r="C184" s="70">
        <v>650018273</v>
      </c>
      <c r="D184" s="69">
        <v>72741791</v>
      </c>
      <c r="E184" s="71" t="s">
        <v>649</v>
      </c>
      <c r="F184" s="72">
        <v>3141</v>
      </c>
      <c r="G184" s="71" t="s">
        <v>316</v>
      </c>
      <c r="H184" s="73" t="s">
        <v>279</v>
      </c>
      <c r="I184" s="494">
        <v>1856094</v>
      </c>
      <c r="J184" s="489">
        <v>1355985</v>
      </c>
      <c r="K184" s="489">
        <v>0</v>
      </c>
      <c r="L184" s="489">
        <v>458323</v>
      </c>
      <c r="M184" s="489">
        <v>27120</v>
      </c>
      <c r="N184" s="489">
        <v>14666</v>
      </c>
      <c r="O184" s="490">
        <v>4.2699999999999996</v>
      </c>
      <c r="P184" s="491">
        <v>0</v>
      </c>
      <c r="Q184" s="500">
        <v>4.2699999999999996</v>
      </c>
      <c r="R184" s="502">
        <f t="shared" si="184"/>
        <v>0</v>
      </c>
      <c r="S184" s="492">
        <v>0</v>
      </c>
      <c r="T184" s="492">
        <v>0</v>
      </c>
      <c r="U184" s="492">
        <v>0</v>
      </c>
      <c r="V184" s="492">
        <f t="shared" si="224"/>
        <v>0</v>
      </c>
      <c r="W184" s="492">
        <v>0</v>
      </c>
      <c r="X184" s="492">
        <v>0</v>
      </c>
      <c r="Y184" s="492">
        <v>0</v>
      </c>
      <c r="Z184" s="492">
        <f t="shared" si="187"/>
        <v>0</v>
      </c>
      <c r="AA184" s="492">
        <f t="shared" si="188"/>
        <v>0</v>
      </c>
      <c r="AB184" s="74">
        <f t="shared" si="189"/>
        <v>0</v>
      </c>
      <c r="AC184" s="74">
        <f t="shared" si="190"/>
        <v>0</v>
      </c>
      <c r="AD184" s="492">
        <v>0</v>
      </c>
      <c r="AE184" s="492">
        <v>0</v>
      </c>
      <c r="AF184" s="492">
        <f t="shared" si="225"/>
        <v>0</v>
      </c>
      <c r="AG184" s="492">
        <f t="shared" si="226"/>
        <v>0</v>
      </c>
      <c r="AH184" s="493">
        <v>0</v>
      </c>
      <c r="AI184" s="493">
        <v>0</v>
      </c>
      <c r="AJ184" s="493">
        <v>0</v>
      </c>
      <c r="AK184" s="493">
        <v>0</v>
      </c>
      <c r="AL184" s="493">
        <v>0</v>
      </c>
      <c r="AM184" s="493">
        <v>0</v>
      </c>
      <c r="AN184" s="493">
        <v>0</v>
      </c>
      <c r="AO184" s="493">
        <f t="shared" si="185"/>
        <v>0</v>
      </c>
      <c r="AP184" s="493">
        <f t="shared" si="186"/>
        <v>0</v>
      </c>
      <c r="AQ184" s="495">
        <f t="shared" si="191"/>
        <v>0</v>
      </c>
      <c r="AR184" s="501">
        <f t="shared" si="227"/>
        <v>1856094</v>
      </c>
      <c r="AS184" s="492">
        <f t="shared" si="228"/>
        <v>1355985</v>
      </c>
      <c r="AT184" s="492">
        <f t="shared" si="229"/>
        <v>0</v>
      </c>
      <c r="AU184" s="492">
        <f t="shared" si="230"/>
        <v>458323</v>
      </c>
      <c r="AV184" s="492">
        <f t="shared" si="230"/>
        <v>27120</v>
      </c>
      <c r="AW184" s="492">
        <f t="shared" si="231"/>
        <v>14666</v>
      </c>
      <c r="AX184" s="493">
        <f t="shared" si="232"/>
        <v>4.2699999999999996</v>
      </c>
      <c r="AY184" s="493">
        <f t="shared" si="233"/>
        <v>0</v>
      </c>
      <c r="AZ184" s="495">
        <f t="shared" si="233"/>
        <v>4.2699999999999996</v>
      </c>
    </row>
    <row r="185" spans="1:52" ht="14.1" customHeight="1" x14ac:dyDescent="0.2">
      <c r="A185" s="72">
        <v>40</v>
      </c>
      <c r="B185" s="69">
        <v>2465</v>
      </c>
      <c r="C185" s="70">
        <v>650018273</v>
      </c>
      <c r="D185" s="69">
        <v>72741791</v>
      </c>
      <c r="E185" s="71" t="s">
        <v>649</v>
      </c>
      <c r="F185" s="72">
        <v>3143</v>
      </c>
      <c r="G185" s="84" t="s">
        <v>629</v>
      </c>
      <c r="H185" s="73" t="s">
        <v>278</v>
      </c>
      <c r="I185" s="494">
        <v>1883454</v>
      </c>
      <c r="J185" s="489">
        <v>1374124</v>
      </c>
      <c r="K185" s="489">
        <v>13000</v>
      </c>
      <c r="L185" s="489">
        <v>468848</v>
      </c>
      <c r="M185" s="489">
        <v>27482</v>
      </c>
      <c r="N185" s="489">
        <v>0</v>
      </c>
      <c r="O185" s="490">
        <v>3.1436000000000002</v>
      </c>
      <c r="P185" s="490">
        <v>3.1436000000000002</v>
      </c>
      <c r="Q185" s="500">
        <v>0</v>
      </c>
      <c r="R185" s="502">
        <f t="shared" si="184"/>
        <v>0</v>
      </c>
      <c r="S185" s="492">
        <v>0</v>
      </c>
      <c r="T185" s="492">
        <v>0</v>
      </c>
      <c r="U185" s="492">
        <v>0</v>
      </c>
      <c r="V185" s="492">
        <f t="shared" si="224"/>
        <v>0</v>
      </c>
      <c r="W185" s="492">
        <v>0</v>
      </c>
      <c r="X185" s="492">
        <v>0</v>
      </c>
      <c r="Y185" s="492">
        <v>0</v>
      </c>
      <c r="Z185" s="492">
        <f t="shared" si="187"/>
        <v>0</v>
      </c>
      <c r="AA185" s="492">
        <f t="shared" si="188"/>
        <v>0</v>
      </c>
      <c r="AB185" s="74">
        <f t="shared" si="189"/>
        <v>0</v>
      </c>
      <c r="AC185" s="74">
        <f t="shared" si="190"/>
        <v>0</v>
      </c>
      <c r="AD185" s="492">
        <v>0</v>
      </c>
      <c r="AE185" s="492">
        <v>0</v>
      </c>
      <c r="AF185" s="492">
        <f t="shared" si="225"/>
        <v>0</v>
      </c>
      <c r="AG185" s="492">
        <f t="shared" si="226"/>
        <v>0</v>
      </c>
      <c r="AH185" s="493">
        <v>0</v>
      </c>
      <c r="AI185" s="493">
        <v>0</v>
      </c>
      <c r="AJ185" s="493">
        <v>0</v>
      </c>
      <c r="AK185" s="493">
        <v>0</v>
      </c>
      <c r="AL185" s="493">
        <v>0</v>
      </c>
      <c r="AM185" s="493">
        <v>0</v>
      </c>
      <c r="AN185" s="493">
        <v>0</v>
      </c>
      <c r="AO185" s="493">
        <f t="shared" si="185"/>
        <v>0</v>
      </c>
      <c r="AP185" s="493">
        <f t="shared" si="186"/>
        <v>0</v>
      </c>
      <c r="AQ185" s="495">
        <f t="shared" si="191"/>
        <v>0</v>
      </c>
      <c r="AR185" s="501">
        <f t="shared" si="227"/>
        <v>1883454</v>
      </c>
      <c r="AS185" s="492">
        <f t="shared" si="228"/>
        <v>1374124</v>
      </c>
      <c r="AT185" s="492">
        <f t="shared" si="229"/>
        <v>13000</v>
      </c>
      <c r="AU185" s="492">
        <f t="shared" si="230"/>
        <v>468848</v>
      </c>
      <c r="AV185" s="492">
        <f t="shared" si="230"/>
        <v>27482</v>
      </c>
      <c r="AW185" s="492">
        <f t="shared" si="231"/>
        <v>0</v>
      </c>
      <c r="AX185" s="493">
        <f t="shared" si="232"/>
        <v>3.1436000000000002</v>
      </c>
      <c r="AY185" s="493">
        <f t="shared" si="233"/>
        <v>3.1436000000000002</v>
      </c>
      <c r="AZ185" s="495">
        <f t="shared" si="233"/>
        <v>0</v>
      </c>
    </row>
    <row r="186" spans="1:52" ht="14.1" customHeight="1" x14ac:dyDescent="0.2">
      <c r="A186" s="72">
        <v>40</v>
      </c>
      <c r="B186" s="69">
        <v>2465</v>
      </c>
      <c r="C186" s="70">
        <v>650018273</v>
      </c>
      <c r="D186" s="69">
        <v>72741791</v>
      </c>
      <c r="E186" s="71" t="s">
        <v>649</v>
      </c>
      <c r="F186" s="72">
        <v>3143</v>
      </c>
      <c r="G186" s="84" t="s">
        <v>630</v>
      </c>
      <c r="H186" s="73" t="s">
        <v>279</v>
      </c>
      <c r="I186" s="494">
        <v>68040</v>
      </c>
      <c r="J186" s="489">
        <v>48115</v>
      </c>
      <c r="K186" s="489">
        <v>0</v>
      </c>
      <c r="L186" s="489">
        <v>16263</v>
      </c>
      <c r="M186" s="489">
        <v>962</v>
      </c>
      <c r="N186" s="489">
        <v>2700</v>
      </c>
      <c r="O186" s="490">
        <v>0.19</v>
      </c>
      <c r="P186" s="491">
        <v>0</v>
      </c>
      <c r="Q186" s="500">
        <v>0.19</v>
      </c>
      <c r="R186" s="502">
        <f t="shared" si="184"/>
        <v>0</v>
      </c>
      <c r="S186" s="492">
        <v>0</v>
      </c>
      <c r="T186" s="492">
        <v>0</v>
      </c>
      <c r="U186" s="492">
        <v>0</v>
      </c>
      <c r="V186" s="492">
        <f t="shared" si="224"/>
        <v>0</v>
      </c>
      <c r="W186" s="492">
        <v>0</v>
      </c>
      <c r="X186" s="492">
        <v>0</v>
      </c>
      <c r="Y186" s="492">
        <v>0</v>
      </c>
      <c r="Z186" s="492">
        <f t="shared" si="187"/>
        <v>0</v>
      </c>
      <c r="AA186" s="492">
        <f t="shared" si="188"/>
        <v>0</v>
      </c>
      <c r="AB186" s="74">
        <f t="shared" si="189"/>
        <v>0</v>
      </c>
      <c r="AC186" s="74">
        <f t="shared" si="190"/>
        <v>0</v>
      </c>
      <c r="AD186" s="492">
        <v>0</v>
      </c>
      <c r="AE186" s="492">
        <v>0</v>
      </c>
      <c r="AF186" s="492">
        <f t="shared" si="225"/>
        <v>0</v>
      </c>
      <c r="AG186" s="492">
        <f t="shared" si="226"/>
        <v>0</v>
      </c>
      <c r="AH186" s="493">
        <v>0</v>
      </c>
      <c r="AI186" s="493">
        <v>0</v>
      </c>
      <c r="AJ186" s="493">
        <v>0</v>
      </c>
      <c r="AK186" s="493">
        <v>0</v>
      </c>
      <c r="AL186" s="493">
        <v>0</v>
      </c>
      <c r="AM186" s="493">
        <v>0</v>
      </c>
      <c r="AN186" s="493">
        <v>0</v>
      </c>
      <c r="AO186" s="493">
        <f t="shared" si="185"/>
        <v>0</v>
      </c>
      <c r="AP186" s="493">
        <f t="shared" si="186"/>
        <v>0</v>
      </c>
      <c r="AQ186" s="495">
        <f t="shared" si="191"/>
        <v>0</v>
      </c>
      <c r="AR186" s="501">
        <f t="shared" si="227"/>
        <v>68040</v>
      </c>
      <c r="AS186" s="492">
        <f t="shared" si="228"/>
        <v>48115</v>
      </c>
      <c r="AT186" s="492">
        <f t="shared" si="229"/>
        <v>0</v>
      </c>
      <c r="AU186" s="492">
        <f t="shared" si="230"/>
        <v>16263</v>
      </c>
      <c r="AV186" s="492">
        <f t="shared" si="230"/>
        <v>962</v>
      </c>
      <c r="AW186" s="492">
        <f t="shared" si="231"/>
        <v>2700</v>
      </c>
      <c r="AX186" s="493">
        <f t="shared" si="232"/>
        <v>0.19</v>
      </c>
      <c r="AY186" s="493">
        <f t="shared" si="233"/>
        <v>0</v>
      </c>
      <c r="AZ186" s="495">
        <f t="shared" si="233"/>
        <v>0.19</v>
      </c>
    </row>
    <row r="187" spans="1:52" ht="14.1" customHeight="1" x14ac:dyDescent="0.2">
      <c r="A187" s="78">
        <v>40</v>
      </c>
      <c r="B187" s="75">
        <v>2465</v>
      </c>
      <c r="C187" s="76">
        <v>650018273</v>
      </c>
      <c r="D187" s="75">
        <v>72741791</v>
      </c>
      <c r="E187" s="77" t="s">
        <v>650</v>
      </c>
      <c r="F187" s="78"/>
      <c r="G187" s="77"/>
      <c r="H187" s="79"/>
      <c r="I187" s="80">
        <v>34237743</v>
      </c>
      <c r="J187" s="81">
        <v>24710748</v>
      </c>
      <c r="K187" s="81">
        <v>149500</v>
      </c>
      <c r="L187" s="81">
        <v>8402764</v>
      </c>
      <c r="M187" s="81">
        <v>494215</v>
      </c>
      <c r="N187" s="81">
        <v>480516</v>
      </c>
      <c r="O187" s="82">
        <v>52.937599999999996</v>
      </c>
      <c r="P187" s="82">
        <v>38.873600000000003</v>
      </c>
      <c r="Q187" s="452">
        <v>14.063999999999998</v>
      </c>
      <c r="R187" s="80">
        <f t="shared" ref="R187:AZ187" si="234">SUM(R181:R186)</f>
        <v>0</v>
      </c>
      <c r="S187" s="81">
        <f t="shared" si="234"/>
        <v>0</v>
      </c>
      <c r="T187" s="81">
        <f t="shared" si="234"/>
        <v>0</v>
      </c>
      <c r="U187" s="81">
        <f t="shared" si="234"/>
        <v>0</v>
      </c>
      <c r="V187" s="81">
        <f t="shared" si="234"/>
        <v>0</v>
      </c>
      <c r="W187" s="81">
        <f t="shared" si="234"/>
        <v>0</v>
      </c>
      <c r="X187" s="81">
        <f t="shared" si="234"/>
        <v>0</v>
      </c>
      <c r="Y187" s="81">
        <f t="shared" si="234"/>
        <v>0</v>
      </c>
      <c r="Z187" s="81">
        <f t="shared" si="234"/>
        <v>0</v>
      </c>
      <c r="AA187" s="81">
        <f t="shared" si="234"/>
        <v>0</v>
      </c>
      <c r="AB187" s="81">
        <f t="shared" si="234"/>
        <v>0</v>
      </c>
      <c r="AC187" s="81">
        <f t="shared" si="234"/>
        <v>0</v>
      </c>
      <c r="AD187" s="81">
        <f t="shared" si="234"/>
        <v>0</v>
      </c>
      <c r="AE187" s="81">
        <f t="shared" si="234"/>
        <v>0</v>
      </c>
      <c r="AF187" s="81">
        <f t="shared" si="234"/>
        <v>0</v>
      </c>
      <c r="AG187" s="81">
        <f t="shared" si="234"/>
        <v>0</v>
      </c>
      <c r="AH187" s="82">
        <f t="shared" si="234"/>
        <v>0</v>
      </c>
      <c r="AI187" s="82">
        <f t="shared" si="234"/>
        <v>0</v>
      </c>
      <c r="AJ187" s="82">
        <f t="shared" si="234"/>
        <v>0</v>
      </c>
      <c r="AK187" s="82">
        <f t="shared" ref="AK187:AL187" si="235">SUM(AK181:AK186)</f>
        <v>0</v>
      </c>
      <c r="AL187" s="82">
        <f t="shared" si="235"/>
        <v>0</v>
      </c>
      <c r="AM187" s="82">
        <f t="shared" si="234"/>
        <v>0</v>
      </c>
      <c r="AN187" s="82">
        <f t="shared" si="234"/>
        <v>0</v>
      </c>
      <c r="AO187" s="82">
        <f t="shared" si="234"/>
        <v>0</v>
      </c>
      <c r="AP187" s="82">
        <f t="shared" si="234"/>
        <v>0</v>
      </c>
      <c r="AQ187" s="83">
        <f t="shared" si="234"/>
        <v>0</v>
      </c>
      <c r="AR187" s="438">
        <f t="shared" si="234"/>
        <v>34237743</v>
      </c>
      <c r="AS187" s="81">
        <f t="shared" si="234"/>
        <v>24710748</v>
      </c>
      <c r="AT187" s="81">
        <f t="shared" si="234"/>
        <v>149500</v>
      </c>
      <c r="AU187" s="81">
        <f t="shared" si="234"/>
        <v>8402764</v>
      </c>
      <c r="AV187" s="81">
        <f t="shared" si="234"/>
        <v>494215</v>
      </c>
      <c r="AW187" s="81">
        <f t="shared" si="234"/>
        <v>480516</v>
      </c>
      <c r="AX187" s="82">
        <f t="shared" si="234"/>
        <v>52.937599999999996</v>
      </c>
      <c r="AY187" s="82">
        <f t="shared" si="234"/>
        <v>38.873600000000003</v>
      </c>
      <c r="AZ187" s="83">
        <f t="shared" si="234"/>
        <v>14.063999999999998</v>
      </c>
    </row>
    <row r="188" spans="1:52" ht="14.1" customHeight="1" x14ac:dyDescent="0.2">
      <c r="A188" s="72">
        <v>41</v>
      </c>
      <c r="B188" s="69">
        <v>2480</v>
      </c>
      <c r="C188" s="70">
        <v>600080293</v>
      </c>
      <c r="D188" s="69">
        <v>46744924</v>
      </c>
      <c r="E188" s="71" t="s">
        <v>651</v>
      </c>
      <c r="F188" s="72">
        <v>3113</v>
      </c>
      <c r="G188" s="71" t="s">
        <v>315</v>
      </c>
      <c r="H188" s="73" t="s">
        <v>278</v>
      </c>
      <c r="I188" s="494">
        <v>35101703</v>
      </c>
      <c r="J188" s="489">
        <v>25289817</v>
      </c>
      <c r="K188" s="489">
        <v>19500</v>
      </c>
      <c r="L188" s="489">
        <v>8554550</v>
      </c>
      <c r="M188" s="489">
        <v>505796</v>
      </c>
      <c r="N188" s="489">
        <v>732040</v>
      </c>
      <c r="O188" s="490">
        <v>42.309399999999997</v>
      </c>
      <c r="P188" s="490">
        <v>33.49</v>
      </c>
      <c r="Q188" s="500">
        <v>8.8193999999999999</v>
      </c>
      <c r="R188" s="502">
        <f t="shared" si="184"/>
        <v>0</v>
      </c>
      <c r="S188" s="492">
        <v>0</v>
      </c>
      <c r="T188" s="492">
        <v>0</v>
      </c>
      <c r="U188" s="492">
        <v>0</v>
      </c>
      <c r="V188" s="492">
        <f t="shared" ref="V188:V193" si="236">SUM(R188:U188)</f>
        <v>0</v>
      </c>
      <c r="W188" s="492">
        <v>0</v>
      </c>
      <c r="X188" s="492">
        <v>0</v>
      </c>
      <c r="Y188" s="492">
        <v>0</v>
      </c>
      <c r="Z188" s="492">
        <f t="shared" si="187"/>
        <v>0</v>
      </c>
      <c r="AA188" s="492">
        <f t="shared" si="188"/>
        <v>0</v>
      </c>
      <c r="AB188" s="74">
        <f t="shared" si="189"/>
        <v>0</v>
      </c>
      <c r="AC188" s="74">
        <f t="shared" si="190"/>
        <v>0</v>
      </c>
      <c r="AD188" s="492">
        <v>0</v>
      </c>
      <c r="AE188" s="492">
        <v>0</v>
      </c>
      <c r="AF188" s="492">
        <f t="shared" ref="AF188:AF193" si="237">SUM(AD188:AE188)</f>
        <v>0</v>
      </c>
      <c r="AG188" s="492">
        <f t="shared" ref="AG188:AG193" si="238">AA188+AB188+AC188+AF188</f>
        <v>0</v>
      </c>
      <c r="AH188" s="493">
        <v>0</v>
      </c>
      <c r="AI188" s="493">
        <v>0</v>
      </c>
      <c r="AJ188" s="493">
        <v>0</v>
      </c>
      <c r="AK188" s="493">
        <v>0</v>
      </c>
      <c r="AL188" s="493">
        <v>0</v>
      </c>
      <c r="AM188" s="493">
        <v>0</v>
      </c>
      <c r="AN188" s="493">
        <v>0</v>
      </c>
      <c r="AO188" s="493">
        <f t="shared" si="185"/>
        <v>0</v>
      </c>
      <c r="AP188" s="493">
        <f t="shared" si="186"/>
        <v>0</v>
      </c>
      <c r="AQ188" s="495">
        <f t="shared" si="191"/>
        <v>0</v>
      </c>
      <c r="AR188" s="501">
        <f t="shared" ref="AR188:AR193" si="239">I188+AG188</f>
        <v>35101703</v>
      </c>
      <c r="AS188" s="492">
        <f t="shared" ref="AS188:AS193" si="240">J188+V188</f>
        <v>25289817</v>
      </c>
      <c r="AT188" s="492">
        <f t="shared" ref="AT188:AT193" si="241">K188+Z188</f>
        <v>19500</v>
      </c>
      <c r="AU188" s="492">
        <f t="shared" ref="AU188:AV193" si="242">L188+AB188</f>
        <v>8554550</v>
      </c>
      <c r="AV188" s="492">
        <f t="shared" si="242"/>
        <v>505796</v>
      </c>
      <c r="AW188" s="492">
        <f t="shared" ref="AW188:AW193" si="243">N188+AF188</f>
        <v>732040</v>
      </c>
      <c r="AX188" s="493">
        <f t="shared" ref="AX188:AX193" si="244">O188+AQ188</f>
        <v>42.309399999999997</v>
      </c>
      <c r="AY188" s="493">
        <f t="shared" ref="AY188:AZ193" si="245">P188+AO188</f>
        <v>33.49</v>
      </c>
      <c r="AZ188" s="495">
        <f t="shared" si="245"/>
        <v>8.8193999999999999</v>
      </c>
    </row>
    <row r="189" spans="1:52" ht="14.1" customHeight="1" x14ac:dyDescent="0.2">
      <c r="A189" s="72">
        <v>41</v>
      </c>
      <c r="B189" s="69">
        <v>2480</v>
      </c>
      <c r="C189" s="70">
        <v>600080293</v>
      </c>
      <c r="D189" s="69">
        <v>46744924</v>
      </c>
      <c r="E189" s="71" t="s">
        <v>651</v>
      </c>
      <c r="F189" s="72">
        <v>3113</v>
      </c>
      <c r="G189" s="84" t="s">
        <v>313</v>
      </c>
      <c r="H189" s="73" t="s">
        <v>279</v>
      </c>
      <c r="I189" s="494">
        <v>2160401</v>
      </c>
      <c r="J189" s="489">
        <v>1590870</v>
      </c>
      <c r="K189" s="489">
        <v>0</v>
      </c>
      <c r="L189" s="489">
        <v>537714</v>
      </c>
      <c r="M189" s="489">
        <v>31817</v>
      </c>
      <c r="N189" s="489">
        <v>0</v>
      </c>
      <c r="O189" s="490">
        <v>4.58</v>
      </c>
      <c r="P189" s="491">
        <v>4.58</v>
      </c>
      <c r="Q189" s="500">
        <v>0</v>
      </c>
      <c r="R189" s="502">
        <f t="shared" si="184"/>
        <v>0</v>
      </c>
      <c r="S189" s="492">
        <v>52056</v>
      </c>
      <c r="T189" s="492">
        <v>0</v>
      </c>
      <c r="U189" s="492">
        <v>0</v>
      </c>
      <c r="V189" s="492">
        <f t="shared" si="236"/>
        <v>52056</v>
      </c>
      <c r="W189" s="492">
        <v>0</v>
      </c>
      <c r="X189" s="492">
        <v>0</v>
      </c>
      <c r="Y189" s="492">
        <v>0</v>
      </c>
      <c r="Z189" s="492">
        <f t="shared" si="187"/>
        <v>0</v>
      </c>
      <c r="AA189" s="492">
        <f t="shared" si="188"/>
        <v>52056</v>
      </c>
      <c r="AB189" s="74">
        <f t="shared" si="189"/>
        <v>17595</v>
      </c>
      <c r="AC189" s="74">
        <f t="shared" si="190"/>
        <v>1041</v>
      </c>
      <c r="AD189" s="492">
        <v>0</v>
      </c>
      <c r="AE189" s="492">
        <v>0</v>
      </c>
      <c r="AF189" s="492">
        <f t="shared" si="237"/>
        <v>0</v>
      </c>
      <c r="AG189" s="492">
        <f t="shared" si="238"/>
        <v>70692</v>
      </c>
      <c r="AH189" s="493">
        <v>0</v>
      </c>
      <c r="AI189" s="493">
        <v>0</v>
      </c>
      <c r="AJ189" s="493">
        <v>0.12</v>
      </c>
      <c r="AK189" s="493">
        <v>0</v>
      </c>
      <c r="AL189" s="493">
        <v>0</v>
      </c>
      <c r="AM189" s="493">
        <v>0</v>
      </c>
      <c r="AN189" s="493">
        <v>0</v>
      </c>
      <c r="AO189" s="493">
        <f t="shared" si="185"/>
        <v>0.12</v>
      </c>
      <c r="AP189" s="493">
        <f t="shared" si="186"/>
        <v>0</v>
      </c>
      <c r="AQ189" s="495">
        <f t="shared" si="191"/>
        <v>0.12</v>
      </c>
      <c r="AR189" s="501">
        <f t="shared" si="239"/>
        <v>2231093</v>
      </c>
      <c r="AS189" s="492">
        <f t="shared" si="240"/>
        <v>1642926</v>
      </c>
      <c r="AT189" s="492">
        <f t="shared" si="241"/>
        <v>0</v>
      </c>
      <c r="AU189" s="492">
        <f t="shared" si="242"/>
        <v>555309</v>
      </c>
      <c r="AV189" s="492">
        <f t="shared" si="242"/>
        <v>32858</v>
      </c>
      <c r="AW189" s="492">
        <f t="shared" si="243"/>
        <v>0</v>
      </c>
      <c r="AX189" s="493">
        <f t="shared" si="244"/>
        <v>4.7</v>
      </c>
      <c r="AY189" s="493">
        <f t="shared" si="245"/>
        <v>4.7</v>
      </c>
      <c r="AZ189" s="495">
        <f t="shared" si="245"/>
        <v>0</v>
      </c>
    </row>
    <row r="190" spans="1:52" ht="13.5" customHeight="1" x14ac:dyDescent="0.2">
      <c r="A190" s="72">
        <v>41</v>
      </c>
      <c r="B190" s="69">
        <v>2480</v>
      </c>
      <c r="C190" s="70">
        <v>600080293</v>
      </c>
      <c r="D190" s="69">
        <v>46744924</v>
      </c>
      <c r="E190" s="71" t="s">
        <v>651</v>
      </c>
      <c r="F190" s="72">
        <v>3141</v>
      </c>
      <c r="G190" s="71" t="s">
        <v>316</v>
      </c>
      <c r="H190" s="73" t="s">
        <v>279</v>
      </c>
      <c r="I190" s="494">
        <v>3190071</v>
      </c>
      <c r="J190" s="489">
        <v>2327398</v>
      </c>
      <c r="K190" s="489">
        <v>0</v>
      </c>
      <c r="L190" s="489">
        <v>786661</v>
      </c>
      <c r="M190" s="489">
        <v>46548</v>
      </c>
      <c r="N190" s="489">
        <v>29464</v>
      </c>
      <c r="O190" s="490">
        <v>7.33</v>
      </c>
      <c r="P190" s="491">
        <v>0</v>
      </c>
      <c r="Q190" s="500">
        <v>7.33</v>
      </c>
      <c r="R190" s="502">
        <f t="shared" si="184"/>
        <v>0</v>
      </c>
      <c r="S190" s="492">
        <v>0</v>
      </c>
      <c r="T190" s="492">
        <v>0</v>
      </c>
      <c r="U190" s="492">
        <v>0</v>
      </c>
      <c r="V190" s="492">
        <f t="shared" si="236"/>
        <v>0</v>
      </c>
      <c r="W190" s="492">
        <v>0</v>
      </c>
      <c r="X190" s="492">
        <v>0</v>
      </c>
      <c r="Y190" s="492">
        <v>0</v>
      </c>
      <c r="Z190" s="492">
        <f t="shared" si="187"/>
        <v>0</v>
      </c>
      <c r="AA190" s="492">
        <f t="shared" si="188"/>
        <v>0</v>
      </c>
      <c r="AB190" s="74">
        <f t="shared" si="189"/>
        <v>0</v>
      </c>
      <c r="AC190" s="74">
        <f t="shared" si="190"/>
        <v>0</v>
      </c>
      <c r="AD190" s="492">
        <v>0</v>
      </c>
      <c r="AE190" s="492">
        <v>0</v>
      </c>
      <c r="AF190" s="492">
        <f t="shared" si="237"/>
        <v>0</v>
      </c>
      <c r="AG190" s="492">
        <f t="shared" si="238"/>
        <v>0</v>
      </c>
      <c r="AH190" s="493">
        <v>0</v>
      </c>
      <c r="AI190" s="493">
        <v>0</v>
      </c>
      <c r="AJ190" s="493">
        <v>0</v>
      </c>
      <c r="AK190" s="493">
        <v>0</v>
      </c>
      <c r="AL190" s="493">
        <v>0</v>
      </c>
      <c r="AM190" s="493">
        <v>0</v>
      </c>
      <c r="AN190" s="493">
        <v>0</v>
      </c>
      <c r="AO190" s="493">
        <f t="shared" si="185"/>
        <v>0</v>
      </c>
      <c r="AP190" s="493">
        <f t="shared" si="186"/>
        <v>0</v>
      </c>
      <c r="AQ190" s="495">
        <f t="shared" si="191"/>
        <v>0</v>
      </c>
      <c r="AR190" s="501">
        <f t="shared" si="239"/>
        <v>3190071</v>
      </c>
      <c r="AS190" s="492">
        <f t="shared" si="240"/>
        <v>2327398</v>
      </c>
      <c r="AT190" s="492">
        <f t="shared" si="241"/>
        <v>0</v>
      </c>
      <c r="AU190" s="492">
        <f t="shared" si="242"/>
        <v>786661</v>
      </c>
      <c r="AV190" s="492">
        <f t="shared" si="242"/>
        <v>46548</v>
      </c>
      <c r="AW190" s="492">
        <f t="shared" si="243"/>
        <v>29464</v>
      </c>
      <c r="AX190" s="493">
        <f t="shared" si="244"/>
        <v>7.33</v>
      </c>
      <c r="AY190" s="493">
        <f t="shared" si="245"/>
        <v>0</v>
      </c>
      <c r="AZ190" s="495">
        <f t="shared" si="245"/>
        <v>7.33</v>
      </c>
    </row>
    <row r="191" spans="1:52" ht="14.1" customHeight="1" x14ac:dyDescent="0.2">
      <c r="A191" s="72">
        <v>41</v>
      </c>
      <c r="B191" s="69">
        <v>2480</v>
      </c>
      <c r="C191" s="70">
        <v>600080293</v>
      </c>
      <c r="D191" s="69">
        <v>46744924</v>
      </c>
      <c r="E191" s="71" t="s">
        <v>651</v>
      </c>
      <c r="F191" s="72">
        <v>3143</v>
      </c>
      <c r="G191" s="84" t="s">
        <v>629</v>
      </c>
      <c r="H191" s="73" t="s">
        <v>278</v>
      </c>
      <c r="I191" s="494">
        <v>3394242</v>
      </c>
      <c r="J191" s="489">
        <v>2499442</v>
      </c>
      <c r="K191" s="489">
        <v>0</v>
      </c>
      <c r="L191" s="489">
        <v>844811</v>
      </c>
      <c r="M191" s="489">
        <v>49989</v>
      </c>
      <c r="N191" s="489">
        <v>0</v>
      </c>
      <c r="O191" s="490">
        <v>5.1071</v>
      </c>
      <c r="P191" s="490">
        <v>5.1071</v>
      </c>
      <c r="Q191" s="500">
        <v>0</v>
      </c>
      <c r="R191" s="502">
        <f t="shared" si="184"/>
        <v>0</v>
      </c>
      <c r="S191" s="492">
        <v>0</v>
      </c>
      <c r="T191" s="492">
        <v>0</v>
      </c>
      <c r="U191" s="492">
        <v>0</v>
      </c>
      <c r="V191" s="492">
        <f t="shared" si="236"/>
        <v>0</v>
      </c>
      <c r="W191" s="492">
        <v>0</v>
      </c>
      <c r="X191" s="492">
        <v>0</v>
      </c>
      <c r="Y191" s="492">
        <v>0</v>
      </c>
      <c r="Z191" s="492">
        <f t="shared" si="187"/>
        <v>0</v>
      </c>
      <c r="AA191" s="492">
        <f t="shared" si="188"/>
        <v>0</v>
      </c>
      <c r="AB191" s="74">
        <f t="shared" si="189"/>
        <v>0</v>
      </c>
      <c r="AC191" s="74">
        <f t="shared" si="190"/>
        <v>0</v>
      </c>
      <c r="AD191" s="492">
        <v>0</v>
      </c>
      <c r="AE191" s="492">
        <v>0</v>
      </c>
      <c r="AF191" s="492">
        <f t="shared" si="237"/>
        <v>0</v>
      </c>
      <c r="AG191" s="492">
        <f t="shared" si="238"/>
        <v>0</v>
      </c>
      <c r="AH191" s="493">
        <v>0</v>
      </c>
      <c r="AI191" s="493">
        <v>0</v>
      </c>
      <c r="AJ191" s="493">
        <v>0</v>
      </c>
      <c r="AK191" s="493">
        <v>0</v>
      </c>
      <c r="AL191" s="493">
        <v>0</v>
      </c>
      <c r="AM191" s="493">
        <v>0</v>
      </c>
      <c r="AN191" s="493">
        <v>0</v>
      </c>
      <c r="AO191" s="493">
        <f t="shared" si="185"/>
        <v>0</v>
      </c>
      <c r="AP191" s="493">
        <f t="shared" si="186"/>
        <v>0</v>
      </c>
      <c r="AQ191" s="495">
        <f t="shared" si="191"/>
        <v>0</v>
      </c>
      <c r="AR191" s="501">
        <f t="shared" si="239"/>
        <v>3394242</v>
      </c>
      <c r="AS191" s="492">
        <f t="shared" si="240"/>
        <v>2499442</v>
      </c>
      <c r="AT191" s="492">
        <f t="shared" si="241"/>
        <v>0</v>
      </c>
      <c r="AU191" s="492">
        <f t="shared" si="242"/>
        <v>844811</v>
      </c>
      <c r="AV191" s="492">
        <f t="shared" si="242"/>
        <v>49989</v>
      </c>
      <c r="AW191" s="492">
        <f t="shared" si="243"/>
        <v>0</v>
      </c>
      <c r="AX191" s="493">
        <f t="shared" si="244"/>
        <v>5.1071</v>
      </c>
      <c r="AY191" s="493">
        <f t="shared" si="245"/>
        <v>5.1071</v>
      </c>
      <c r="AZ191" s="495">
        <f t="shared" si="245"/>
        <v>0</v>
      </c>
    </row>
    <row r="192" spans="1:52" ht="14.1" customHeight="1" x14ac:dyDescent="0.2">
      <c r="A192" s="72">
        <v>41</v>
      </c>
      <c r="B192" s="69">
        <v>2480</v>
      </c>
      <c r="C192" s="70">
        <v>600080293</v>
      </c>
      <c r="D192" s="69">
        <v>46744924</v>
      </c>
      <c r="E192" s="71" t="s">
        <v>651</v>
      </c>
      <c r="F192" s="72">
        <v>3143</v>
      </c>
      <c r="G192" s="84" t="s">
        <v>630</v>
      </c>
      <c r="H192" s="73" t="s">
        <v>279</v>
      </c>
      <c r="I192" s="494">
        <v>122472</v>
      </c>
      <c r="J192" s="489">
        <v>86607</v>
      </c>
      <c r="K192" s="489">
        <v>0</v>
      </c>
      <c r="L192" s="489">
        <v>29273</v>
      </c>
      <c r="M192" s="489">
        <v>1732</v>
      </c>
      <c r="N192" s="489">
        <v>4860</v>
      </c>
      <c r="O192" s="490">
        <v>0.34</v>
      </c>
      <c r="P192" s="491">
        <v>0</v>
      </c>
      <c r="Q192" s="500">
        <v>0.34</v>
      </c>
      <c r="R192" s="502">
        <f t="shared" si="184"/>
        <v>0</v>
      </c>
      <c r="S192" s="492">
        <v>0</v>
      </c>
      <c r="T192" s="492">
        <v>0</v>
      </c>
      <c r="U192" s="492">
        <v>0</v>
      </c>
      <c r="V192" s="492">
        <f t="shared" si="236"/>
        <v>0</v>
      </c>
      <c r="W192" s="492">
        <v>0</v>
      </c>
      <c r="X192" s="492">
        <v>0</v>
      </c>
      <c r="Y192" s="492">
        <v>0</v>
      </c>
      <c r="Z192" s="492">
        <f t="shared" si="187"/>
        <v>0</v>
      </c>
      <c r="AA192" s="492">
        <f t="shared" si="188"/>
        <v>0</v>
      </c>
      <c r="AB192" s="74">
        <f t="shared" si="189"/>
        <v>0</v>
      </c>
      <c r="AC192" s="74">
        <f t="shared" si="190"/>
        <v>0</v>
      </c>
      <c r="AD192" s="492">
        <v>0</v>
      </c>
      <c r="AE192" s="492">
        <v>0</v>
      </c>
      <c r="AF192" s="492">
        <f t="shared" si="237"/>
        <v>0</v>
      </c>
      <c r="AG192" s="492">
        <f t="shared" si="238"/>
        <v>0</v>
      </c>
      <c r="AH192" s="493">
        <v>0</v>
      </c>
      <c r="AI192" s="493">
        <v>0</v>
      </c>
      <c r="AJ192" s="493">
        <v>0</v>
      </c>
      <c r="AK192" s="493">
        <v>0</v>
      </c>
      <c r="AL192" s="493">
        <v>0</v>
      </c>
      <c r="AM192" s="493">
        <v>0</v>
      </c>
      <c r="AN192" s="493">
        <v>0</v>
      </c>
      <c r="AO192" s="493">
        <f t="shared" si="185"/>
        <v>0</v>
      </c>
      <c r="AP192" s="493">
        <f t="shared" si="186"/>
        <v>0</v>
      </c>
      <c r="AQ192" s="495">
        <f t="shared" si="191"/>
        <v>0</v>
      </c>
      <c r="AR192" s="501">
        <f t="shared" si="239"/>
        <v>122472</v>
      </c>
      <c r="AS192" s="492">
        <f t="shared" si="240"/>
        <v>86607</v>
      </c>
      <c r="AT192" s="492">
        <f t="shared" si="241"/>
        <v>0</v>
      </c>
      <c r="AU192" s="492">
        <f t="shared" si="242"/>
        <v>29273</v>
      </c>
      <c r="AV192" s="492">
        <f t="shared" si="242"/>
        <v>1732</v>
      </c>
      <c r="AW192" s="492">
        <f t="shared" si="243"/>
        <v>4860</v>
      </c>
      <c r="AX192" s="493">
        <f t="shared" si="244"/>
        <v>0.34</v>
      </c>
      <c r="AY192" s="493">
        <f t="shared" si="245"/>
        <v>0</v>
      </c>
      <c r="AZ192" s="495">
        <f t="shared" si="245"/>
        <v>0.34</v>
      </c>
    </row>
    <row r="193" spans="1:52" ht="14.1" customHeight="1" x14ac:dyDescent="0.2">
      <c r="A193" s="72">
        <v>41</v>
      </c>
      <c r="B193" s="69">
        <v>2480</v>
      </c>
      <c r="C193" s="70">
        <v>600080293</v>
      </c>
      <c r="D193" s="69">
        <v>46744924</v>
      </c>
      <c r="E193" s="71" t="s">
        <v>651</v>
      </c>
      <c r="F193" s="72">
        <v>3143</v>
      </c>
      <c r="G193" s="84" t="s">
        <v>318</v>
      </c>
      <c r="H193" s="73" t="s">
        <v>279</v>
      </c>
      <c r="I193" s="494">
        <v>1045657</v>
      </c>
      <c r="J193" s="489">
        <v>765638</v>
      </c>
      <c r="K193" s="489">
        <v>0</v>
      </c>
      <c r="L193" s="489">
        <v>258786</v>
      </c>
      <c r="M193" s="489">
        <v>15313</v>
      </c>
      <c r="N193" s="489">
        <v>5920</v>
      </c>
      <c r="O193" s="490">
        <v>1.8599999999999999</v>
      </c>
      <c r="P193" s="490">
        <v>1.24</v>
      </c>
      <c r="Q193" s="500">
        <v>0.62</v>
      </c>
      <c r="R193" s="502">
        <f t="shared" si="184"/>
        <v>0</v>
      </c>
      <c r="S193" s="492">
        <v>0</v>
      </c>
      <c r="T193" s="492">
        <v>0</v>
      </c>
      <c r="U193" s="492">
        <v>0</v>
      </c>
      <c r="V193" s="492">
        <f t="shared" si="236"/>
        <v>0</v>
      </c>
      <c r="W193" s="492">
        <v>0</v>
      </c>
      <c r="X193" s="492">
        <v>0</v>
      </c>
      <c r="Y193" s="492">
        <v>0</v>
      </c>
      <c r="Z193" s="492">
        <f t="shared" si="187"/>
        <v>0</v>
      </c>
      <c r="AA193" s="492">
        <f t="shared" si="188"/>
        <v>0</v>
      </c>
      <c r="AB193" s="74">
        <f t="shared" si="189"/>
        <v>0</v>
      </c>
      <c r="AC193" s="74">
        <f t="shared" si="190"/>
        <v>0</v>
      </c>
      <c r="AD193" s="492">
        <v>0</v>
      </c>
      <c r="AE193" s="492">
        <v>0</v>
      </c>
      <c r="AF193" s="492">
        <f t="shared" si="237"/>
        <v>0</v>
      </c>
      <c r="AG193" s="492">
        <f t="shared" si="238"/>
        <v>0</v>
      </c>
      <c r="AH193" s="493">
        <v>0</v>
      </c>
      <c r="AI193" s="493">
        <v>0</v>
      </c>
      <c r="AJ193" s="493">
        <v>0</v>
      </c>
      <c r="AK193" s="493">
        <v>0</v>
      </c>
      <c r="AL193" s="493">
        <v>0</v>
      </c>
      <c r="AM193" s="493">
        <v>0</v>
      </c>
      <c r="AN193" s="493">
        <v>0</v>
      </c>
      <c r="AO193" s="493">
        <f t="shared" si="185"/>
        <v>0</v>
      </c>
      <c r="AP193" s="493">
        <f t="shared" si="186"/>
        <v>0</v>
      </c>
      <c r="AQ193" s="495">
        <f t="shared" si="191"/>
        <v>0</v>
      </c>
      <c r="AR193" s="501">
        <f t="shared" si="239"/>
        <v>1045657</v>
      </c>
      <c r="AS193" s="492">
        <f t="shared" si="240"/>
        <v>765638</v>
      </c>
      <c r="AT193" s="492">
        <f t="shared" si="241"/>
        <v>0</v>
      </c>
      <c r="AU193" s="492">
        <f t="shared" si="242"/>
        <v>258786</v>
      </c>
      <c r="AV193" s="492">
        <f t="shared" si="242"/>
        <v>15313</v>
      </c>
      <c r="AW193" s="492">
        <f t="shared" si="243"/>
        <v>5920</v>
      </c>
      <c r="AX193" s="493">
        <f t="shared" si="244"/>
        <v>1.8599999999999999</v>
      </c>
      <c r="AY193" s="493">
        <f t="shared" si="245"/>
        <v>1.24</v>
      </c>
      <c r="AZ193" s="495">
        <f t="shared" si="245"/>
        <v>0.62</v>
      </c>
    </row>
    <row r="194" spans="1:52" ht="14.1" customHeight="1" x14ac:dyDescent="0.2">
      <c r="A194" s="78">
        <v>41</v>
      </c>
      <c r="B194" s="75">
        <v>2480</v>
      </c>
      <c r="C194" s="76">
        <v>600080293</v>
      </c>
      <c r="D194" s="75">
        <v>46744924</v>
      </c>
      <c r="E194" s="77" t="s">
        <v>652</v>
      </c>
      <c r="F194" s="78"/>
      <c r="G194" s="77"/>
      <c r="H194" s="79"/>
      <c r="I194" s="80">
        <v>45014546</v>
      </c>
      <c r="J194" s="81">
        <v>32559772</v>
      </c>
      <c r="K194" s="81">
        <v>19500</v>
      </c>
      <c r="L194" s="81">
        <v>11011795</v>
      </c>
      <c r="M194" s="81">
        <v>651195</v>
      </c>
      <c r="N194" s="81">
        <v>772284</v>
      </c>
      <c r="O194" s="82">
        <v>61.526499999999999</v>
      </c>
      <c r="P194" s="82">
        <v>44.417100000000005</v>
      </c>
      <c r="Q194" s="452">
        <v>17.109400000000001</v>
      </c>
      <c r="R194" s="80">
        <f t="shared" ref="R194:AZ194" si="246">SUM(R188:R193)</f>
        <v>0</v>
      </c>
      <c r="S194" s="81">
        <f t="shared" si="246"/>
        <v>52056</v>
      </c>
      <c r="T194" s="81">
        <f t="shared" si="246"/>
        <v>0</v>
      </c>
      <c r="U194" s="81">
        <f t="shared" si="246"/>
        <v>0</v>
      </c>
      <c r="V194" s="81">
        <f t="shared" si="246"/>
        <v>52056</v>
      </c>
      <c r="W194" s="81">
        <f t="shared" si="246"/>
        <v>0</v>
      </c>
      <c r="X194" s="81">
        <f t="shared" si="246"/>
        <v>0</v>
      </c>
      <c r="Y194" s="81">
        <f t="shared" si="246"/>
        <v>0</v>
      </c>
      <c r="Z194" s="81">
        <f t="shared" si="246"/>
        <v>0</v>
      </c>
      <c r="AA194" s="81">
        <f t="shared" si="246"/>
        <v>52056</v>
      </c>
      <c r="AB194" s="81">
        <f t="shared" si="246"/>
        <v>17595</v>
      </c>
      <c r="AC194" s="81">
        <f t="shared" si="246"/>
        <v>1041</v>
      </c>
      <c r="AD194" s="81">
        <f t="shared" si="246"/>
        <v>0</v>
      </c>
      <c r="AE194" s="81">
        <f t="shared" si="246"/>
        <v>0</v>
      </c>
      <c r="AF194" s="81">
        <f t="shared" si="246"/>
        <v>0</v>
      </c>
      <c r="AG194" s="81">
        <f t="shared" si="246"/>
        <v>70692</v>
      </c>
      <c r="AH194" s="82">
        <f t="shared" si="246"/>
        <v>0</v>
      </c>
      <c r="AI194" s="82">
        <f t="shared" si="246"/>
        <v>0</v>
      </c>
      <c r="AJ194" s="82">
        <f t="shared" si="246"/>
        <v>0.12</v>
      </c>
      <c r="AK194" s="82">
        <f t="shared" ref="AK194:AL194" si="247">SUM(AK188:AK193)</f>
        <v>0</v>
      </c>
      <c r="AL194" s="82">
        <f t="shared" si="247"/>
        <v>0</v>
      </c>
      <c r="AM194" s="82">
        <f t="shared" si="246"/>
        <v>0</v>
      </c>
      <c r="AN194" s="82">
        <f t="shared" si="246"/>
        <v>0</v>
      </c>
      <c r="AO194" s="82">
        <f t="shared" si="246"/>
        <v>0.12</v>
      </c>
      <c r="AP194" s="82">
        <f t="shared" si="246"/>
        <v>0</v>
      </c>
      <c r="AQ194" s="83">
        <f t="shared" si="246"/>
        <v>0.12</v>
      </c>
      <c r="AR194" s="438">
        <f t="shared" si="246"/>
        <v>45085238</v>
      </c>
      <c r="AS194" s="81">
        <f t="shared" si="246"/>
        <v>32611828</v>
      </c>
      <c r="AT194" s="81">
        <f t="shared" si="246"/>
        <v>19500</v>
      </c>
      <c r="AU194" s="81">
        <f t="shared" si="246"/>
        <v>11029390</v>
      </c>
      <c r="AV194" s="81">
        <f t="shared" si="246"/>
        <v>652236</v>
      </c>
      <c r="AW194" s="81">
        <f t="shared" si="246"/>
        <v>772284</v>
      </c>
      <c r="AX194" s="82">
        <f t="shared" si="246"/>
        <v>61.646500000000003</v>
      </c>
      <c r="AY194" s="82">
        <f t="shared" si="246"/>
        <v>44.537100000000009</v>
      </c>
      <c r="AZ194" s="83">
        <f t="shared" si="246"/>
        <v>17.109400000000001</v>
      </c>
    </row>
    <row r="195" spans="1:52" ht="14.1" customHeight="1" x14ac:dyDescent="0.2">
      <c r="A195" s="72">
        <v>42</v>
      </c>
      <c r="B195" s="69">
        <v>2482</v>
      </c>
      <c r="C195" s="70">
        <v>600079945</v>
      </c>
      <c r="D195" s="69">
        <v>72741716</v>
      </c>
      <c r="E195" s="71" t="s">
        <v>653</v>
      </c>
      <c r="F195" s="72">
        <v>3113</v>
      </c>
      <c r="G195" s="71" t="s">
        <v>315</v>
      </c>
      <c r="H195" s="73" t="s">
        <v>278</v>
      </c>
      <c r="I195" s="494">
        <v>16302148</v>
      </c>
      <c r="J195" s="489">
        <v>11751306</v>
      </c>
      <c r="K195" s="489">
        <v>13000</v>
      </c>
      <c r="L195" s="489">
        <v>3976336</v>
      </c>
      <c r="M195" s="489">
        <v>235026</v>
      </c>
      <c r="N195" s="489">
        <v>326480</v>
      </c>
      <c r="O195" s="490">
        <v>20.63</v>
      </c>
      <c r="P195" s="490">
        <v>15.625500000000001</v>
      </c>
      <c r="Q195" s="500">
        <v>5.0045000000000002</v>
      </c>
      <c r="R195" s="502">
        <f t="shared" si="184"/>
        <v>0</v>
      </c>
      <c r="S195" s="492">
        <v>0</v>
      </c>
      <c r="T195" s="492">
        <v>0</v>
      </c>
      <c r="U195" s="492">
        <v>0</v>
      </c>
      <c r="V195" s="492">
        <f>SUM(R195:U195)</f>
        <v>0</v>
      </c>
      <c r="W195" s="492">
        <v>0</v>
      </c>
      <c r="X195" s="492">
        <v>0</v>
      </c>
      <c r="Y195" s="492">
        <v>0</v>
      </c>
      <c r="Z195" s="492">
        <f t="shared" si="187"/>
        <v>0</v>
      </c>
      <c r="AA195" s="492">
        <f t="shared" si="188"/>
        <v>0</v>
      </c>
      <c r="AB195" s="74">
        <f t="shared" si="189"/>
        <v>0</v>
      </c>
      <c r="AC195" s="74">
        <f t="shared" si="190"/>
        <v>0</v>
      </c>
      <c r="AD195" s="492">
        <v>0</v>
      </c>
      <c r="AE195" s="492">
        <v>0</v>
      </c>
      <c r="AF195" s="492">
        <f>SUM(AD195:AE195)</f>
        <v>0</v>
      </c>
      <c r="AG195" s="492">
        <f>AA195+AB195+AC195+AF195</f>
        <v>0</v>
      </c>
      <c r="AH195" s="493">
        <v>0</v>
      </c>
      <c r="AI195" s="493">
        <v>0</v>
      </c>
      <c r="AJ195" s="493">
        <v>0</v>
      </c>
      <c r="AK195" s="493">
        <v>0</v>
      </c>
      <c r="AL195" s="493">
        <v>0</v>
      </c>
      <c r="AM195" s="493">
        <v>0</v>
      </c>
      <c r="AN195" s="493">
        <v>0</v>
      </c>
      <c r="AO195" s="493">
        <f t="shared" si="185"/>
        <v>0</v>
      </c>
      <c r="AP195" s="493">
        <f t="shared" si="186"/>
        <v>0</v>
      </c>
      <c r="AQ195" s="495">
        <f t="shared" si="191"/>
        <v>0</v>
      </c>
      <c r="AR195" s="501">
        <f>I195+AG195</f>
        <v>16302148</v>
      </c>
      <c r="AS195" s="492">
        <f>J195+V195</f>
        <v>11751306</v>
      </c>
      <c r="AT195" s="492">
        <f t="shared" ref="AT195:AT199" si="248">K195+Z195</f>
        <v>13000</v>
      </c>
      <c r="AU195" s="492">
        <f t="shared" ref="AU195:AV199" si="249">L195+AB195</f>
        <v>3976336</v>
      </c>
      <c r="AV195" s="492">
        <f t="shared" si="249"/>
        <v>235026</v>
      </c>
      <c r="AW195" s="492">
        <f>N195+AF195</f>
        <v>326480</v>
      </c>
      <c r="AX195" s="493">
        <f>O195+AQ195</f>
        <v>20.63</v>
      </c>
      <c r="AY195" s="493">
        <f t="shared" ref="AY195:AZ199" si="250">P195+AO195</f>
        <v>15.625500000000001</v>
      </c>
      <c r="AZ195" s="495">
        <f t="shared" si="250"/>
        <v>5.0045000000000002</v>
      </c>
    </row>
    <row r="196" spans="1:52" ht="14.1" customHeight="1" x14ac:dyDescent="0.2">
      <c r="A196" s="72">
        <v>42</v>
      </c>
      <c r="B196" s="69">
        <v>2482</v>
      </c>
      <c r="C196" s="70">
        <v>600079945</v>
      </c>
      <c r="D196" s="69">
        <v>72741716</v>
      </c>
      <c r="E196" s="71" t="s">
        <v>653</v>
      </c>
      <c r="F196" s="72">
        <v>3113</v>
      </c>
      <c r="G196" s="84" t="s">
        <v>313</v>
      </c>
      <c r="H196" s="73" t="s">
        <v>279</v>
      </c>
      <c r="I196" s="494">
        <v>2421024</v>
      </c>
      <c r="J196" s="489">
        <v>1782786</v>
      </c>
      <c r="K196" s="489">
        <v>0</v>
      </c>
      <c r="L196" s="489">
        <v>602582</v>
      </c>
      <c r="M196" s="489">
        <v>35656</v>
      </c>
      <c r="N196" s="489">
        <v>0</v>
      </c>
      <c r="O196" s="490">
        <v>4.93</v>
      </c>
      <c r="P196" s="491">
        <v>4.93</v>
      </c>
      <c r="Q196" s="500">
        <v>0</v>
      </c>
      <c r="R196" s="502">
        <f t="shared" si="184"/>
        <v>0</v>
      </c>
      <c r="S196" s="492">
        <v>0</v>
      </c>
      <c r="T196" s="492">
        <v>0</v>
      </c>
      <c r="U196" s="492">
        <v>0</v>
      </c>
      <c r="V196" s="492">
        <f>SUM(R196:U196)</f>
        <v>0</v>
      </c>
      <c r="W196" s="492">
        <v>0</v>
      </c>
      <c r="X196" s="492">
        <v>0</v>
      </c>
      <c r="Y196" s="492">
        <v>0</v>
      </c>
      <c r="Z196" s="492">
        <f t="shared" si="187"/>
        <v>0</v>
      </c>
      <c r="AA196" s="492">
        <f t="shared" si="188"/>
        <v>0</v>
      </c>
      <c r="AB196" s="74">
        <f t="shared" si="189"/>
        <v>0</v>
      </c>
      <c r="AC196" s="74">
        <f t="shared" si="190"/>
        <v>0</v>
      </c>
      <c r="AD196" s="492">
        <v>0</v>
      </c>
      <c r="AE196" s="492">
        <v>0</v>
      </c>
      <c r="AF196" s="492">
        <f>SUM(AD196:AE196)</f>
        <v>0</v>
      </c>
      <c r="AG196" s="492">
        <f>AA196+AB196+AC196+AF196</f>
        <v>0</v>
      </c>
      <c r="AH196" s="493">
        <v>0</v>
      </c>
      <c r="AI196" s="493">
        <v>0</v>
      </c>
      <c r="AJ196" s="493">
        <v>0</v>
      </c>
      <c r="AK196" s="493">
        <v>0</v>
      </c>
      <c r="AL196" s="493">
        <v>0</v>
      </c>
      <c r="AM196" s="493">
        <v>0</v>
      </c>
      <c r="AN196" s="493">
        <v>0</v>
      </c>
      <c r="AO196" s="493">
        <f t="shared" si="185"/>
        <v>0</v>
      </c>
      <c r="AP196" s="493">
        <f t="shared" si="186"/>
        <v>0</v>
      </c>
      <c r="AQ196" s="495">
        <f t="shared" si="191"/>
        <v>0</v>
      </c>
      <c r="AR196" s="501">
        <f>I196+AG196</f>
        <v>2421024</v>
      </c>
      <c r="AS196" s="492">
        <f>J196+V196</f>
        <v>1782786</v>
      </c>
      <c r="AT196" s="492">
        <f t="shared" si="248"/>
        <v>0</v>
      </c>
      <c r="AU196" s="492">
        <f t="shared" si="249"/>
        <v>602582</v>
      </c>
      <c r="AV196" s="492">
        <f t="shared" si="249"/>
        <v>35656</v>
      </c>
      <c r="AW196" s="492">
        <f>N196+AF196</f>
        <v>0</v>
      </c>
      <c r="AX196" s="493">
        <f>O196+AQ196</f>
        <v>4.93</v>
      </c>
      <c r="AY196" s="493">
        <f t="shared" si="250"/>
        <v>4.93</v>
      </c>
      <c r="AZ196" s="495">
        <f t="shared" si="250"/>
        <v>0</v>
      </c>
    </row>
    <row r="197" spans="1:52" ht="13.5" customHeight="1" x14ac:dyDescent="0.2">
      <c r="A197" s="72">
        <v>42</v>
      </c>
      <c r="B197" s="69">
        <v>2482</v>
      </c>
      <c r="C197" s="70">
        <v>600079945</v>
      </c>
      <c r="D197" s="69">
        <v>72741716</v>
      </c>
      <c r="E197" s="71" t="s">
        <v>653</v>
      </c>
      <c r="F197" s="72">
        <v>3141</v>
      </c>
      <c r="G197" s="71" t="s">
        <v>316</v>
      </c>
      <c r="H197" s="73" t="s">
        <v>279</v>
      </c>
      <c r="I197" s="494">
        <v>1556458</v>
      </c>
      <c r="J197" s="489">
        <v>1134097</v>
      </c>
      <c r="K197" s="489">
        <v>3250</v>
      </c>
      <c r="L197" s="489">
        <v>384423</v>
      </c>
      <c r="M197" s="489">
        <v>22682</v>
      </c>
      <c r="N197" s="489">
        <v>12006</v>
      </c>
      <c r="O197" s="490">
        <v>3.58</v>
      </c>
      <c r="P197" s="491">
        <v>0</v>
      </c>
      <c r="Q197" s="500">
        <v>3.58</v>
      </c>
      <c r="R197" s="502">
        <f t="shared" si="184"/>
        <v>0</v>
      </c>
      <c r="S197" s="492">
        <v>0</v>
      </c>
      <c r="T197" s="492">
        <v>0</v>
      </c>
      <c r="U197" s="492">
        <v>0</v>
      </c>
      <c r="V197" s="492">
        <f>SUM(R197:U197)</f>
        <v>0</v>
      </c>
      <c r="W197" s="492">
        <v>0</v>
      </c>
      <c r="X197" s="492">
        <v>0</v>
      </c>
      <c r="Y197" s="492">
        <v>0</v>
      </c>
      <c r="Z197" s="492">
        <f t="shared" si="187"/>
        <v>0</v>
      </c>
      <c r="AA197" s="492">
        <f t="shared" si="188"/>
        <v>0</v>
      </c>
      <c r="AB197" s="74">
        <f t="shared" si="189"/>
        <v>0</v>
      </c>
      <c r="AC197" s="74">
        <f t="shared" si="190"/>
        <v>0</v>
      </c>
      <c r="AD197" s="492">
        <v>0</v>
      </c>
      <c r="AE197" s="492">
        <v>0</v>
      </c>
      <c r="AF197" s="492">
        <f>SUM(AD197:AE197)</f>
        <v>0</v>
      </c>
      <c r="AG197" s="492">
        <f>AA197+AB197+AC197+AF197</f>
        <v>0</v>
      </c>
      <c r="AH197" s="493">
        <v>0</v>
      </c>
      <c r="AI197" s="493">
        <v>0</v>
      </c>
      <c r="AJ197" s="493">
        <v>0</v>
      </c>
      <c r="AK197" s="493">
        <v>0</v>
      </c>
      <c r="AL197" s="493">
        <v>0</v>
      </c>
      <c r="AM197" s="493">
        <v>0</v>
      </c>
      <c r="AN197" s="493">
        <v>0</v>
      </c>
      <c r="AO197" s="493">
        <f t="shared" si="185"/>
        <v>0</v>
      </c>
      <c r="AP197" s="493">
        <f t="shared" si="186"/>
        <v>0</v>
      </c>
      <c r="AQ197" s="495">
        <f t="shared" si="191"/>
        <v>0</v>
      </c>
      <c r="AR197" s="501">
        <f>I197+AG197</f>
        <v>1556458</v>
      </c>
      <c r="AS197" s="492">
        <f>J197+V197</f>
        <v>1134097</v>
      </c>
      <c r="AT197" s="492">
        <f t="shared" si="248"/>
        <v>3250</v>
      </c>
      <c r="AU197" s="492">
        <f t="shared" si="249"/>
        <v>384423</v>
      </c>
      <c r="AV197" s="492">
        <f t="shared" si="249"/>
        <v>22682</v>
      </c>
      <c r="AW197" s="492">
        <f>N197+AF197</f>
        <v>12006</v>
      </c>
      <c r="AX197" s="493">
        <f>O197+AQ197</f>
        <v>3.58</v>
      </c>
      <c r="AY197" s="493">
        <f t="shared" si="250"/>
        <v>0</v>
      </c>
      <c r="AZ197" s="495">
        <f t="shared" si="250"/>
        <v>3.58</v>
      </c>
    </row>
    <row r="198" spans="1:52" ht="14.1" customHeight="1" x14ac:dyDescent="0.2">
      <c r="A198" s="72">
        <v>42</v>
      </c>
      <c r="B198" s="69">
        <v>2482</v>
      </c>
      <c r="C198" s="70">
        <v>600079945</v>
      </c>
      <c r="D198" s="69">
        <v>72741716</v>
      </c>
      <c r="E198" s="71" t="s">
        <v>653</v>
      </c>
      <c r="F198" s="72">
        <v>3143</v>
      </c>
      <c r="G198" s="84" t="s">
        <v>629</v>
      </c>
      <c r="H198" s="73" t="s">
        <v>278</v>
      </c>
      <c r="I198" s="494">
        <v>1571593</v>
      </c>
      <c r="J198" s="489">
        <v>1157285</v>
      </c>
      <c r="K198" s="489">
        <v>0</v>
      </c>
      <c r="L198" s="489">
        <v>391162</v>
      </c>
      <c r="M198" s="489">
        <v>23146</v>
      </c>
      <c r="N198" s="489">
        <v>0</v>
      </c>
      <c r="O198" s="490">
        <v>2.4822000000000002</v>
      </c>
      <c r="P198" s="490">
        <v>2.4822000000000002</v>
      </c>
      <c r="Q198" s="500">
        <v>0</v>
      </c>
      <c r="R198" s="502">
        <f t="shared" si="184"/>
        <v>0</v>
      </c>
      <c r="S198" s="492">
        <v>0</v>
      </c>
      <c r="T198" s="492">
        <v>0</v>
      </c>
      <c r="U198" s="492">
        <v>0</v>
      </c>
      <c r="V198" s="492">
        <f>SUM(R198:U198)</f>
        <v>0</v>
      </c>
      <c r="W198" s="492">
        <v>0</v>
      </c>
      <c r="X198" s="492">
        <v>0</v>
      </c>
      <c r="Y198" s="492">
        <v>0</v>
      </c>
      <c r="Z198" s="492">
        <f t="shared" si="187"/>
        <v>0</v>
      </c>
      <c r="AA198" s="492">
        <f t="shared" si="188"/>
        <v>0</v>
      </c>
      <c r="AB198" s="74">
        <f t="shared" si="189"/>
        <v>0</v>
      </c>
      <c r="AC198" s="74">
        <f t="shared" si="190"/>
        <v>0</v>
      </c>
      <c r="AD198" s="492">
        <v>0</v>
      </c>
      <c r="AE198" s="492">
        <v>0</v>
      </c>
      <c r="AF198" s="492">
        <f>SUM(AD198:AE198)</f>
        <v>0</v>
      </c>
      <c r="AG198" s="492">
        <f>AA198+AB198+AC198+AF198</f>
        <v>0</v>
      </c>
      <c r="AH198" s="493">
        <v>0</v>
      </c>
      <c r="AI198" s="493">
        <v>0</v>
      </c>
      <c r="AJ198" s="493">
        <v>0</v>
      </c>
      <c r="AK198" s="493">
        <v>0</v>
      </c>
      <c r="AL198" s="493">
        <v>0</v>
      </c>
      <c r="AM198" s="493">
        <v>0</v>
      </c>
      <c r="AN198" s="493">
        <v>0</v>
      </c>
      <c r="AO198" s="493">
        <f t="shared" si="185"/>
        <v>0</v>
      </c>
      <c r="AP198" s="493">
        <f t="shared" si="186"/>
        <v>0</v>
      </c>
      <c r="AQ198" s="495">
        <f t="shared" si="191"/>
        <v>0</v>
      </c>
      <c r="AR198" s="501">
        <f>I198+AG198</f>
        <v>1571593</v>
      </c>
      <c r="AS198" s="492">
        <f>J198+V198</f>
        <v>1157285</v>
      </c>
      <c r="AT198" s="492">
        <f t="shared" si="248"/>
        <v>0</v>
      </c>
      <c r="AU198" s="492">
        <f t="shared" si="249"/>
        <v>391162</v>
      </c>
      <c r="AV198" s="492">
        <f t="shared" si="249"/>
        <v>23146</v>
      </c>
      <c r="AW198" s="492">
        <f>N198+AF198</f>
        <v>0</v>
      </c>
      <c r="AX198" s="493">
        <f>O198+AQ198</f>
        <v>2.4822000000000002</v>
      </c>
      <c r="AY198" s="493">
        <f t="shared" si="250"/>
        <v>2.4822000000000002</v>
      </c>
      <c r="AZ198" s="495">
        <f t="shared" si="250"/>
        <v>0</v>
      </c>
    </row>
    <row r="199" spans="1:52" ht="14.1" customHeight="1" x14ac:dyDescent="0.2">
      <c r="A199" s="72">
        <v>42</v>
      </c>
      <c r="B199" s="69">
        <v>2482</v>
      </c>
      <c r="C199" s="70">
        <v>600079945</v>
      </c>
      <c r="D199" s="69">
        <v>72741716</v>
      </c>
      <c r="E199" s="71" t="s">
        <v>653</v>
      </c>
      <c r="F199" s="72">
        <v>3143</v>
      </c>
      <c r="G199" s="84" t="s">
        <v>630</v>
      </c>
      <c r="H199" s="73" t="s">
        <v>279</v>
      </c>
      <c r="I199" s="494">
        <v>45361</v>
      </c>
      <c r="J199" s="489">
        <v>32077</v>
      </c>
      <c r="K199" s="489">
        <v>0</v>
      </c>
      <c r="L199" s="489">
        <v>10842</v>
      </c>
      <c r="M199" s="489">
        <v>642</v>
      </c>
      <c r="N199" s="489">
        <v>1800</v>
      </c>
      <c r="O199" s="490">
        <v>0.13</v>
      </c>
      <c r="P199" s="491">
        <v>0</v>
      </c>
      <c r="Q199" s="500">
        <v>0.13</v>
      </c>
      <c r="R199" s="502">
        <f t="shared" si="184"/>
        <v>0</v>
      </c>
      <c r="S199" s="492">
        <v>0</v>
      </c>
      <c r="T199" s="492">
        <v>0</v>
      </c>
      <c r="U199" s="492">
        <v>0</v>
      </c>
      <c r="V199" s="492">
        <f>SUM(R199:U199)</f>
        <v>0</v>
      </c>
      <c r="W199" s="492">
        <v>0</v>
      </c>
      <c r="X199" s="492">
        <v>0</v>
      </c>
      <c r="Y199" s="492">
        <v>0</v>
      </c>
      <c r="Z199" s="492">
        <f t="shared" si="187"/>
        <v>0</v>
      </c>
      <c r="AA199" s="492">
        <f t="shared" si="188"/>
        <v>0</v>
      </c>
      <c r="AB199" s="74">
        <f t="shared" si="189"/>
        <v>0</v>
      </c>
      <c r="AC199" s="74">
        <f t="shared" si="190"/>
        <v>0</v>
      </c>
      <c r="AD199" s="492">
        <v>0</v>
      </c>
      <c r="AE199" s="492">
        <v>0</v>
      </c>
      <c r="AF199" s="492">
        <f>SUM(AD199:AE199)</f>
        <v>0</v>
      </c>
      <c r="AG199" s="492">
        <f>AA199+AB199+AC199+AF199</f>
        <v>0</v>
      </c>
      <c r="AH199" s="493">
        <v>0</v>
      </c>
      <c r="AI199" s="493">
        <v>0</v>
      </c>
      <c r="AJ199" s="493">
        <v>0</v>
      </c>
      <c r="AK199" s="493">
        <v>0</v>
      </c>
      <c r="AL199" s="493">
        <v>0</v>
      </c>
      <c r="AM199" s="493">
        <v>0</v>
      </c>
      <c r="AN199" s="493">
        <v>0</v>
      </c>
      <c r="AO199" s="493">
        <f t="shared" si="185"/>
        <v>0</v>
      </c>
      <c r="AP199" s="493">
        <f t="shared" si="186"/>
        <v>0</v>
      </c>
      <c r="AQ199" s="495">
        <f t="shared" si="191"/>
        <v>0</v>
      </c>
      <c r="AR199" s="501">
        <f>I199+AG199</f>
        <v>45361</v>
      </c>
      <c r="AS199" s="492">
        <f>J199+V199</f>
        <v>32077</v>
      </c>
      <c r="AT199" s="492">
        <f t="shared" si="248"/>
        <v>0</v>
      </c>
      <c r="AU199" s="492">
        <f t="shared" si="249"/>
        <v>10842</v>
      </c>
      <c r="AV199" s="492">
        <f t="shared" si="249"/>
        <v>642</v>
      </c>
      <c r="AW199" s="492">
        <f>N199+AF199</f>
        <v>1800</v>
      </c>
      <c r="AX199" s="493">
        <f>O199+AQ199</f>
        <v>0.13</v>
      </c>
      <c r="AY199" s="493">
        <f t="shared" si="250"/>
        <v>0</v>
      </c>
      <c r="AZ199" s="495">
        <f t="shared" si="250"/>
        <v>0.13</v>
      </c>
    </row>
    <row r="200" spans="1:52" ht="14.1" customHeight="1" x14ac:dyDescent="0.2">
      <c r="A200" s="78">
        <v>42</v>
      </c>
      <c r="B200" s="75">
        <v>2482</v>
      </c>
      <c r="C200" s="76">
        <v>600079945</v>
      </c>
      <c r="D200" s="75">
        <v>72741716</v>
      </c>
      <c r="E200" s="77" t="s">
        <v>654</v>
      </c>
      <c r="F200" s="78"/>
      <c r="G200" s="77"/>
      <c r="H200" s="79"/>
      <c r="I200" s="80">
        <v>21896584</v>
      </c>
      <c r="J200" s="81">
        <v>15857551</v>
      </c>
      <c r="K200" s="81">
        <v>16250</v>
      </c>
      <c r="L200" s="81">
        <v>5365345</v>
      </c>
      <c r="M200" s="81">
        <v>317152</v>
      </c>
      <c r="N200" s="81">
        <v>340286</v>
      </c>
      <c r="O200" s="82">
        <v>31.752199999999998</v>
      </c>
      <c r="P200" s="82">
        <v>23.037700000000001</v>
      </c>
      <c r="Q200" s="452">
        <v>8.714500000000001</v>
      </c>
      <c r="R200" s="80">
        <f t="shared" ref="R200:AZ200" si="251">SUM(R195:R199)</f>
        <v>0</v>
      </c>
      <c r="S200" s="81">
        <f t="shared" si="251"/>
        <v>0</v>
      </c>
      <c r="T200" s="81">
        <f t="shared" si="251"/>
        <v>0</v>
      </c>
      <c r="U200" s="81">
        <f t="shared" si="251"/>
        <v>0</v>
      </c>
      <c r="V200" s="81">
        <f t="shared" si="251"/>
        <v>0</v>
      </c>
      <c r="W200" s="81">
        <f t="shared" si="251"/>
        <v>0</v>
      </c>
      <c r="X200" s="81">
        <f t="shared" si="251"/>
        <v>0</v>
      </c>
      <c r="Y200" s="81">
        <f t="shared" si="251"/>
        <v>0</v>
      </c>
      <c r="Z200" s="81">
        <f t="shared" si="251"/>
        <v>0</v>
      </c>
      <c r="AA200" s="81">
        <f t="shared" si="251"/>
        <v>0</v>
      </c>
      <c r="AB200" s="81">
        <f t="shared" si="251"/>
        <v>0</v>
      </c>
      <c r="AC200" s="81">
        <f t="shared" si="251"/>
        <v>0</v>
      </c>
      <c r="AD200" s="81">
        <f t="shared" si="251"/>
        <v>0</v>
      </c>
      <c r="AE200" s="81">
        <f t="shared" si="251"/>
        <v>0</v>
      </c>
      <c r="AF200" s="81">
        <f t="shared" si="251"/>
        <v>0</v>
      </c>
      <c r="AG200" s="81">
        <f t="shared" si="251"/>
        <v>0</v>
      </c>
      <c r="AH200" s="82">
        <f t="shared" si="251"/>
        <v>0</v>
      </c>
      <c r="AI200" s="82">
        <f t="shared" si="251"/>
        <v>0</v>
      </c>
      <c r="AJ200" s="82">
        <f t="shared" si="251"/>
        <v>0</v>
      </c>
      <c r="AK200" s="82">
        <f t="shared" ref="AK200:AL200" si="252">SUM(AK195:AK199)</f>
        <v>0</v>
      </c>
      <c r="AL200" s="82">
        <f t="shared" si="252"/>
        <v>0</v>
      </c>
      <c r="AM200" s="82">
        <f t="shared" si="251"/>
        <v>0</v>
      </c>
      <c r="AN200" s="82">
        <f t="shared" si="251"/>
        <v>0</v>
      </c>
      <c r="AO200" s="82">
        <f t="shared" si="251"/>
        <v>0</v>
      </c>
      <c r="AP200" s="82">
        <f t="shared" si="251"/>
        <v>0</v>
      </c>
      <c r="AQ200" s="83">
        <f t="shared" si="251"/>
        <v>0</v>
      </c>
      <c r="AR200" s="438">
        <f t="shared" si="251"/>
        <v>21896584</v>
      </c>
      <c r="AS200" s="81">
        <f t="shared" si="251"/>
        <v>15857551</v>
      </c>
      <c r="AT200" s="81">
        <f t="shared" si="251"/>
        <v>16250</v>
      </c>
      <c r="AU200" s="81">
        <f t="shared" si="251"/>
        <v>5365345</v>
      </c>
      <c r="AV200" s="81">
        <f t="shared" si="251"/>
        <v>317152</v>
      </c>
      <c r="AW200" s="81">
        <f t="shared" si="251"/>
        <v>340286</v>
      </c>
      <c r="AX200" s="82">
        <f t="shared" si="251"/>
        <v>31.752199999999998</v>
      </c>
      <c r="AY200" s="82">
        <f t="shared" si="251"/>
        <v>23.037700000000001</v>
      </c>
      <c r="AZ200" s="83">
        <f t="shared" si="251"/>
        <v>8.714500000000001</v>
      </c>
    </row>
    <row r="201" spans="1:52" ht="14.1" customHeight="1" x14ac:dyDescent="0.2">
      <c r="A201" s="72">
        <v>43</v>
      </c>
      <c r="B201" s="69">
        <v>2328</v>
      </c>
      <c r="C201" s="70">
        <v>691006041</v>
      </c>
      <c r="D201" s="69">
        <v>71294988</v>
      </c>
      <c r="E201" s="71" t="s">
        <v>655</v>
      </c>
      <c r="F201" s="72">
        <v>3113</v>
      </c>
      <c r="G201" s="71" t="s">
        <v>315</v>
      </c>
      <c r="H201" s="73" t="s">
        <v>278</v>
      </c>
      <c r="I201" s="494">
        <v>26695403</v>
      </c>
      <c r="J201" s="489">
        <v>19007949</v>
      </c>
      <c r="K201" s="489">
        <v>178750</v>
      </c>
      <c r="L201" s="489">
        <v>6485105</v>
      </c>
      <c r="M201" s="489">
        <v>380159</v>
      </c>
      <c r="N201" s="489">
        <v>643440</v>
      </c>
      <c r="O201" s="490">
        <v>32.918300000000002</v>
      </c>
      <c r="P201" s="490">
        <v>25.636500000000002</v>
      </c>
      <c r="Q201" s="500">
        <v>7.2818000000000005</v>
      </c>
      <c r="R201" s="502">
        <f t="shared" si="184"/>
        <v>0</v>
      </c>
      <c r="S201" s="492">
        <v>0</v>
      </c>
      <c r="T201" s="492">
        <v>0</v>
      </c>
      <c r="U201" s="492">
        <v>0</v>
      </c>
      <c r="V201" s="492">
        <f>SUM(R201:U201)</f>
        <v>0</v>
      </c>
      <c r="W201" s="492">
        <v>0</v>
      </c>
      <c r="X201" s="492">
        <v>0</v>
      </c>
      <c r="Y201" s="492">
        <v>0</v>
      </c>
      <c r="Z201" s="492">
        <f t="shared" si="187"/>
        <v>0</v>
      </c>
      <c r="AA201" s="492">
        <f t="shared" si="188"/>
        <v>0</v>
      </c>
      <c r="AB201" s="74">
        <f t="shared" si="189"/>
        <v>0</v>
      </c>
      <c r="AC201" s="74">
        <f t="shared" si="190"/>
        <v>0</v>
      </c>
      <c r="AD201" s="492">
        <v>0</v>
      </c>
      <c r="AE201" s="492">
        <v>0</v>
      </c>
      <c r="AF201" s="492">
        <f>SUM(AD201:AE201)</f>
        <v>0</v>
      </c>
      <c r="AG201" s="492">
        <f>AA201+AB201+AC201+AF201</f>
        <v>0</v>
      </c>
      <c r="AH201" s="493">
        <v>0</v>
      </c>
      <c r="AI201" s="493">
        <v>0</v>
      </c>
      <c r="AJ201" s="493">
        <v>0</v>
      </c>
      <c r="AK201" s="493">
        <v>0</v>
      </c>
      <c r="AL201" s="493">
        <v>0</v>
      </c>
      <c r="AM201" s="493">
        <v>0</v>
      </c>
      <c r="AN201" s="493">
        <v>0</v>
      </c>
      <c r="AO201" s="493">
        <f t="shared" si="185"/>
        <v>0</v>
      </c>
      <c r="AP201" s="493">
        <f t="shared" si="186"/>
        <v>0</v>
      </c>
      <c r="AQ201" s="495">
        <f t="shared" si="191"/>
        <v>0</v>
      </c>
      <c r="AR201" s="501">
        <f>I201+AG201</f>
        <v>26695403</v>
      </c>
      <c r="AS201" s="492">
        <f>J201+V201</f>
        <v>19007949</v>
      </c>
      <c r="AT201" s="492">
        <f t="shared" ref="AT201:AT205" si="253">K201+Z201</f>
        <v>178750</v>
      </c>
      <c r="AU201" s="492">
        <f t="shared" ref="AU201:AV205" si="254">L201+AB201</f>
        <v>6485105</v>
      </c>
      <c r="AV201" s="492">
        <f t="shared" si="254"/>
        <v>380159</v>
      </c>
      <c r="AW201" s="492">
        <f>N201+AF201</f>
        <v>643440</v>
      </c>
      <c r="AX201" s="493">
        <f>O201+AQ201</f>
        <v>32.918300000000002</v>
      </c>
      <c r="AY201" s="493">
        <f t="shared" ref="AY201:AZ205" si="255">P201+AO201</f>
        <v>25.636500000000002</v>
      </c>
      <c r="AZ201" s="495">
        <f t="shared" si="255"/>
        <v>7.2818000000000005</v>
      </c>
    </row>
    <row r="202" spans="1:52" ht="14.1" customHeight="1" x14ac:dyDescent="0.2">
      <c r="A202" s="72">
        <v>43</v>
      </c>
      <c r="B202" s="69">
        <v>2328</v>
      </c>
      <c r="C202" s="70">
        <v>691006041</v>
      </c>
      <c r="D202" s="69">
        <v>71294988</v>
      </c>
      <c r="E202" s="71" t="s">
        <v>655</v>
      </c>
      <c r="F202" s="72">
        <v>3113</v>
      </c>
      <c r="G202" s="84" t="s">
        <v>313</v>
      </c>
      <c r="H202" s="73" t="s">
        <v>279</v>
      </c>
      <c r="I202" s="494">
        <v>1956256</v>
      </c>
      <c r="J202" s="489">
        <v>1440542</v>
      </c>
      <c r="K202" s="489">
        <v>0</v>
      </c>
      <c r="L202" s="489">
        <v>486903</v>
      </c>
      <c r="M202" s="489">
        <v>28811</v>
      </c>
      <c r="N202" s="489">
        <v>0</v>
      </c>
      <c r="O202" s="490">
        <v>4.33</v>
      </c>
      <c r="P202" s="491">
        <v>4.33</v>
      </c>
      <c r="Q202" s="500">
        <v>0</v>
      </c>
      <c r="R202" s="502">
        <f t="shared" si="184"/>
        <v>0</v>
      </c>
      <c r="S202" s="489">
        <v>17352</v>
      </c>
      <c r="T202" s="492">
        <v>0</v>
      </c>
      <c r="U202" s="492">
        <v>0</v>
      </c>
      <c r="V202" s="492">
        <f>SUM(R202:U202)</f>
        <v>17352</v>
      </c>
      <c r="W202" s="492">
        <v>0</v>
      </c>
      <c r="X202" s="492">
        <v>0</v>
      </c>
      <c r="Y202" s="492">
        <v>0</v>
      </c>
      <c r="Z202" s="492">
        <f t="shared" si="187"/>
        <v>0</v>
      </c>
      <c r="AA202" s="492">
        <f t="shared" si="188"/>
        <v>17352</v>
      </c>
      <c r="AB202" s="74">
        <f t="shared" si="189"/>
        <v>5865</v>
      </c>
      <c r="AC202" s="74">
        <f t="shared" si="190"/>
        <v>347</v>
      </c>
      <c r="AD202" s="492">
        <v>0</v>
      </c>
      <c r="AE202" s="492">
        <v>0</v>
      </c>
      <c r="AF202" s="492">
        <f>SUM(AD202:AE202)</f>
        <v>0</v>
      </c>
      <c r="AG202" s="492">
        <f>AA202+AB202+AC202+AF202</f>
        <v>23564</v>
      </c>
      <c r="AH202" s="493">
        <v>0</v>
      </c>
      <c r="AI202" s="493">
        <v>0</v>
      </c>
      <c r="AJ202" s="493">
        <v>0.04</v>
      </c>
      <c r="AK202" s="493">
        <v>0</v>
      </c>
      <c r="AL202" s="493">
        <v>0</v>
      </c>
      <c r="AM202" s="493">
        <v>0</v>
      </c>
      <c r="AN202" s="493">
        <v>0</v>
      </c>
      <c r="AO202" s="493">
        <f t="shared" si="185"/>
        <v>0.04</v>
      </c>
      <c r="AP202" s="493">
        <f t="shared" si="186"/>
        <v>0</v>
      </c>
      <c r="AQ202" s="495">
        <f t="shared" si="191"/>
        <v>0.04</v>
      </c>
      <c r="AR202" s="501">
        <f>I202+AG202</f>
        <v>1979820</v>
      </c>
      <c r="AS202" s="492">
        <f>J202+V202</f>
        <v>1457894</v>
      </c>
      <c r="AT202" s="492">
        <f t="shared" si="253"/>
        <v>0</v>
      </c>
      <c r="AU202" s="492">
        <f t="shared" si="254"/>
        <v>492768</v>
      </c>
      <c r="AV202" s="492">
        <f t="shared" si="254"/>
        <v>29158</v>
      </c>
      <c r="AW202" s="492">
        <f>N202+AF202</f>
        <v>0</v>
      </c>
      <c r="AX202" s="493">
        <f>O202+AQ202</f>
        <v>4.37</v>
      </c>
      <c r="AY202" s="493">
        <f t="shared" si="255"/>
        <v>4.37</v>
      </c>
      <c r="AZ202" s="495">
        <f t="shared" si="255"/>
        <v>0</v>
      </c>
    </row>
    <row r="203" spans="1:52" ht="13.5" customHeight="1" x14ac:dyDescent="0.2">
      <c r="A203" s="72">
        <v>43</v>
      </c>
      <c r="B203" s="69">
        <v>2328</v>
      </c>
      <c r="C203" s="70">
        <v>691006041</v>
      </c>
      <c r="D203" s="69">
        <v>71294988</v>
      </c>
      <c r="E203" s="71" t="s">
        <v>655</v>
      </c>
      <c r="F203" s="72">
        <v>3141</v>
      </c>
      <c r="G203" s="71" t="s">
        <v>316</v>
      </c>
      <c r="H203" s="73" t="s">
        <v>279</v>
      </c>
      <c r="I203" s="494">
        <v>2664305</v>
      </c>
      <c r="J203" s="489">
        <v>1944593</v>
      </c>
      <c r="K203" s="489">
        <v>0</v>
      </c>
      <c r="L203" s="489">
        <v>657272</v>
      </c>
      <c r="M203" s="489">
        <v>38892</v>
      </c>
      <c r="N203" s="489">
        <v>23548</v>
      </c>
      <c r="O203" s="490">
        <v>6.12</v>
      </c>
      <c r="P203" s="491">
        <v>0</v>
      </c>
      <c r="Q203" s="500">
        <v>6.12</v>
      </c>
      <c r="R203" s="502">
        <f t="shared" si="184"/>
        <v>0</v>
      </c>
      <c r="S203" s="492">
        <v>0</v>
      </c>
      <c r="T203" s="492">
        <v>0</v>
      </c>
      <c r="U203" s="492">
        <v>0</v>
      </c>
      <c r="V203" s="492">
        <f>SUM(R203:U203)</f>
        <v>0</v>
      </c>
      <c r="W203" s="492">
        <v>0</v>
      </c>
      <c r="X203" s="492">
        <v>0</v>
      </c>
      <c r="Y203" s="492">
        <v>0</v>
      </c>
      <c r="Z203" s="492">
        <f t="shared" si="187"/>
        <v>0</v>
      </c>
      <c r="AA203" s="492">
        <f t="shared" si="188"/>
        <v>0</v>
      </c>
      <c r="AB203" s="74">
        <f t="shared" si="189"/>
        <v>0</v>
      </c>
      <c r="AC203" s="74">
        <f t="shared" si="190"/>
        <v>0</v>
      </c>
      <c r="AD203" s="492">
        <v>0</v>
      </c>
      <c r="AE203" s="492">
        <v>0</v>
      </c>
      <c r="AF203" s="492">
        <f>SUM(AD203:AE203)</f>
        <v>0</v>
      </c>
      <c r="AG203" s="492">
        <f>AA203+AB203+AC203+AF203</f>
        <v>0</v>
      </c>
      <c r="AH203" s="493">
        <v>0</v>
      </c>
      <c r="AI203" s="493">
        <v>0</v>
      </c>
      <c r="AJ203" s="493">
        <v>0</v>
      </c>
      <c r="AK203" s="493">
        <v>0</v>
      </c>
      <c r="AL203" s="493">
        <v>0</v>
      </c>
      <c r="AM203" s="493">
        <v>0</v>
      </c>
      <c r="AN203" s="493">
        <v>0</v>
      </c>
      <c r="AO203" s="493">
        <f t="shared" si="185"/>
        <v>0</v>
      </c>
      <c r="AP203" s="493">
        <f t="shared" si="186"/>
        <v>0</v>
      </c>
      <c r="AQ203" s="495">
        <f t="shared" si="191"/>
        <v>0</v>
      </c>
      <c r="AR203" s="501">
        <f>I203+AG203</f>
        <v>2664305</v>
      </c>
      <c r="AS203" s="492">
        <f>J203+V203</f>
        <v>1944593</v>
      </c>
      <c r="AT203" s="492">
        <f t="shared" si="253"/>
        <v>0</v>
      </c>
      <c r="AU203" s="492">
        <f t="shared" si="254"/>
        <v>657272</v>
      </c>
      <c r="AV203" s="492">
        <f t="shared" si="254"/>
        <v>38892</v>
      </c>
      <c r="AW203" s="492">
        <f>N203+AF203</f>
        <v>23548</v>
      </c>
      <c r="AX203" s="493">
        <f>O203+AQ203</f>
        <v>6.12</v>
      </c>
      <c r="AY203" s="493">
        <f t="shared" si="255"/>
        <v>0</v>
      </c>
      <c r="AZ203" s="495">
        <f t="shared" si="255"/>
        <v>6.12</v>
      </c>
    </row>
    <row r="204" spans="1:52" ht="14.1" customHeight="1" x14ac:dyDescent="0.2">
      <c r="A204" s="72">
        <v>43</v>
      </c>
      <c r="B204" s="69">
        <v>2328</v>
      </c>
      <c r="C204" s="70">
        <v>691006041</v>
      </c>
      <c r="D204" s="69">
        <v>71294988</v>
      </c>
      <c r="E204" s="71" t="s">
        <v>655</v>
      </c>
      <c r="F204" s="72">
        <v>3143</v>
      </c>
      <c r="G204" s="84" t="s">
        <v>629</v>
      </c>
      <c r="H204" s="73" t="s">
        <v>278</v>
      </c>
      <c r="I204" s="494">
        <v>3575326</v>
      </c>
      <c r="J204" s="489">
        <v>2632788</v>
      </c>
      <c r="K204" s="489">
        <v>0</v>
      </c>
      <c r="L204" s="489">
        <v>889882</v>
      </c>
      <c r="M204" s="489">
        <v>52656</v>
      </c>
      <c r="N204" s="489">
        <v>0</v>
      </c>
      <c r="O204" s="490">
        <v>5.7</v>
      </c>
      <c r="P204" s="490">
        <v>5.7</v>
      </c>
      <c r="Q204" s="500">
        <v>0</v>
      </c>
      <c r="R204" s="502">
        <f t="shared" si="184"/>
        <v>0</v>
      </c>
      <c r="S204" s="492">
        <v>0</v>
      </c>
      <c r="T204" s="492">
        <v>0</v>
      </c>
      <c r="U204" s="492">
        <v>0</v>
      </c>
      <c r="V204" s="492">
        <f>SUM(R204:U204)</f>
        <v>0</v>
      </c>
      <c r="W204" s="492">
        <v>0</v>
      </c>
      <c r="X204" s="492">
        <v>0</v>
      </c>
      <c r="Y204" s="492">
        <v>0</v>
      </c>
      <c r="Z204" s="492">
        <f t="shared" si="187"/>
        <v>0</v>
      </c>
      <c r="AA204" s="492">
        <f t="shared" si="188"/>
        <v>0</v>
      </c>
      <c r="AB204" s="74">
        <f t="shared" si="189"/>
        <v>0</v>
      </c>
      <c r="AC204" s="74">
        <f t="shared" si="190"/>
        <v>0</v>
      </c>
      <c r="AD204" s="492">
        <v>0</v>
      </c>
      <c r="AE204" s="492">
        <v>0</v>
      </c>
      <c r="AF204" s="492">
        <f>SUM(AD204:AE204)</f>
        <v>0</v>
      </c>
      <c r="AG204" s="492">
        <f>AA204+AB204+AC204+AF204</f>
        <v>0</v>
      </c>
      <c r="AH204" s="493">
        <v>0</v>
      </c>
      <c r="AI204" s="493">
        <v>0</v>
      </c>
      <c r="AJ204" s="493">
        <v>0</v>
      </c>
      <c r="AK204" s="493">
        <v>0</v>
      </c>
      <c r="AL204" s="493">
        <v>0</v>
      </c>
      <c r="AM204" s="493">
        <v>0</v>
      </c>
      <c r="AN204" s="493">
        <v>0</v>
      </c>
      <c r="AO204" s="493">
        <f t="shared" si="185"/>
        <v>0</v>
      </c>
      <c r="AP204" s="493">
        <f t="shared" si="186"/>
        <v>0</v>
      </c>
      <c r="AQ204" s="495">
        <f t="shared" si="191"/>
        <v>0</v>
      </c>
      <c r="AR204" s="501">
        <f>I204+AG204</f>
        <v>3575326</v>
      </c>
      <c r="AS204" s="492">
        <f>J204+V204</f>
        <v>2632788</v>
      </c>
      <c r="AT204" s="492">
        <f t="shared" si="253"/>
        <v>0</v>
      </c>
      <c r="AU204" s="492">
        <f t="shared" si="254"/>
        <v>889882</v>
      </c>
      <c r="AV204" s="492">
        <f t="shared" si="254"/>
        <v>52656</v>
      </c>
      <c r="AW204" s="492">
        <f>N204+AF204</f>
        <v>0</v>
      </c>
      <c r="AX204" s="493">
        <f>O204+AQ204</f>
        <v>5.7</v>
      </c>
      <c r="AY204" s="493">
        <f t="shared" si="255"/>
        <v>5.7</v>
      </c>
      <c r="AZ204" s="495">
        <f t="shared" si="255"/>
        <v>0</v>
      </c>
    </row>
    <row r="205" spans="1:52" ht="14.1" customHeight="1" x14ac:dyDescent="0.2">
      <c r="A205" s="72">
        <v>43</v>
      </c>
      <c r="B205" s="69">
        <v>2328</v>
      </c>
      <c r="C205" s="70">
        <v>691006041</v>
      </c>
      <c r="D205" s="69">
        <v>71294988</v>
      </c>
      <c r="E205" s="71" t="s">
        <v>655</v>
      </c>
      <c r="F205" s="72">
        <v>3143</v>
      </c>
      <c r="G205" s="84" t="s">
        <v>630</v>
      </c>
      <c r="H205" s="73" t="s">
        <v>279</v>
      </c>
      <c r="I205" s="494">
        <v>96012</v>
      </c>
      <c r="J205" s="489">
        <v>67895</v>
      </c>
      <c r="K205" s="489">
        <v>0</v>
      </c>
      <c r="L205" s="489">
        <v>22949</v>
      </c>
      <c r="M205" s="489">
        <v>1358</v>
      </c>
      <c r="N205" s="489">
        <v>3810</v>
      </c>
      <c r="O205" s="490">
        <v>0.26</v>
      </c>
      <c r="P205" s="491">
        <v>0</v>
      </c>
      <c r="Q205" s="500">
        <v>0.26</v>
      </c>
      <c r="R205" s="502">
        <f t="shared" ref="R205:R268" si="256">W205*-1</f>
        <v>0</v>
      </c>
      <c r="S205" s="492">
        <v>0</v>
      </c>
      <c r="T205" s="492">
        <v>0</v>
      </c>
      <c r="U205" s="492">
        <v>0</v>
      </c>
      <c r="V205" s="492">
        <f>SUM(R205:U205)</f>
        <v>0</v>
      </c>
      <c r="W205" s="492">
        <v>0</v>
      </c>
      <c r="X205" s="492">
        <v>0</v>
      </c>
      <c r="Y205" s="492">
        <v>0</v>
      </c>
      <c r="Z205" s="492">
        <f t="shared" si="187"/>
        <v>0</v>
      </c>
      <c r="AA205" s="492">
        <f t="shared" si="188"/>
        <v>0</v>
      </c>
      <c r="AB205" s="74">
        <f t="shared" si="189"/>
        <v>0</v>
      </c>
      <c r="AC205" s="74">
        <f t="shared" si="190"/>
        <v>0</v>
      </c>
      <c r="AD205" s="492">
        <v>0</v>
      </c>
      <c r="AE205" s="492">
        <v>0</v>
      </c>
      <c r="AF205" s="492">
        <f>SUM(AD205:AE205)</f>
        <v>0</v>
      </c>
      <c r="AG205" s="492">
        <f>AA205+AB205+AC205+AF205</f>
        <v>0</v>
      </c>
      <c r="AH205" s="493">
        <v>0</v>
      </c>
      <c r="AI205" s="493">
        <v>0</v>
      </c>
      <c r="AJ205" s="493">
        <v>0</v>
      </c>
      <c r="AK205" s="493">
        <v>0</v>
      </c>
      <c r="AL205" s="493">
        <v>0</v>
      </c>
      <c r="AM205" s="493">
        <v>0</v>
      </c>
      <c r="AN205" s="493">
        <v>0</v>
      </c>
      <c r="AO205" s="493">
        <f t="shared" ref="AO205:AO268" si="257">AH205+AJ205+AK205+AM205</f>
        <v>0</v>
      </c>
      <c r="AP205" s="493">
        <f t="shared" ref="AP205:AP268" si="258">AI205+AL205+AN205</f>
        <v>0</v>
      </c>
      <c r="AQ205" s="495">
        <f t="shared" si="191"/>
        <v>0</v>
      </c>
      <c r="AR205" s="501">
        <f>I205+AG205</f>
        <v>96012</v>
      </c>
      <c r="AS205" s="492">
        <f>J205+V205</f>
        <v>67895</v>
      </c>
      <c r="AT205" s="492">
        <f t="shared" si="253"/>
        <v>0</v>
      </c>
      <c r="AU205" s="492">
        <f t="shared" si="254"/>
        <v>22949</v>
      </c>
      <c r="AV205" s="492">
        <f t="shared" si="254"/>
        <v>1358</v>
      </c>
      <c r="AW205" s="492">
        <f>N205+AF205</f>
        <v>3810</v>
      </c>
      <c r="AX205" s="493">
        <f>O205+AQ205</f>
        <v>0.26</v>
      </c>
      <c r="AY205" s="493">
        <f t="shared" si="255"/>
        <v>0</v>
      </c>
      <c r="AZ205" s="495">
        <f t="shared" si="255"/>
        <v>0.26</v>
      </c>
    </row>
    <row r="206" spans="1:52" ht="14.1" customHeight="1" x14ac:dyDescent="0.2">
      <c r="A206" s="78">
        <v>43</v>
      </c>
      <c r="B206" s="75">
        <v>2328</v>
      </c>
      <c r="C206" s="76">
        <v>691006041</v>
      </c>
      <c r="D206" s="75">
        <v>71294988</v>
      </c>
      <c r="E206" s="77" t="s">
        <v>656</v>
      </c>
      <c r="F206" s="78"/>
      <c r="G206" s="77"/>
      <c r="H206" s="79"/>
      <c r="I206" s="80">
        <v>34987302</v>
      </c>
      <c r="J206" s="81">
        <v>25093767</v>
      </c>
      <c r="K206" s="81">
        <v>178750</v>
      </c>
      <c r="L206" s="81">
        <v>8542111</v>
      </c>
      <c r="M206" s="81">
        <v>501876</v>
      </c>
      <c r="N206" s="81">
        <v>670798</v>
      </c>
      <c r="O206" s="82">
        <v>49.328299999999999</v>
      </c>
      <c r="P206" s="82">
        <v>35.666500000000006</v>
      </c>
      <c r="Q206" s="452">
        <v>13.661800000000001</v>
      </c>
      <c r="R206" s="80">
        <f t="shared" ref="R206:AZ206" si="259">SUM(R201:R205)</f>
        <v>0</v>
      </c>
      <c r="S206" s="81">
        <f t="shared" si="259"/>
        <v>17352</v>
      </c>
      <c r="T206" s="81">
        <f t="shared" si="259"/>
        <v>0</v>
      </c>
      <c r="U206" s="81">
        <f t="shared" si="259"/>
        <v>0</v>
      </c>
      <c r="V206" s="81">
        <f t="shared" si="259"/>
        <v>17352</v>
      </c>
      <c r="W206" s="81">
        <f t="shared" si="259"/>
        <v>0</v>
      </c>
      <c r="X206" s="81">
        <f t="shared" si="259"/>
        <v>0</v>
      </c>
      <c r="Y206" s="81">
        <f t="shared" si="259"/>
        <v>0</v>
      </c>
      <c r="Z206" s="81">
        <f t="shared" si="259"/>
        <v>0</v>
      </c>
      <c r="AA206" s="81">
        <f t="shared" si="259"/>
        <v>17352</v>
      </c>
      <c r="AB206" s="81">
        <f t="shared" si="259"/>
        <v>5865</v>
      </c>
      <c r="AC206" s="81">
        <f t="shared" si="259"/>
        <v>347</v>
      </c>
      <c r="AD206" s="81">
        <f t="shared" si="259"/>
        <v>0</v>
      </c>
      <c r="AE206" s="81">
        <f t="shared" si="259"/>
        <v>0</v>
      </c>
      <c r="AF206" s="81">
        <f t="shared" si="259"/>
        <v>0</v>
      </c>
      <c r="AG206" s="81">
        <f t="shared" si="259"/>
        <v>23564</v>
      </c>
      <c r="AH206" s="82">
        <f t="shared" si="259"/>
        <v>0</v>
      </c>
      <c r="AI206" s="82">
        <f t="shared" si="259"/>
        <v>0</v>
      </c>
      <c r="AJ206" s="82">
        <f t="shared" si="259"/>
        <v>0.04</v>
      </c>
      <c r="AK206" s="82">
        <f t="shared" ref="AK206:AL206" si="260">SUM(AK201:AK205)</f>
        <v>0</v>
      </c>
      <c r="AL206" s="82">
        <f t="shared" si="260"/>
        <v>0</v>
      </c>
      <c r="AM206" s="82">
        <f t="shared" si="259"/>
        <v>0</v>
      </c>
      <c r="AN206" s="82">
        <f t="shared" si="259"/>
        <v>0</v>
      </c>
      <c r="AO206" s="82">
        <f t="shared" si="259"/>
        <v>0.04</v>
      </c>
      <c r="AP206" s="82">
        <f t="shared" si="259"/>
        <v>0</v>
      </c>
      <c r="AQ206" s="83">
        <f t="shared" si="259"/>
        <v>0.04</v>
      </c>
      <c r="AR206" s="438">
        <f t="shared" si="259"/>
        <v>35010866</v>
      </c>
      <c r="AS206" s="81">
        <f t="shared" si="259"/>
        <v>25111119</v>
      </c>
      <c r="AT206" s="81">
        <f t="shared" si="259"/>
        <v>178750</v>
      </c>
      <c r="AU206" s="81">
        <f t="shared" si="259"/>
        <v>8547976</v>
      </c>
      <c r="AV206" s="81">
        <f t="shared" si="259"/>
        <v>502223</v>
      </c>
      <c r="AW206" s="81">
        <f t="shared" si="259"/>
        <v>670798</v>
      </c>
      <c r="AX206" s="82">
        <f t="shared" si="259"/>
        <v>49.368299999999998</v>
      </c>
      <c r="AY206" s="82">
        <f t="shared" si="259"/>
        <v>35.706500000000005</v>
      </c>
      <c r="AZ206" s="83">
        <f t="shared" si="259"/>
        <v>13.661800000000001</v>
      </c>
    </row>
    <row r="207" spans="1:52" ht="14.1" customHeight="1" x14ac:dyDescent="0.2">
      <c r="A207" s="72">
        <v>44</v>
      </c>
      <c r="B207" s="69">
        <v>2486</v>
      </c>
      <c r="C207" s="70">
        <v>600079970</v>
      </c>
      <c r="D207" s="69">
        <v>46744908</v>
      </c>
      <c r="E207" s="71" t="s">
        <v>657</v>
      </c>
      <c r="F207" s="72">
        <v>3113</v>
      </c>
      <c r="G207" s="71" t="s">
        <v>315</v>
      </c>
      <c r="H207" s="73" t="s">
        <v>278</v>
      </c>
      <c r="I207" s="494">
        <v>20058203</v>
      </c>
      <c r="J207" s="489">
        <v>14379453</v>
      </c>
      <c r="K207" s="489">
        <v>97500</v>
      </c>
      <c r="L207" s="489">
        <v>4893210</v>
      </c>
      <c r="M207" s="489">
        <v>287590</v>
      </c>
      <c r="N207" s="489">
        <v>400450</v>
      </c>
      <c r="O207" s="490">
        <v>24.989699999999999</v>
      </c>
      <c r="P207" s="490">
        <v>19.171999999999997</v>
      </c>
      <c r="Q207" s="500">
        <v>5.8177000000000003</v>
      </c>
      <c r="R207" s="502">
        <f t="shared" si="256"/>
        <v>0</v>
      </c>
      <c r="S207" s="492">
        <v>0</v>
      </c>
      <c r="T207" s="492">
        <v>0</v>
      </c>
      <c r="U207" s="492">
        <v>0</v>
      </c>
      <c r="V207" s="492">
        <f t="shared" ref="V207:V212" si="261">SUM(R207:U207)</f>
        <v>0</v>
      </c>
      <c r="W207" s="492">
        <v>0</v>
      </c>
      <c r="X207" s="492">
        <v>0</v>
      </c>
      <c r="Y207" s="492">
        <v>0</v>
      </c>
      <c r="Z207" s="492">
        <f t="shared" ref="Z207:Z270" si="262">SUM(W207:Y207)</f>
        <v>0</v>
      </c>
      <c r="AA207" s="492">
        <f t="shared" ref="AA207:AA270" si="263">V207+Z207</f>
        <v>0</v>
      </c>
      <c r="AB207" s="74">
        <f t="shared" ref="AB207:AB270" si="264">ROUND((V207+W207+X207)*33.8%,0)</f>
        <v>0</v>
      </c>
      <c r="AC207" s="74">
        <f t="shared" ref="AC207:AC270" si="265">ROUND(V207*2%,0)</f>
        <v>0</v>
      </c>
      <c r="AD207" s="492">
        <v>0</v>
      </c>
      <c r="AE207" s="492">
        <v>0</v>
      </c>
      <c r="AF207" s="492">
        <f t="shared" ref="AF207:AF212" si="266">SUM(AD207:AE207)</f>
        <v>0</v>
      </c>
      <c r="AG207" s="492">
        <f t="shared" ref="AG207:AG212" si="267">AA207+AB207+AC207+AF207</f>
        <v>0</v>
      </c>
      <c r="AH207" s="493">
        <v>0</v>
      </c>
      <c r="AI207" s="493">
        <v>0</v>
      </c>
      <c r="AJ207" s="493">
        <v>0</v>
      </c>
      <c r="AK207" s="493">
        <v>0</v>
      </c>
      <c r="AL207" s="493">
        <v>0</v>
      </c>
      <c r="AM207" s="493">
        <v>0</v>
      </c>
      <c r="AN207" s="493">
        <v>0</v>
      </c>
      <c r="AO207" s="493">
        <f t="shared" si="257"/>
        <v>0</v>
      </c>
      <c r="AP207" s="493">
        <f t="shared" si="258"/>
        <v>0</v>
      </c>
      <c r="AQ207" s="495">
        <f t="shared" ref="AQ207:AQ270" si="268">SUM(AO207:AP207)</f>
        <v>0</v>
      </c>
      <c r="AR207" s="501">
        <f t="shared" ref="AR207:AR212" si="269">I207+AG207</f>
        <v>20058203</v>
      </c>
      <c r="AS207" s="492">
        <f t="shared" ref="AS207:AS212" si="270">J207+V207</f>
        <v>14379453</v>
      </c>
      <c r="AT207" s="492">
        <f t="shared" ref="AT207:AT212" si="271">K207+Z207</f>
        <v>97500</v>
      </c>
      <c r="AU207" s="492">
        <f t="shared" ref="AU207:AV212" si="272">L207+AB207</f>
        <v>4893210</v>
      </c>
      <c r="AV207" s="492">
        <f t="shared" si="272"/>
        <v>287590</v>
      </c>
      <c r="AW207" s="492">
        <f t="shared" ref="AW207:AW212" si="273">N207+AF207</f>
        <v>400450</v>
      </c>
      <c r="AX207" s="493">
        <f t="shared" ref="AX207:AX212" si="274">O207+AQ207</f>
        <v>24.989699999999999</v>
      </c>
      <c r="AY207" s="493">
        <f t="shared" ref="AY207:AZ212" si="275">P207+AO207</f>
        <v>19.171999999999997</v>
      </c>
      <c r="AZ207" s="495">
        <f t="shared" si="275"/>
        <v>5.8177000000000003</v>
      </c>
    </row>
    <row r="208" spans="1:52" ht="14.1" customHeight="1" x14ac:dyDescent="0.2">
      <c r="A208" s="72">
        <v>44</v>
      </c>
      <c r="B208" s="69">
        <v>2486</v>
      </c>
      <c r="C208" s="70">
        <v>600079970</v>
      </c>
      <c r="D208" s="69">
        <v>46744908</v>
      </c>
      <c r="E208" s="71" t="s">
        <v>657</v>
      </c>
      <c r="F208" s="72">
        <v>3113</v>
      </c>
      <c r="G208" s="84" t="s">
        <v>313</v>
      </c>
      <c r="H208" s="73" t="s">
        <v>279</v>
      </c>
      <c r="I208" s="494">
        <v>1670291</v>
      </c>
      <c r="J208" s="489">
        <v>1229964</v>
      </c>
      <c r="K208" s="489">
        <v>0</v>
      </c>
      <c r="L208" s="489">
        <v>415728</v>
      </c>
      <c r="M208" s="489">
        <v>24599</v>
      </c>
      <c r="N208" s="489">
        <v>0</v>
      </c>
      <c r="O208" s="490">
        <v>3.5199999999999996</v>
      </c>
      <c r="P208" s="491">
        <v>3.5199999999999996</v>
      </c>
      <c r="Q208" s="500">
        <v>0</v>
      </c>
      <c r="R208" s="502">
        <f t="shared" si="256"/>
        <v>0</v>
      </c>
      <c r="S208" s="489">
        <v>0</v>
      </c>
      <c r="T208" s="492">
        <v>0</v>
      </c>
      <c r="U208" s="492">
        <v>0</v>
      </c>
      <c r="V208" s="492">
        <f t="shared" si="261"/>
        <v>0</v>
      </c>
      <c r="W208" s="492">
        <v>0</v>
      </c>
      <c r="X208" s="492">
        <v>0</v>
      </c>
      <c r="Y208" s="492">
        <v>0</v>
      </c>
      <c r="Z208" s="492">
        <f t="shared" si="262"/>
        <v>0</v>
      </c>
      <c r="AA208" s="492">
        <f t="shared" si="263"/>
        <v>0</v>
      </c>
      <c r="AB208" s="74">
        <f t="shared" si="264"/>
        <v>0</v>
      </c>
      <c r="AC208" s="74">
        <f t="shared" si="265"/>
        <v>0</v>
      </c>
      <c r="AD208" s="492">
        <v>0</v>
      </c>
      <c r="AE208" s="492">
        <v>0</v>
      </c>
      <c r="AF208" s="492">
        <f t="shared" si="266"/>
        <v>0</v>
      </c>
      <c r="AG208" s="492">
        <f t="shared" si="267"/>
        <v>0</v>
      </c>
      <c r="AH208" s="493">
        <v>0</v>
      </c>
      <c r="AI208" s="493">
        <v>0</v>
      </c>
      <c r="AJ208" s="493">
        <v>0</v>
      </c>
      <c r="AK208" s="493">
        <v>0</v>
      </c>
      <c r="AL208" s="493">
        <v>0</v>
      </c>
      <c r="AM208" s="493">
        <v>0</v>
      </c>
      <c r="AN208" s="493">
        <v>0</v>
      </c>
      <c r="AO208" s="493">
        <f t="shared" si="257"/>
        <v>0</v>
      </c>
      <c r="AP208" s="493">
        <f t="shared" si="258"/>
        <v>0</v>
      </c>
      <c r="AQ208" s="495">
        <f t="shared" si="268"/>
        <v>0</v>
      </c>
      <c r="AR208" s="501">
        <f t="shared" si="269"/>
        <v>1670291</v>
      </c>
      <c r="AS208" s="492">
        <f t="shared" si="270"/>
        <v>1229964</v>
      </c>
      <c r="AT208" s="492">
        <f t="shared" si="271"/>
        <v>0</v>
      </c>
      <c r="AU208" s="492">
        <f t="shared" si="272"/>
        <v>415728</v>
      </c>
      <c r="AV208" s="492">
        <f t="shared" si="272"/>
        <v>24599</v>
      </c>
      <c r="AW208" s="492">
        <f t="shared" si="273"/>
        <v>0</v>
      </c>
      <c r="AX208" s="493">
        <f t="shared" si="274"/>
        <v>3.5199999999999996</v>
      </c>
      <c r="AY208" s="493">
        <f t="shared" si="275"/>
        <v>3.5199999999999996</v>
      </c>
      <c r="AZ208" s="495">
        <f t="shared" si="275"/>
        <v>0</v>
      </c>
    </row>
    <row r="209" spans="1:52" ht="14.1" customHeight="1" x14ac:dyDescent="0.2">
      <c r="A209" s="72">
        <v>44</v>
      </c>
      <c r="B209" s="69">
        <v>2486</v>
      </c>
      <c r="C209" s="70">
        <v>600079970</v>
      </c>
      <c r="D209" s="69">
        <v>46744908</v>
      </c>
      <c r="E209" s="71" t="s">
        <v>657</v>
      </c>
      <c r="F209" s="72">
        <v>3141</v>
      </c>
      <c r="G209" s="71" t="s">
        <v>316</v>
      </c>
      <c r="H209" s="73" t="s">
        <v>279</v>
      </c>
      <c r="I209" s="494">
        <v>772614</v>
      </c>
      <c r="J209" s="489">
        <v>548572</v>
      </c>
      <c r="K209" s="489">
        <v>13000</v>
      </c>
      <c r="L209" s="489">
        <v>189811</v>
      </c>
      <c r="M209" s="489">
        <v>10971</v>
      </c>
      <c r="N209" s="489">
        <v>10260</v>
      </c>
      <c r="O209" s="490">
        <v>1.77</v>
      </c>
      <c r="P209" s="491">
        <v>0</v>
      </c>
      <c r="Q209" s="500">
        <v>1.77</v>
      </c>
      <c r="R209" s="502">
        <f t="shared" si="256"/>
        <v>0</v>
      </c>
      <c r="S209" s="492">
        <v>0</v>
      </c>
      <c r="T209" s="492">
        <v>0</v>
      </c>
      <c r="U209" s="492">
        <v>0</v>
      </c>
      <c r="V209" s="492">
        <f t="shared" si="261"/>
        <v>0</v>
      </c>
      <c r="W209" s="492">
        <v>0</v>
      </c>
      <c r="X209" s="492">
        <v>0</v>
      </c>
      <c r="Y209" s="492">
        <v>0</v>
      </c>
      <c r="Z209" s="492">
        <f t="shared" si="262"/>
        <v>0</v>
      </c>
      <c r="AA209" s="492">
        <f t="shared" si="263"/>
        <v>0</v>
      </c>
      <c r="AB209" s="74">
        <f t="shared" si="264"/>
        <v>0</v>
      </c>
      <c r="AC209" s="74">
        <f t="shared" si="265"/>
        <v>0</v>
      </c>
      <c r="AD209" s="492">
        <v>0</v>
      </c>
      <c r="AE209" s="492">
        <v>0</v>
      </c>
      <c r="AF209" s="492">
        <f t="shared" si="266"/>
        <v>0</v>
      </c>
      <c r="AG209" s="492">
        <f t="shared" si="267"/>
        <v>0</v>
      </c>
      <c r="AH209" s="493">
        <v>0</v>
      </c>
      <c r="AI209" s="493">
        <v>0</v>
      </c>
      <c r="AJ209" s="493">
        <v>0</v>
      </c>
      <c r="AK209" s="493">
        <v>0</v>
      </c>
      <c r="AL209" s="493">
        <v>0</v>
      </c>
      <c r="AM209" s="493">
        <v>0</v>
      </c>
      <c r="AN209" s="493">
        <v>0</v>
      </c>
      <c r="AO209" s="493">
        <f t="shared" si="257"/>
        <v>0</v>
      </c>
      <c r="AP209" s="493">
        <f t="shared" si="258"/>
        <v>0</v>
      </c>
      <c r="AQ209" s="495">
        <f t="shared" si="268"/>
        <v>0</v>
      </c>
      <c r="AR209" s="501">
        <f t="shared" si="269"/>
        <v>772614</v>
      </c>
      <c r="AS209" s="492">
        <f t="shared" si="270"/>
        <v>548572</v>
      </c>
      <c r="AT209" s="492">
        <f t="shared" si="271"/>
        <v>13000</v>
      </c>
      <c r="AU209" s="492">
        <f t="shared" si="272"/>
        <v>189811</v>
      </c>
      <c r="AV209" s="492">
        <f t="shared" si="272"/>
        <v>10971</v>
      </c>
      <c r="AW209" s="492">
        <f t="shared" si="273"/>
        <v>10260</v>
      </c>
      <c r="AX209" s="493">
        <f t="shared" si="274"/>
        <v>1.77</v>
      </c>
      <c r="AY209" s="493">
        <f t="shared" si="275"/>
        <v>0</v>
      </c>
      <c r="AZ209" s="495">
        <f t="shared" si="275"/>
        <v>1.77</v>
      </c>
    </row>
    <row r="210" spans="1:52" ht="14.1" customHeight="1" x14ac:dyDescent="0.2">
      <c r="A210" s="72">
        <v>44</v>
      </c>
      <c r="B210" s="69">
        <v>2486</v>
      </c>
      <c r="C210" s="70">
        <v>600079970</v>
      </c>
      <c r="D210" s="69">
        <v>46744908</v>
      </c>
      <c r="E210" s="71" t="s">
        <v>657</v>
      </c>
      <c r="F210" s="72">
        <v>3143</v>
      </c>
      <c r="G210" s="84" t="s">
        <v>629</v>
      </c>
      <c r="H210" s="73" t="s">
        <v>278</v>
      </c>
      <c r="I210" s="494">
        <v>1730534</v>
      </c>
      <c r="J210" s="489">
        <v>1261517</v>
      </c>
      <c r="K210" s="489">
        <v>13000</v>
      </c>
      <c r="L210" s="489">
        <v>430787</v>
      </c>
      <c r="M210" s="489">
        <v>25230</v>
      </c>
      <c r="N210" s="489">
        <v>0</v>
      </c>
      <c r="O210" s="490">
        <v>2.5</v>
      </c>
      <c r="P210" s="490">
        <v>2.5</v>
      </c>
      <c r="Q210" s="500">
        <v>0</v>
      </c>
      <c r="R210" s="502">
        <f t="shared" si="256"/>
        <v>0</v>
      </c>
      <c r="S210" s="492">
        <v>0</v>
      </c>
      <c r="T210" s="492">
        <v>0</v>
      </c>
      <c r="U210" s="492">
        <v>0</v>
      </c>
      <c r="V210" s="492">
        <f t="shared" si="261"/>
        <v>0</v>
      </c>
      <c r="W210" s="492">
        <v>0</v>
      </c>
      <c r="X210" s="492">
        <v>0</v>
      </c>
      <c r="Y210" s="492">
        <v>0</v>
      </c>
      <c r="Z210" s="492">
        <f t="shared" si="262"/>
        <v>0</v>
      </c>
      <c r="AA210" s="492">
        <f t="shared" si="263"/>
        <v>0</v>
      </c>
      <c r="AB210" s="74">
        <f t="shared" si="264"/>
        <v>0</v>
      </c>
      <c r="AC210" s="74">
        <f t="shared" si="265"/>
        <v>0</v>
      </c>
      <c r="AD210" s="492">
        <v>0</v>
      </c>
      <c r="AE210" s="492">
        <v>0</v>
      </c>
      <c r="AF210" s="492">
        <f t="shared" si="266"/>
        <v>0</v>
      </c>
      <c r="AG210" s="492">
        <f t="shared" si="267"/>
        <v>0</v>
      </c>
      <c r="AH210" s="493">
        <v>0</v>
      </c>
      <c r="AI210" s="493">
        <v>0</v>
      </c>
      <c r="AJ210" s="493">
        <v>0</v>
      </c>
      <c r="AK210" s="493">
        <v>0</v>
      </c>
      <c r="AL210" s="493">
        <v>0</v>
      </c>
      <c r="AM210" s="493">
        <v>0</v>
      </c>
      <c r="AN210" s="493">
        <v>0</v>
      </c>
      <c r="AO210" s="493">
        <f t="shared" si="257"/>
        <v>0</v>
      </c>
      <c r="AP210" s="493">
        <f t="shared" si="258"/>
        <v>0</v>
      </c>
      <c r="AQ210" s="495">
        <f t="shared" si="268"/>
        <v>0</v>
      </c>
      <c r="AR210" s="501">
        <f t="shared" si="269"/>
        <v>1730534</v>
      </c>
      <c r="AS210" s="492">
        <f t="shared" si="270"/>
        <v>1261517</v>
      </c>
      <c r="AT210" s="492">
        <f t="shared" si="271"/>
        <v>13000</v>
      </c>
      <c r="AU210" s="492">
        <f t="shared" si="272"/>
        <v>430787</v>
      </c>
      <c r="AV210" s="492">
        <f t="shared" si="272"/>
        <v>25230</v>
      </c>
      <c r="AW210" s="492">
        <f t="shared" si="273"/>
        <v>0</v>
      </c>
      <c r="AX210" s="493">
        <f t="shared" si="274"/>
        <v>2.5</v>
      </c>
      <c r="AY210" s="493">
        <f t="shared" si="275"/>
        <v>2.5</v>
      </c>
      <c r="AZ210" s="495">
        <f t="shared" si="275"/>
        <v>0</v>
      </c>
    </row>
    <row r="211" spans="1:52" ht="14.1" customHeight="1" x14ac:dyDescent="0.2">
      <c r="A211" s="72">
        <v>44</v>
      </c>
      <c r="B211" s="69">
        <v>2486</v>
      </c>
      <c r="C211" s="70">
        <v>600079970</v>
      </c>
      <c r="D211" s="69">
        <v>46744908</v>
      </c>
      <c r="E211" s="71" t="s">
        <v>657</v>
      </c>
      <c r="F211" s="72">
        <v>3143</v>
      </c>
      <c r="G211" s="84" t="s">
        <v>630</v>
      </c>
      <c r="H211" s="73" t="s">
        <v>279</v>
      </c>
      <c r="I211" s="494">
        <v>54432</v>
      </c>
      <c r="J211" s="489">
        <v>38492</v>
      </c>
      <c r="K211" s="489">
        <v>0</v>
      </c>
      <c r="L211" s="489">
        <v>13010</v>
      </c>
      <c r="M211" s="489">
        <v>770</v>
      </c>
      <c r="N211" s="489">
        <v>2160</v>
      </c>
      <c r="O211" s="490">
        <v>0.15</v>
      </c>
      <c r="P211" s="491">
        <v>0</v>
      </c>
      <c r="Q211" s="500">
        <v>0.15</v>
      </c>
      <c r="R211" s="502">
        <f t="shared" si="256"/>
        <v>0</v>
      </c>
      <c r="S211" s="492">
        <v>0</v>
      </c>
      <c r="T211" s="492">
        <v>0</v>
      </c>
      <c r="U211" s="492">
        <v>0</v>
      </c>
      <c r="V211" s="492">
        <f t="shared" si="261"/>
        <v>0</v>
      </c>
      <c r="W211" s="492">
        <v>0</v>
      </c>
      <c r="X211" s="492">
        <v>0</v>
      </c>
      <c r="Y211" s="492">
        <v>0</v>
      </c>
      <c r="Z211" s="492">
        <f t="shared" si="262"/>
        <v>0</v>
      </c>
      <c r="AA211" s="492">
        <f t="shared" si="263"/>
        <v>0</v>
      </c>
      <c r="AB211" s="74">
        <f t="shared" si="264"/>
        <v>0</v>
      </c>
      <c r="AC211" s="74">
        <f t="shared" si="265"/>
        <v>0</v>
      </c>
      <c r="AD211" s="492">
        <v>0</v>
      </c>
      <c r="AE211" s="492">
        <v>0</v>
      </c>
      <c r="AF211" s="492">
        <f t="shared" si="266"/>
        <v>0</v>
      </c>
      <c r="AG211" s="492">
        <f t="shared" si="267"/>
        <v>0</v>
      </c>
      <c r="AH211" s="493">
        <v>0</v>
      </c>
      <c r="AI211" s="493">
        <v>0</v>
      </c>
      <c r="AJ211" s="493">
        <v>0</v>
      </c>
      <c r="AK211" s="493">
        <v>0</v>
      </c>
      <c r="AL211" s="493">
        <v>0</v>
      </c>
      <c r="AM211" s="493">
        <v>0</v>
      </c>
      <c r="AN211" s="493">
        <v>0</v>
      </c>
      <c r="AO211" s="493">
        <f t="shared" si="257"/>
        <v>0</v>
      </c>
      <c r="AP211" s="493">
        <f t="shared" si="258"/>
        <v>0</v>
      </c>
      <c r="AQ211" s="495">
        <f t="shared" si="268"/>
        <v>0</v>
      </c>
      <c r="AR211" s="501">
        <f t="shared" si="269"/>
        <v>54432</v>
      </c>
      <c r="AS211" s="492">
        <f t="shared" si="270"/>
        <v>38492</v>
      </c>
      <c r="AT211" s="492">
        <f t="shared" si="271"/>
        <v>0</v>
      </c>
      <c r="AU211" s="492">
        <f t="shared" si="272"/>
        <v>13010</v>
      </c>
      <c r="AV211" s="492">
        <f t="shared" si="272"/>
        <v>770</v>
      </c>
      <c r="AW211" s="492">
        <f t="shared" si="273"/>
        <v>2160</v>
      </c>
      <c r="AX211" s="493">
        <f t="shared" si="274"/>
        <v>0.15</v>
      </c>
      <c r="AY211" s="493">
        <f t="shared" si="275"/>
        <v>0</v>
      </c>
      <c r="AZ211" s="495">
        <f t="shared" si="275"/>
        <v>0.15</v>
      </c>
    </row>
    <row r="212" spans="1:52" ht="14.1" customHeight="1" x14ac:dyDescent="0.2">
      <c r="A212" s="72">
        <v>44</v>
      </c>
      <c r="B212" s="69">
        <v>2486</v>
      </c>
      <c r="C212" s="70">
        <v>600079970</v>
      </c>
      <c r="D212" s="69">
        <v>46744908</v>
      </c>
      <c r="E212" s="71" t="s">
        <v>657</v>
      </c>
      <c r="F212" s="72">
        <v>3233</v>
      </c>
      <c r="G212" s="71" t="s">
        <v>319</v>
      </c>
      <c r="H212" s="73" t="s">
        <v>279</v>
      </c>
      <c r="I212" s="494">
        <v>1303640</v>
      </c>
      <c r="J212" s="489">
        <v>895203</v>
      </c>
      <c r="K212" s="489">
        <v>65000</v>
      </c>
      <c r="L212" s="489">
        <v>324549</v>
      </c>
      <c r="M212" s="489">
        <v>17904</v>
      </c>
      <c r="N212" s="489">
        <v>984</v>
      </c>
      <c r="O212" s="490">
        <v>1.92</v>
      </c>
      <c r="P212" s="491">
        <v>1.3399999999999999</v>
      </c>
      <c r="Q212" s="500">
        <v>0.57999999999999996</v>
      </c>
      <c r="R212" s="502">
        <f t="shared" si="256"/>
        <v>0</v>
      </c>
      <c r="S212" s="492">
        <v>0</v>
      </c>
      <c r="T212" s="492">
        <v>0</v>
      </c>
      <c r="U212" s="492">
        <v>0</v>
      </c>
      <c r="V212" s="492">
        <f t="shared" si="261"/>
        <v>0</v>
      </c>
      <c r="W212" s="492">
        <v>0</v>
      </c>
      <c r="X212" s="492">
        <v>0</v>
      </c>
      <c r="Y212" s="492">
        <v>0</v>
      </c>
      <c r="Z212" s="492">
        <f t="shared" si="262"/>
        <v>0</v>
      </c>
      <c r="AA212" s="492">
        <f t="shared" si="263"/>
        <v>0</v>
      </c>
      <c r="AB212" s="74">
        <f t="shared" si="264"/>
        <v>0</v>
      </c>
      <c r="AC212" s="74">
        <f t="shared" si="265"/>
        <v>0</v>
      </c>
      <c r="AD212" s="492">
        <v>0</v>
      </c>
      <c r="AE212" s="492">
        <v>5781</v>
      </c>
      <c r="AF212" s="492">
        <f t="shared" si="266"/>
        <v>5781</v>
      </c>
      <c r="AG212" s="492">
        <f t="shared" si="267"/>
        <v>5781</v>
      </c>
      <c r="AH212" s="493">
        <v>0</v>
      </c>
      <c r="AI212" s="493">
        <v>0</v>
      </c>
      <c r="AJ212" s="493">
        <v>0</v>
      </c>
      <c r="AK212" s="493">
        <v>0</v>
      </c>
      <c r="AL212" s="493">
        <v>0</v>
      </c>
      <c r="AM212" s="493">
        <v>0</v>
      </c>
      <c r="AN212" s="493">
        <v>0</v>
      </c>
      <c r="AO212" s="493">
        <f t="shared" si="257"/>
        <v>0</v>
      </c>
      <c r="AP212" s="493">
        <f t="shared" si="258"/>
        <v>0</v>
      </c>
      <c r="AQ212" s="495">
        <f t="shared" si="268"/>
        <v>0</v>
      </c>
      <c r="AR212" s="501">
        <f t="shared" si="269"/>
        <v>1309421</v>
      </c>
      <c r="AS212" s="492">
        <f t="shared" si="270"/>
        <v>895203</v>
      </c>
      <c r="AT212" s="492">
        <f t="shared" si="271"/>
        <v>65000</v>
      </c>
      <c r="AU212" s="492">
        <f t="shared" si="272"/>
        <v>324549</v>
      </c>
      <c r="AV212" s="492">
        <f t="shared" si="272"/>
        <v>17904</v>
      </c>
      <c r="AW212" s="492">
        <f t="shared" si="273"/>
        <v>6765</v>
      </c>
      <c r="AX212" s="493">
        <f t="shared" si="274"/>
        <v>1.92</v>
      </c>
      <c r="AY212" s="493">
        <f t="shared" si="275"/>
        <v>1.3399999999999999</v>
      </c>
      <c r="AZ212" s="495">
        <f t="shared" si="275"/>
        <v>0.57999999999999996</v>
      </c>
    </row>
    <row r="213" spans="1:52" ht="14.1" customHeight="1" x14ac:dyDescent="0.2">
      <c r="A213" s="78">
        <v>44</v>
      </c>
      <c r="B213" s="75">
        <v>2486</v>
      </c>
      <c r="C213" s="76">
        <v>600079970</v>
      </c>
      <c r="D213" s="75">
        <v>46744908</v>
      </c>
      <c r="E213" s="77" t="s">
        <v>658</v>
      </c>
      <c r="F213" s="78"/>
      <c r="G213" s="77"/>
      <c r="H213" s="79"/>
      <c r="I213" s="80">
        <v>25589714</v>
      </c>
      <c r="J213" s="81">
        <v>18353201</v>
      </c>
      <c r="K213" s="81">
        <v>188500</v>
      </c>
      <c r="L213" s="81">
        <v>6267095</v>
      </c>
      <c r="M213" s="81">
        <v>367064</v>
      </c>
      <c r="N213" s="81">
        <v>413854</v>
      </c>
      <c r="O213" s="82">
        <v>34.849699999999999</v>
      </c>
      <c r="P213" s="82">
        <v>26.531999999999996</v>
      </c>
      <c r="Q213" s="452">
        <v>8.3177000000000003</v>
      </c>
      <c r="R213" s="80">
        <f t="shared" ref="R213:AZ213" si="276">SUM(R207:R212)</f>
        <v>0</v>
      </c>
      <c r="S213" s="81">
        <f t="shared" si="276"/>
        <v>0</v>
      </c>
      <c r="T213" s="81">
        <f t="shared" si="276"/>
        <v>0</v>
      </c>
      <c r="U213" s="81">
        <f t="shared" si="276"/>
        <v>0</v>
      </c>
      <c r="V213" s="81">
        <f t="shared" si="276"/>
        <v>0</v>
      </c>
      <c r="W213" s="81">
        <f t="shared" si="276"/>
        <v>0</v>
      </c>
      <c r="X213" s="81">
        <f t="shared" si="276"/>
        <v>0</v>
      </c>
      <c r="Y213" s="81">
        <f t="shared" si="276"/>
        <v>0</v>
      </c>
      <c r="Z213" s="81">
        <f t="shared" si="276"/>
        <v>0</v>
      </c>
      <c r="AA213" s="81">
        <f t="shared" si="276"/>
        <v>0</v>
      </c>
      <c r="AB213" s="81">
        <f t="shared" si="276"/>
        <v>0</v>
      </c>
      <c r="AC213" s="81">
        <f t="shared" si="276"/>
        <v>0</v>
      </c>
      <c r="AD213" s="81">
        <f t="shared" si="276"/>
        <v>0</v>
      </c>
      <c r="AE213" s="81">
        <f t="shared" si="276"/>
        <v>5781</v>
      </c>
      <c r="AF213" s="81">
        <f t="shared" si="276"/>
        <v>5781</v>
      </c>
      <c r="AG213" s="81">
        <f t="shared" si="276"/>
        <v>5781</v>
      </c>
      <c r="AH213" s="82">
        <f t="shared" si="276"/>
        <v>0</v>
      </c>
      <c r="AI213" s="82">
        <f t="shared" si="276"/>
        <v>0</v>
      </c>
      <c r="AJ213" s="82">
        <f t="shared" si="276"/>
        <v>0</v>
      </c>
      <c r="AK213" s="82">
        <f t="shared" ref="AK213:AL213" si="277">SUM(AK207:AK212)</f>
        <v>0</v>
      </c>
      <c r="AL213" s="82">
        <f t="shared" si="277"/>
        <v>0</v>
      </c>
      <c r="AM213" s="82">
        <f t="shared" si="276"/>
        <v>0</v>
      </c>
      <c r="AN213" s="82">
        <f t="shared" si="276"/>
        <v>0</v>
      </c>
      <c r="AO213" s="82">
        <f t="shared" si="276"/>
        <v>0</v>
      </c>
      <c r="AP213" s="82">
        <f t="shared" si="276"/>
        <v>0</v>
      </c>
      <c r="AQ213" s="83">
        <f t="shared" si="276"/>
        <v>0</v>
      </c>
      <c r="AR213" s="438">
        <f t="shared" si="276"/>
        <v>25595495</v>
      </c>
      <c r="AS213" s="81">
        <f t="shared" si="276"/>
        <v>18353201</v>
      </c>
      <c r="AT213" s="81">
        <f t="shared" si="276"/>
        <v>188500</v>
      </c>
      <c r="AU213" s="81">
        <f t="shared" si="276"/>
        <v>6267095</v>
      </c>
      <c r="AV213" s="81">
        <f t="shared" si="276"/>
        <v>367064</v>
      </c>
      <c r="AW213" s="81">
        <f t="shared" si="276"/>
        <v>419635</v>
      </c>
      <c r="AX213" s="82">
        <f t="shared" si="276"/>
        <v>34.849699999999999</v>
      </c>
      <c r="AY213" s="82">
        <f t="shared" si="276"/>
        <v>26.531999999999996</v>
      </c>
      <c r="AZ213" s="83">
        <f t="shared" si="276"/>
        <v>8.3177000000000003</v>
      </c>
    </row>
    <row r="214" spans="1:52" ht="14.1" customHeight="1" x14ac:dyDescent="0.2">
      <c r="A214" s="72">
        <v>45</v>
      </c>
      <c r="B214" s="69">
        <v>2487</v>
      </c>
      <c r="C214" s="70">
        <v>600079996</v>
      </c>
      <c r="D214" s="69">
        <v>68974639</v>
      </c>
      <c r="E214" s="71" t="s">
        <v>659</v>
      </c>
      <c r="F214" s="72">
        <v>3113</v>
      </c>
      <c r="G214" s="71" t="s">
        <v>315</v>
      </c>
      <c r="H214" s="73" t="s">
        <v>278</v>
      </c>
      <c r="I214" s="494">
        <v>26779392</v>
      </c>
      <c r="J214" s="489">
        <v>19202586</v>
      </c>
      <c r="K214" s="489">
        <v>84500</v>
      </c>
      <c r="L214" s="489">
        <v>6519035</v>
      </c>
      <c r="M214" s="489">
        <v>384051</v>
      </c>
      <c r="N214" s="489">
        <v>589220</v>
      </c>
      <c r="O214" s="490">
        <v>34.523400000000002</v>
      </c>
      <c r="P214" s="490">
        <v>27.1508</v>
      </c>
      <c r="Q214" s="500">
        <v>7.3726000000000003</v>
      </c>
      <c r="R214" s="502">
        <f t="shared" si="256"/>
        <v>0</v>
      </c>
      <c r="S214" s="492">
        <v>0</v>
      </c>
      <c r="T214" s="492">
        <v>0</v>
      </c>
      <c r="U214" s="492">
        <v>0</v>
      </c>
      <c r="V214" s="492">
        <f>SUM(R214:U214)</f>
        <v>0</v>
      </c>
      <c r="W214" s="492">
        <v>0</v>
      </c>
      <c r="X214" s="492">
        <v>0</v>
      </c>
      <c r="Y214" s="492">
        <v>0</v>
      </c>
      <c r="Z214" s="492">
        <f t="shared" si="262"/>
        <v>0</v>
      </c>
      <c r="AA214" s="492">
        <f t="shared" si="263"/>
        <v>0</v>
      </c>
      <c r="AB214" s="74">
        <f t="shared" si="264"/>
        <v>0</v>
      </c>
      <c r="AC214" s="74">
        <f t="shared" si="265"/>
        <v>0</v>
      </c>
      <c r="AD214" s="492">
        <v>0</v>
      </c>
      <c r="AE214" s="492">
        <v>0</v>
      </c>
      <c r="AF214" s="492">
        <f>SUM(AD214:AE214)</f>
        <v>0</v>
      </c>
      <c r="AG214" s="492">
        <f>AA214+AB214+AC214+AF214</f>
        <v>0</v>
      </c>
      <c r="AH214" s="493">
        <v>0</v>
      </c>
      <c r="AI214" s="493">
        <v>0</v>
      </c>
      <c r="AJ214" s="493">
        <v>0</v>
      </c>
      <c r="AK214" s="493">
        <v>0</v>
      </c>
      <c r="AL214" s="493">
        <v>0</v>
      </c>
      <c r="AM214" s="493">
        <v>0</v>
      </c>
      <c r="AN214" s="493">
        <v>0</v>
      </c>
      <c r="AO214" s="493">
        <f t="shared" si="257"/>
        <v>0</v>
      </c>
      <c r="AP214" s="493">
        <f t="shared" si="258"/>
        <v>0</v>
      </c>
      <c r="AQ214" s="495">
        <f t="shared" si="268"/>
        <v>0</v>
      </c>
      <c r="AR214" s="501">
        <f>I214+AG214</f>
        <v>26779392</v>
      </c>
      <c r="AS214" s="492">
        <f>J214+V214</f>
        <v>19202586</v>
      </c>
      <c r="AT214" s="492">
        <f t="shared" ref="AT214:AT218" si="278">K214+Z214</f>
        <v>84500</v>
      </c>
      <c r="AU214" s="492">
        <f t="shared" ref="AU214:AV218" si="279">L214+AB214</f>
        <v>6519035</v>
      </c>
      <c r="AV214" s="492">
        <f t="shared" si="279"/>
        <v>384051</v>
      </c>
      <c r="AW214" s="492">
        <f>N214+AF214</f>
        <v>589220</v>
      </c>
      <c r="AX214" s="493">
        <f>O214+AQ214</f>
        <v>34.523400000000002</v>
      </c>
      <c r="AY214" s="493">
        <f t="shared" ref="AY214:AZ218" si="280">P214+AO214</f>
        <v>27.1508</v>
      </c>
      <c r="AZ214" s="495">
        <f t="shared" si="280"/>
        <v>7.3726000000000003</v>
      </c>
    </row>
    <row r="215" spans="1:52" ht="14.1" customHeight="1" x14ac:dyDescent="0.2">
      <c r="A215" s="72">
        <v>45</v>
      </c>
      <c r="B215" s="69">
        <v>2487</v>
      </c>
      <c r="C215" s="70">
        <v>600079996</v>
      </c>
      <c r="D215" s="69">
        <v>68974639</v>
      </c>
      <c r="E215" s="71" t="s">
        <v>659</v>
      </c>
      <c r="F215" s="72">
        <v>3113</v>
      </c>
      <c r="G215" s="84" t="s">
        <v>313</v>
      </c>
      <c r="H215" s="73" t="s">
        <v>279</v>
      </c>
      <c r="I215" s="494">
        <v>1058505</v>
      </c>
      <c r="J215" s="489">
        <v>779459</v>
      </c>
      <c r="K215" s="489">
        <v>0</v>
      </c>
      <c r="L215" s="489">
        <v>263457</v>
      </c>
      <c r="M215" s="489">
        <v>15589</v>
      </c>
      <c r="N215" s="489">
        <v>0</v>
      </c>
      <c r="O215" s="490">
        <v>2.13</v>
      </c>
      <c r="P215" s="491">
        <v>2.13</v>
      </c>
      <c r="Q215" s="500">
        <v>0</v>
      </c>
      <c r="R215" s="502">
        <f t="shared" si="256"/>
        <v>0</v>
      </c>
      <c r="S215" s="489">
        <v>0</v>
      </c>
      <c r="T215" s="492">
        <v>0</v>
      </c>
      <c r="U215" s="492">
        <v>0</v>
      </c>
      <c r="V215" s="492">
        <f>SUM(R215:U215)</f>
        <v>0</v>
      </c>
      <c r="W215" s="492">
        <v>0</v>
      </c>
      <c r="X215" s="492">
        <v>0</v>
      </c>
      <c r="Y215" s="492">
        <v>0</v>
      </c>
      <c r="Z215" s="492">
        <f t="shared" si="262"/>
        <v>0</v>
      </c>
      <c r="AA215" s="492">
        <f t="shared" si="263"/>
        <v>0</v>
      </c>
      <c r="AB215" s="74">
        <f t="shared" si="264"/>
        <v>0</v>
      </c>
      <c r="AC215" s="74">
        <f t="shared" si="265"/>
        <v>0</v>
      </c>
      <c r="AD215" s="492">
        <v>0</v>
      </c>
      <c r="AE215" s="492">
        <v>0</v>
      </c>
      <c r="AF215" s="492">
        <f>SUM(AD215:AE215)</f>
        <v>0</v>
      </c>
      <c r="AG215" s="492">
        <f>AA215+AB215+AC215+AF215</f>
        <v>0</v>
      </c>
      <c r="AH215" s="493">
        <v>0</v>
      </c>
      <c r="AI215" s="493">
        <v>0</v>
      </c>
      <c r="AJ215" s="493">
        <v>0</v>
      </c>
      <c r="AK215" s="493">
        <v>0</v>
      </c>
      <c r="AL215" s="493">
        <v>0</v>
      </c>
      <c r="AM215" s="493">
        <v>0</v>
      </c>
      <c r="AN215" s="493">
        <v>0</v>
      </c>
      <c r="AO215" s="493">
        <f t="shared" si="257"/>
        <v>0</v>
      </c>
      <c r="AP215" s="493">
        <f t="shared" si="258"/>
        <v>0</v>
      </c>
      <c r="AQ215" s="495">
        <f t="shared" si="268"/>
        <v>0</v>
      </c>
      <c r="AR215" s="501">
        <f>I215+AG215</f>
        <v>1058505</v>
      </c>
      <c r="AS215" s="492">
        <f>J215+V215</f>
        <v>779459</v>
      </c>
      <c r="AT215" s="492">
        <f t="shared" si="278"/>
        <v>0</v>
      </c>
      <c r="AU215" s="492">
        <f t="shared" si="279"/>
        <v>263457</v>
      </c>
      <c r="AV215" s="492">
        <f t="shared" si="279"/>
        <v>15589</v>
      </c>
      <c r="AW215" s="492">
        <f>N215+AF215</f>
        <v>0</v>
      </c>
      <c r="AX215" s="493">
        <f>O215+AQ215</f>
        <v>2.13</v>
      </c>
      <c r="AY215" s="493">
        <f t="shared" si="280"/>
        <v>2.13</v>
      </c>
      <c r="AZ215" s="495">
        <f t="shared" si="280"/>
        <v>0</v>
      </c>
    </row>
    <row r="216" spans="1:52" ht="14.1" customHeight="1" x14ac:dyDescent="0.2">
      <c r="A216" s="72">
        <v>45</v>
      </c>
      <c r="B216" s="69">
        <v>2487</v>
      </c>
      <c r="C216" s="70">
        <v>600079996</v>
      </c>
      <c r="D216" s="69">
        <v>68974639</v>
      </c>
      <c r="E216" s="71" t="s">
        <v>659</v>
      </c>
      <c r="F216" s="72">
        <v>3141</v>
      </c>
      <c r="G216" s="71" t="s">
        <v>316</v>
      </c>
      <c r="H216" s="73" t="s">
        <v>279</v>
      </c>
      <c r="I216" s="494">
        <v>3255287</v>
      </c>
      <c r="J216" s="489">
        <v>2362058</v>
      </c>
      <c r="K216" s="489">
        <v>13000</v>
      </c>
      <c r="L216" s="489">
        <v>802770</v>
      </c>
      <c r="M216" s="489">
        <v>47241</v>
      </c>
      <c r="N216" s="489">
        <v>30218</v>
      </c>
      <c r="O216" s="490">
        <v>7.48</v>
      </c>
      <c r="P216" s="491">
        <v>0</v>
      </c>
      <c r="Q216" s="500">
        <v>7.48</v>
      </c>
      <c r="R216" s="502">
        <f t="shared" si="256"/>
        <v>0</v>
      </c>
      <c r="S216" s="492">
        <v>0</v>
      </c>
      <c r="T216" s="492">
        <v>0</v>
      </c>
      <c r="U216" s="492">
        <v>0</v>
      </c>
      <c r="V216" s="492">
        <f>SUM(R216:U216)</f>
        <v>0</v>
      </c>
      <c r="W216" s="492">
        <v>0</v>
      </c>
      <c r="X216" s="492">
        <v>0</v>
      </c>
      <c r="Y216" s="492">
        <v>0</v>
      </c>
      <c r="Z216" s="492">
        <f t="shared" si="262"/>
        <v>0</v>
      </c>
      <c r="AA216" s="492">
        <f t="shared" si="263"/>
        <v>0</v>
      </c>
      <c r="AB216" s="74">
        <f t="shared" si="264"/>
        <v>0</v>
      </c>
      <c r="AC216" s="74">
        <f t="shared" si="265"/>
        <v>0</v>
      </c>
      <c r="AD216" s="492">
        <v>0</v>
      </c>
      <c r="AE216" s="492">
        <v>0</v>
      </c>
      <c r="AF216" s="492">
        <f>SUM(AD216:AE216)</f>
        <v>0</v>
      </c>
      <c r="AG216" s="492">
        <f>AA216+AB216+AC216+AF216</f>
        <v>0</v>
      </c>
      <c r="AH216" s="493">
        <v>0</v>
      </c>
      <c r="AI216" s="493">
        <v>0</v>
      </c>
      <c r="AJ216" s="493">
        <v>0</v>
      </c>
      <c r="AK216" s="493">
        <v>0</v>
      </c>
      <c r="AL216" s="493">
        <v>0</v>
      </c>
      <c r="AM216" s="493">
        <v>0</v>
      </c>
      <c r="AN216" s="493">
        <v>0</v>
      </c>
      <c r="AO216" s="493">
        <f t="shared" si="257"/>
        <v>0</v>
      </c>
      <c r="AP216" s="493">
        <f t="shared" si="258"/>
        <v>0</v>
      </c>
      <c r="AQ216" s="495">
        <f t="shared" si="268"/>
        <v>0</v>
      </c>
      <c r="AR216" s="501">
        <f>I216+AG216</f>
        <v>3255287</v>
      </c>
      <c r="AS216" s="492">
        <f>J216+V216</f>
        <v>2362058</v>
      </c>
      <c r="AT216" s="492">
        <f t="shared" si="278"/>
        <v>13000</v>
      </c>
      <c r="AU216" s="492">
        <f t="shared" si="279"/>
        <v>802770</v>
      </c>
      <c r="AV216" s="492">
        <f t="shared" si="279"/>
        <v>47241</v>
      </c>
      <c r="AW216" s="492">
        <f>N216+AF216</f>
        <v>30218</v>
      </c>
      <c r="AX216" s="493">
        <f>O216+AQ216</f>
        <v>7.48</v>
      </c>
      <c r="AY216" s="493">
        <f t="shared" si="280"/>
        <v>0</v>
      </c>
      <c r="AZ216" s="495">
        <f t="shared" si="280"/>
        <v>7.48</v>
      </c>
    </row>
    <row r="217" spans="1:52" ht="14.1" customHeight="1" x14ac:dyDescent="0.2">
      <c r="A217" s="72">
        <v>45</v>
      </c>
      <c r="B217" s="69">
        <v>2487</v>
      </c>
      <c r="C217" s="70">
        <v>600079996</v>
      </c>
      <c r="D217" s="69">
        <v>68974639</v>
      </c>
      <c r="E217" s="71" t="s">
        <v>659</v>
      </c>
      <c r="F217" s="72">
        <v>3143</v>
      </c>
      <c r="G217" s="84" t="s">
        <v>629</v>
      </c>
      <c r="H217" s="73" t="s">
        <v>278</v>
      </c>
      <c r="I217" s="494">
        <v>2308299</v>
      </c>
      <c r="J217" s="489">
        <v>1699778</v>
      </c>
      <c r="K217" s="489">
        <v>0</v>
      </c>
      <c r="L217" s="489">
        <v>574525</v>
      </c>
      <c r="M217" s="489">
        <v>33996</v>
      </c>
      <c r="N217" s="489">
        <v>0</v>
      </c>
      <c r="O217" s="490">
        <v>3.5</v>
      </c>
      <c r="P217" s="490">
        <v>3.5</v>
      </c>
      <c r="Q217" s="500">
        <v>0</v>
      </c>
      <c r="R217" s="502">
        <f t="shared" si="256"/>
        <v>0</v>
      </c>
      <c r="S217" s="492">
        <v>0</v>
      </c>
      <c r="T217" s="492">
        <v>0</v>
      </c>
      <c r="U217" s="492">
        <v>0</v>
      </c>
      <c r="V217" s="492">
        <f>SUM(R217:U217)</f>
        <v>0</v>
      </c>
      <c r="W217" s="492">
        <v>0</v>
      </c>
      <c r="X217" s="492">
        <v>0</v>
      </c>
      <c r="Y217" s="492">
        <v>0</v>
      </c>
      <c r="Z217" s="492">
        <f t="shared" si="262"/>
        <v>0</v>
      </c>
      <c r="AA217" s="492">
        <f t="shared" si="263"/>
        <v>0</v>
      </c>
      <c r="AB217" s="74">
        <f t="shared" si="264"/>
        <v>0</v>
      </c>
      <c r="AC217" s="74">
        <f t="shared" si="265"/>
        <v>0</v>
      </c>
      <c r="AD217" s="492">
        <v>0</v>
      </c>
      <c r="AE217" s="492">
        <v>0</v>
      </c>
      <c r="AF217" s="492">
        <f>SUM(AD217:AE217)</f>
        <v>0</v>
      </c>
      <c r="AG217" s="492">
        <f>AA217+AB217+AC217+AF217</f>
        <v>0</v>
      </c>
      <c r="AH217" s="493">
        <v>0</v>
      </c>
      <c r="AI217" s="493">
        <v>0</v>
      </c>
      <c r="AJ217" s="493">
        <v>0</v>
      </c>
      <c r="AK217" s="493">
        <v>0</v>
      </c>
      <c r="AL217" s="493">
        <v>0</v>
      </c>
      <c r="AM217" s="493">
        <v>0</v>
      </c>
      <c r="AN217" s="493">
        <v>0</v>
      </c>
      <c r="AO217" s="493">
        <f t="shared" si="257"/>
        <v>0</v>
      </c>
      <c r="AP217" s="493">
        <f t="shared" si="258"/>
        <v>0</v>
      </c>
      <c r="AQ217" s="495">
        <f t="shared" si="268"/>
        <v>0</v>
      </c>
      <c r="AR217" s="501">
        <f>I217+AG217</f>
        <v>2308299</v>
      </c>
      <c r="AS217" s="492">
        <f>J217+V217</f>
        <v>1699778</v>
      </c>
      <c r="AT217" s="492">
        <f t="shared" si="278"/>
        <v>0</v>
      </c>
      <c r="AU217" s="492">
        <f t="shared" si="279"/>
        <v>574525</v>
      </c>
      <c r="AV217" s="492">
        <f t="shared" si="279"/>
        <v>33996</v>
      </c>
      <c r="AW217" s="492">
        <f>N217+AF217</f>
        <v>0</v>
      </c>
      <c r="AX217" s="493">
        <f>O217+AQ217</f>
        <v>3.5</v>
      </c>
      <c r="AY217" s="493">
        <f t="shared" si="280"/>
        <v>3.5</v>
      </c>
      <c r="AZ217" s="495">
        <f t="shared" si="280"/>
        <v>0</v>
      </c>
    </row>
    <row r="218" spans="1:52" ht="14.1" customHeight="1" x14ac:dyDescent="0.2">
      <c r="A218" s="72">
        <v>45</v>
      </c>
      <c r="B218" s="69">
        <v>2487</v>
      </c>
      <c r="C218" s="70">
        <v>600079996</v>
      </c>
      <c r="D218" s="69">
        <v>68974639</v>
      </c>
      <c r="E218" s="71" t="s">
        <v>659</v>
      </c>
      <c r="F218" s="72">
        <v>3143</v>
      </c>
      <c r="G218" s="84" t="s">
        <v>630</v>
      </c>
      <c r="H218" s="73" t="s">
        <v>279</v>
      </c>
      <c r="I218" s="494">
        <v>82403</v>
      </c>
      <c r="J218" s="489">
        <v>58272</v>
      </c>
      <c r="K218" s="489">
        <v>0</v>
      </c>
      <c r="L218" s="489">
        <v>19696</v>
      </c>
      <c r="M218" s="489">
        <v>1165</v>
      </c>
      <c r="N218" s="489">
        <v>3270</v>
      </c>
      <c r="O218" s="490">
        <v>0.23</v>
      </c>
      <c r="P218" s="491">
        <v>0</v>
      </c>
      <c r="Q218" s="500">
        <v>0.23</v>
      </c>
      <c r="R218" s="502">
        <f t="shared" si="256"/>
        <v>0</v>
      </c>
      <c r="S218" s="492">
        <v>0</v>
      </c>
      <c r="T218" s="492">
        <v>0</v>
      </c>
      <c r="U218" s="492">
        <v>0</v>
      </c>
      <c r="V218" s="492">
        <f>SUM(R218:U218)</f>
        <v>0</v>
      </c>
      <c r="W218" s="492">
        <v>0</v>
      </c>
      <c r="X218" s="492">
        <v>0</v>
      </c>
      <c r="Y218" s="492">
        <v>0</v>
      </c>
      <c r="Z218" s="492">
        <f t="shared" si="262"/>
        <v>0</v>
      </c>
      <c r="AA218" s="492">
        <f t="shared" si="263"/>
        <v>0</v>
      </c>
      <c r="AB218" s="74">
        <f t="shared" si="264"/>
        <v>0</v>
      </c>
      <c r="AC218" s="74">
        <f t="shared" si="265"/>
        <v>0</v>
      </c>
      <c r="AD218" s="492">
        <v>0</v>
      </c>
      <c r="AE218" s="492">
        <v>0</v>
      </c>
      <c r="AF218" s="492">
        <f>SUM(AD218:AE218)</f>
        <v>0</v>
      </c>
      <c r="AG218" s="492">
        <f>AA218+AB218+AC218+AF218</f>
        <v>0</v>
      </c>
      <c r="AH218" s="493">
        <v>0</v>
      </c>
      <c r="AI218" s="493">
        <v>0</v>
      </c>
      <c r="AJ218" s="493">
        <v>0</v>
      </c>
      <c r="AK218" s="493">
        <v>0</v>
      </c>
      <c r="AL218" s="493">
        <v>0</v>
      </c>
      <c r="AM218" s="493">
        <v>0</v>
      </c>
      <c r="AN218" s="493">
        <v>0</v>
      </c>
      <c r="AO218" s="493">
        <f t="shared" si="257"/>
        <v>0</v>
      </c>
      <c r="AP218" s="493">
        <f t="shared" si="258"/>
        <v>0</v>
      </c>
      <c r="AQ218" s="495">
        <f t="shared" si="268"/>
        <v>0</v>
      </c>
      <c r="AR218" s="501">
        <f>I218+AG218</f>
        <v>82403</v>
      </c>
      <c r="AS218" s="492">
        <f>J218+V218</f>
        <v>58272</v>
      </c>
      <c r="AT218" s="492">
        <f t="shared" si="278"/>
        <v>0</v>
      </c>
      <c r="AU218" s="492">
        <f t="shared" si="279"/>
        <v>19696</v>
      </c>
      <c r="AV218" s="492">
        <f t="shared" si="279"/>
        <v>1165</v>
      </c>
      <c r="AW218" s="492">
        <f>N218+AF218</f>
        <v>3270</v>
      </c>
      <c r="AX218" s="493">
        <f>O218+AQ218</f>
        <v>0.23</v>
      </c>
      <c r="AY218" s="493">
        <f t="shared" si="280"/>
        <v>0</v>
      </c>
      <c r="AZ218" s="495">
        <f t="shared" si="280"/>
        <v>0.23</v>
      </c>
    </row>
    <row r="219" spans="1:52" ht="14.1" customHeight="1" x14ac:dyDescent="0.2">
      <c r="A219" s="78">
        <v>45</v>
      </c>
      <c r="B219" s="75">
        <v>2487</v>
      </c>
      <c r="C219" s="76">
        <v>600079996</v>
      </c>
      <c r="D219" s="75">
        <v>68974639</v>
      </c>
      <c r="E219" s="77" t="s">
        <v>660</v>
      </c>
      <c r="F219" s="78"/>
      <c r="G219" s="77"/>
      <c r="H219" s="79"/>
      <c r="I219" s="80">
        <v>33483886</v>
      </c>
      <c r="J219" s="81">
        <v>24102153</v>
      </c>
      <c r="K219" s="81">
        <v>97500</v>
      </c>
      <c r="L219" s="81">
        <v>8179483</v>
      </c>
      <c r="M219" s="81">
        <v>482042</v>
      </c>
      <c r="N219" s="81">
        <v>622708</v>
      </c>
      <c r="O219" s="82">
        <v>47.863400000000006</v>
      </c>
      <c r="P219" s="82">
        <v>32.780799999999999</v>
      </c>
      <c r="Q219" s="452">
        <v>15.082600000000001</v>
      </c>
      <c r="R219" s="80">
        <f t="shared" ref="R219:AZ219" si="281">SUM(R214:R218)</f>
        <v>0</v>
      </c>
      <c r="S219" s="81">
        <f t="shared" si="281"/>
        <v>0</v>
      </c>
      <c r="T219" s="81">
        <f t="shared" si="281"/>
        <v>0</v>
      </c>
      <c r="U219" s="81">
        <f t="shared" si="281"/>
        <v>0</v>
      </c>
      <c r="V219" s="81">
        <f t="shared" si="281"/>
        <v>0</v>
      </c>
      <c r="W219" s="81">
        <f t="shared" si="281"/>
        <v>0</v>
      </c>
      <c r="X219" s="81">
        <f t="shared" si="281"/>
        <v>0</v>
      </c>
      <c r="Y219" s="81">
        <f t="shared" si="281"/>
        <v>0</v>
      </c>
      <c r="Z219" s="81">
        <f t="shared" si="281"/>
        <v>0</v>
      </c>
      <c r="AA219" s="81">
        <f t="shared" si="281"/>
        <v>0</v>
      </c>
      <c r="AB219" s="81">
        <f t="shared" si="281"/>
        <v>0</v>
      </c>
      <c r="AC219" s="81">
        <f t="shared" si="281"/>
        <v>0</v>
      </c>
      <c r="AD219" s="81">
        <f t="shared" si="281"/>
        <v>0</v>
      </c>
      <c r="AE219" s="81">
        <f t="shared" si="281"/>
        <v>0</v>
      </c>
      <c r="AF219" s="81">
        <f t="shared" si="281"/>
        <v>0</v>
      </c>
      <c r="AG219" s="81">
        <f t="shared" si="281"/>
        <v>0</v>
      </c>
      <c r="AH219" s="82">
        <f t="shared" si="281"/>
        <v>0</v>
      </c>
      <c r="AI219" s="82">
        <f t="shared" si="281"/>
        <v>0</v>
      </c>
      <c r="AJ219" s="82">
        <f t="shared" si="281"/>
        <v>0</v>
      </c>
      <c r="AK219" s="82">
        <f t="shared" ref="AK219:AL219" si="282">SUM(AK214:AK218)</f>
        <v>0</v>
      </c>
      <c r="AL219" s="82">
        <f t="shared" si="282"/>
        <v>0</v>
      </c>
      <c r="AM219" s="82">
        <f t="shared" si="281"/>
        <v>0</v>
      </c>
      <c r="AN219" s="82">
        <f t="shared" si="281"/>
        <v>0</v>
      </c>
      <c r="AO219" s="82">
        <f t="shared" si="281"/>
        <v>0</v>
      </c>
      <c r="AP219" s="82">
        <f t="shared" si="281"/>
        <v>0</v>
      </c>
      <c r="AQ219" s="83">
        <f t="shared" si="281"/>
        <v>0</v>
      </c>
      <c r="AR219" s="438">
        <f t="shared" si="281"/>
        <v>33483886</v>
      </c>
      <c r="AS219" s="81">
        <f t="shared" si="281"/>
        <v>24102153</v>
      </c>
      <c r="AT219" s="81">
        <f t="shared" si="281"/>
        <v>97500</v>
      </c>
      <c r="AU219" s="81">
        <f t="shared" si="281"/>
        <v>8179483</v>
      </c>
      <c r="AV219" s="81">
        <f t="shared" si="281"/>
        <v>482042</v>
      </c>
      <c r="AW219" s="81">
        <f t="shared" si="281"/>
        <v>622708</v>
      </c>
      <c r="AX219" s="82">
        <f t="shared" si="281"/>
        <v>47.863400000000006</v>
      </c>
      <c r="AY219" s="82">
        <f t="shared" si="281"/>
        <v>32.780799999999999</v>
      </c>
      <c r="AZ219" s="83">
        <f t="shared" si="281"/>
        <v>15.082600000000001</v>
      </c>
    </row>
    <row r="220" spans="1:52" ht="14.1" customHeight="1" x14ac:dyDescent="0.2">
      <c r="A220" s="72">
        <v>46</v>
      </c>
      <c r="B220" s="69">
        <v>2488</v>
      </c>
      <c r="C220" s="70">
        <v>600079902</v>
      </c>
      <c r="D220" s="69">
        <v>70884978</v>
      </c>
      <c r="E220" s="71" t="s">
        <v>661</v>
      </c>
      <c r="F220" s="72">
        <v>3113</v>
      </c>
      <c r="G220" s="71" t="s">
        <v>315</v>
      </c>
      <c r="H220" s="73" t="s">
        <v>278</v>
      </c>
      <c r="I220" s="494">
        <v>25038334</v>
      </c>
      <c r="J220" s="489">
        <v>18024723</v>
      </c>
      <c r="K220" s="489">
        <v>22750</v>
      </c>
      <c r="L220" s="489">
        <v>6100046</v>
      </c>
      <c r="M220" s="489">
        <v>360495</v>
      </c>
      <c r="N220" s="489">
        <v>530320</v>
      </c>
      <c r="O220" s="490">
        <v>31.867700000000003</v>
      </c>
      <c r="P220" s="490">
        <v>24.5015</v>
      </c>
      <c r="Q220" s="500">
        <v>7.366200000000001</v>
      </c>
      <c r="R220" s="502">
        <f t="shared" si="256"/>
        <v>0</v>
      </c>
      <c r="S220" s="492">
        <v>0</v>
      </c>
      <c r="T220" s="492">
        <v>0</v>
      </c>
      <c r="U220" s="492">
        <v>0</v>
      </c>
      <c r="V220" s="492">
        <f>SUM(R220:U220)</f>
        <v>0</v>
      </c>
      <c r="W220" s="492">
        <v>0</v>
      </c>
      <c r="X220" s="492">
        <v>0</v>
      </c>
      <c r="Y220" s="492">
        <v>0</v>
      </c>
      <c r="Z220" s="492">
        <f t="shared" si="262"/>
        <v>0</v>
      </c>
      <c r="AA220" s="492">
        <f t="shared" si="263"/>
        <v>0</v>
      </c>
      <c r="AB220" s="74">
        <f t="shared" si="264"/>
        <v>0</v>
      </c>
      <c r="AC220" s="74">
        <f t="shared" si="265"/>
        <v>0</v>
      </c>
      <c r="AD220" s="492">
        <v>0</v>
      </c>
      <c r="AE220" s="492">
        <v>0</v>
      </c>
      <c r="AF220" s="492">
        <f>SUM(AD220:AE220)</f>
        <v>0</v>
      </c>
      <c r="AG220" s="492">
        <f>AA220+AB220+AC220+AF220</f>
        <v>0</v>
      </c>
      <c r="AH220" s="493">
        <v>0</v>
      </c>
      <c r="AI220" s="493">
        <v>0</v>
      </c>
      <c r="AJ220" s="493">
        <v>0</v>
      </c>
      <c r="AK220" s="493">
        <v>0</v>
      </c>
      <c r="AL220" s="493">
        <v>0</v>
      </c>
      <c r="AM220" s="493">
        <v>0</v>
      </c>
      <c r="AN220" s="493">
        <v>0</v>
      </c>
      <c r="AO220" s="493">
        <f t="shared" si="257"/>
        <v>0</v>
      </c>
      <c r="AP220" s="493">
        <f t="shared" si="258"/>
        <v>0</v>
      </c>
      <c r="AQ220" s="495">
        <f t="shared" si="268"/>
        <v>0</v>
      </c>
      <c r="AR220" s="501">
        <f>I220+AG220</f>
        <v>25038334</v>
      </c>
      <c r="AS220" s="492">
        <f>J220+V220</f>
        <v>18024723</v>
      </c>
      <c r="AT220" s="492">
        <f t="shared" ref="AT220:AT224" si="283">K220+Z220</f>
        <v>22750</v>
      </c>
      <c r="AU220" s="492">
        <f t="shared" ref="AU220:AV224" si="284">L220+AB220</f>
        <v>6100046</v>
      </c>
      <c r="AV220" s="492">
        <f t="shared" si="284"/>
        <v>360495</v>
      </c>
      <c r="AW220" s="492">
        <f>N220+AF220</f>
        <v>530320</v>
      </c>
      <c r="AX220" s="493">
        <f>O220+AQ220</f>
        <v>31.867700000000003</v>
      </c>
      <c r="AY220" s="493">
        <f t="shared" ref="AY220:AZ224" si="285">P220+AO220</f>
        <v>24.5015</v>
      </c>
      <c r="AZ220" s="495">
        <f t="shared" si="285"/>
        <v>7.366200000000001</v>
      </c>
    </row>
    <row r="221" spans="1:52" ht="14.1" customHeight="1" x14ac:dyDescent="0.2">
      <c r="A221" s="72">
        <v>46</v>
      </c>
      <c r="B221" s="69">
        <v>2488</v>
      </c>
      <c r="C221" s="70">
        <v>600079902</v>
      </c>
      <c r="D221" s="69">
        <v>70884978</v>
      </c>
      <c r="E221" s="71" t="s">
        <v>661</v>
      </c>
      <c r="F221" s="72">
        <v>3113</v>
      </c>
      <c r="G221" s="84" t="s">
        <v>313</v>
      </c>
      <c r="H221" s="73" t="s">
        <v>279</v>
      </c>
      <c r="I221" s="494">
        <v>3745736</v>
      </c>
      <c r="J221" s="489">
        <v>2758274</v>
      </c>
      <c r="K221" s="489">
        <v>0</v>
      </c>
      <c r="L221" s="489">
        <v>932297</v>
      </c>
      <c r="M221" s="489">
        <v>55165</v>
      </c>
      <c r="N221" s="489">
        <v>0</v>
      </c>
      <c r="O221" s="490">
        <v>7.88</v>
      </c>
      <c r="P221" s="491">
        <v>7.88</v>
      </c>
      <c r="Q221" s="500">
        <v>0</v>
      </c>
      <c r="R221" s="502">
        <f t="shared" si="256"/>
        <v>0</v>
      </c>
      <c r="S221" s="489">
        <v>82310</v>
      </c>
      <c r="T221" s="492">
        <v>0</v>
      </c>
      <c r="U221" s="492">
        <v>0</v>
      </c>
      <c r="V221" s="492">
        <f>SUM(R221:U221)</f>
        <v>82310</v>
      </c>
      <c r="W221" s="492">
        <v>0</v>
      </c>
      <c r="X221" s="492">
        <v>0</v>
      </c>
      <c r="Y221" s="492">
        <v>0</v>
      </c>
      <c r="Z221" s="492">
        <f t="shared" si="262"/>
        <v>0</v>
      </c>
      <c r="AA221" s="492">
        <f t="shared" si="263"/>
        <v>82310</v>
      </c>
      <c r="AB221" s="74">
        <f t="shared" si="264"/>
        <v>27821</v>
      </c>
      <c r="AC221" s="74">
        <f t="shared" si="265"/>
        <v>1646</v>
      </c>
      <c r="AD221" s="492">
        <v>1250</v>
      </c>
      <c r="AE221" s="492">
        <v>0</v>
      </c>
      <c r="AF221" s="492">
        <f>SUM(AD221:AE221)</f>
        <v>1250</v>
      </c>
      <c r="AG221" s="492">
        <f>AA221+AB221+AC221+AF221</f>
        <v>113027</v>
      </c>
      <c r="AH221" s="493">
        <v>0</v>
      </c>
      <c r="AI221" s="493">
        <v>0</v>
      </c>
      <c r="AJ221" s="493">
        <v>0.22</v>
      </c>
      <c r="AK221" s="493">
        <v>0</v>
      </c>
      <c r="AL221" s="493">
        <v>0</v>
      </c>
      <c r="AM221" s="493">
        <v>0</v>
      </c>
      <c r="AN221" s="493">
        <v>0</v>
      </c>
      <c r="AO221" s="493">
        <f t="shared" si="257"/>
        <v>0.22</v>
      </c>
      <c r="AP221" s="493">
        <f t="shared" si="258"/>
        <v>0</v>
      </c>
      <c r="AQ221" s="495">
        <f t="shared" si="268"/>
        <v>0.22</v>
      </c>
      <c r="AR221" s="501">
        <f>I221+AG221</f>
        <v>3858763</v>
      </c>
      <c r="AS221" s="492">
        <f>J221+V221</f>
        <v>2840584</v>
      </c>
      <c r="AT221" s="492">
        <f t="shared" si="283"/>
        <v>0</v>
      </c>
      <c r="AU221" s="492">
        <f t="shared" si="284"/>
        <v>960118</v>
      </c>
      <c r="AV221" s="492">
        <f t="shared" si="284"/>
        <v>56811</v>
      </c>
      <c r="AW221" s="492">
        <f>N221+AF221</f>
        <v>1250</v>
      </c>
      <c r="AX221" s="493">
        <f>O221+AQ221</f>
        <v>8.1</v>
      </c>
      <c r="AY221" s="493">
        <f t="shared" si="285"/>
        <v>8.1</v>
      </c>
      <c r="AZ221" s="495">
        <f t="shared" si="285"/>
        <v>0</v>
      </c>
    </row>
    <row r="222" spans="1:52" ht="14.1" customHeight="1" x14ac:dyDescent="0.2">
      <c r="A222" s="72">
        <v>46</v>
      </c>
      <c r="B222" s="69">
        <v>2488</v>
      </c>
      <c r="C222" s="70">
        <v>600079902</v>
      </c>
      <c r="D222" s="69">
        <v>70884978</v>
      </c>
      <c r="E222" s="71" t="s">
        <v>661</v>
      </c>
      <c r="F222" s="72">
        <v>3141</v>
      </c>
      <c r="G222" s="71" t="s">
        <v>316</v>
      </c>
      <c r="H222" s="73" t="s">
        <v>279</v>
      </c>
      <c r="I222" s="494">
        <v>2079602</v>
      </c>
      <c r="J222" s="489">
        <v>1515441</v>
      </c>
      <c r="K222" s="489">
        <v>3250</v>
      </c>
      <c r="L222" s="489">
        <v>513318</v>
      </c>
      <c r="M222" s="489">
        <v>30309</v>
      </c>
      <c r="N222" s="489">
        <v>17284</v>
      </c>
      <c r="O222" s="490">
        <v>4.78</v>
      </c>
      <c r="P222" s="491">
        <v>0</v>
      </c>
      <c r="Q222" s="500">
        <v>4.78</v>
      </c>
      <c r="R222" s="502">
        <f t="shared" si="256"/>
        <v>0</v>
      </c>
      <c r="S222" s="492">
        <v>0</v>
      </c>
      <c r="T222" s="492">
        <v>0</v>
      </c>
      <c r="U222" s="492">
        <v>0</v>
      </c>
      <c r="V222" s="492">
        <f>SUM(R222:U222)</f>
        <v>0</v>
      </c>
      <c r="W222" s="492">
        <v>0</v>
      </c>
      <c r="X222" s="492">
        <v>0</v>
      </c>
      <c r="Y222" s="492">
        <v>0</v>
      </c>
      <c r="Z222" s="492">
        <f t="shared" si="262"/>
        <v>0</v>
      </c>
      <c r="AA222" s="492">
        <f t="shared" si="263"/>
        <v>0</v>
      </c>
      <c r="AB222" s="74">
        <f t="shared" si="264"/>
        <v>0</v>
      </c>
      <c r="AC222" s="74">
        <f t="shared" si="265"/>
        <v>0</v>
      </c>
      <c r="AD222" s="492">
        <v>0</v>
      </c>
      <c r="AE222" s="492">
        <v>0</v>
      </c>
      <c r="AF222" s="492">
        <f>SUM(AD222:AE222)</f>
        <v>0</v>
      </c>
      <c r="AG222" s="492">
        <f>AA222+AB222+AC222+AF222</f>
        <v>0</v>
      </c>
      <c r="AH222" s="493">
        <v>0</v>
      </c>
      <c r="AI222" s="493">
        <v>0</v>
      </c>
      <c r="AJ222" s="493">
        <v>0</v>
      </c>
      <c r="AK222" s="493">
        <v>0</v>
      </c>
      <c r="AL222" s="493">
        <v>0</v>
      </c>
      <c r="AM222" s="493">
        <v>0</v>
      </c>
      <c r="AN222" s="493">
        <v>0</v>
      </c>
      <c r="AO222" s="493">
        <f t="shared" si="257"/>
        <v>0</v>
      </c>
      <c r="AP222" s="493">
        <f t="shared" si="258"/>
        <v>0</v>
      </c>
      <c r="AQ222" s="495">
        <f t="shared" si="268"/>
        <v>0</v>
      </c>
      <c r="AR222" s="501">
        <f>I222+AG222</f>
        <v>2079602</v>
      </c>
      <c r="AS222" s="492">
        <f>J222+V222</f>
        <v>1515441</v>
      </c>
      <c r="AT222" s="492">
        <f t="shared" si="283"/>
        <v>3250</v>
      </c>
      <c r="AU222" s="492">
        <f t="shared" si="284"/>
        <v>513318</v>
      </c>
      <c r="AV222" s="492">
        <f t="shared" si="284"/>
        <v>30309</v>
      </c>
      <c r="AW222" s="492">
        <f>N222+AF222</f>
        <v>17284</v>
      </c>
      <c r="AX222" s="493">
        <f>O222+AQ222</f>
        <v>4.78</v>
      </c>
      <c r="AY222" s="493">
        <f t="shared" si="285"/>
        <v>0</v>
      </c>
      <c r="AZ222" s="495">
        <f t="shared" si="285"/>
        <v>4.78</v>
      </c>
    </row>
    <row r="223" spans="1:52" ht="14.1" customHeight="1" x14ac:dyDescent="0.2">
      <c r="A223" s="72">
        <v>46</v>
      </c>
      <c r="B223" s="69">
        <v>2488</v>
      </c>
      <c r="C223" s="70">
        <v>600079902</v>
      </c>
      <c r="D223" s="69">
        <v>70884978</v>
      </c>
      <c r="E223" s="71" t="s">
        <v>661</v>
      </c>
      <c r="F223" s="72">
        <v>3143</v>
      </c>
      <c r="G223" s="84" t="s">
        <v>629</v>
      </c>
      <c r="H223" s="73" t="s">
        <v>278</v>
      </c>
      <c r="I223" s="494">
        <v>2076328</v>
      </c>
      <c r="J223" s="489">
        <v>1522556</v>
      </c>
      <c r="K223" s="489">
        <v>6500</v>
      </c>
      <c r="L223" s="489">
        <v>516821</v>
      </c>
      <c r="M223" s="489">
        <v>30451</v>
      </c>
      <c r="N223" s="489">
        <v>0</v>
      </c>
      <c r="O223" s="490">
        <v>3.2145999999999999</v>
      </c>
      <c r="P223" s="490">
        <v>3.2145999999999999</v>
      </c>
      <c r="Q223" s="500">
        <v>0</v>
      </c>
      <c r="R223" s="502">
        <f t="shared" si="256"/>
        <v>0</v>
      </c>
      <c r="S223" s="492">
        <v>0</v>
      </c>
      <c r="T223" s="492">
        <v>0</v>
      </c>
      <c r="U223" s="492">
        <v>0</v>
      </c>
      <c r="V223" s="492">
        <f>SUM(R223:U223)</f>
        <v>0</v>
      </c>
      <c r="W223" s="492">
        <v>0</v>
      </c>
      <c r="X223" s="492">
        <v>0</v>
      </c>
      <c r="Y223" s="492">
        <v>0</v>
      </c>
      <c r="Z223" s="492">
        <f t="shared" si="262"/>
        <v>0</v>
      </c>
      <c r="AA223" s="492">
        <f t="shared" si="263"/>
        <v>0</v>
      </c>
      <c r="AB223" s="74">
        <f t="shared" si="264"/>
        <v>0</v>
      </c>
      <c r="AC223" s="74">
        <f t="shared" si="265"/>
        <v>0</v>
      </c>
      <c r="AD223" s="492">
        <v>0</v>
      </c>
      <c r="AE223" s="492">
        <v>0</v>
      </c>
      <c r="AF223" s="492">
        <f>SUM(AD223:AE223)</f>
        <v>0</v>
      </c>
      <c r="AG223" s="492">
        <f>AA223+AB223+AC223+AF223</f>
        <v>0</v>
      </c>
      <c r="AH223" s="493">
        <v>0</v>
      </c>
      <c r="AI223" s="493">
        <v>0</v>
      </c>
      <c r="AJ223" s="493">
        <v>0</v>
      </c>
      <c r="AK223" s="493">
        <v>0</v>
      </c>
      <c r="AL223" s="493">
        <v>0</v>
      </c>
      <c r="AM223" s="493">
        <v>0</v>
      </c>
      <c r="AN223" s="493">
        <v>0</v>
      </c>
      <c r="AO223" s="493">
        <f t="shared" si="257"/>
        <v>0</v>
      </c>
      <c r="AP223" s="493">
        <f t="shared" si="258"/>
        <v>0</v>
      </c>
      <c r="AQ223" s="495">
        <f t="shared" si="268"/>
        <v>0</v>
      </c>
      <c r="AR223" s="501">
        <f>I223+AG223</f>
        <v>2076328</v>
      </c>
      <c r="AS223" s="492">
        <f>J223+V223</f>
        <v>1522556</v>
      </c>
      <c r="AT223" s="492">
        <f t="shared" si="283"/>
        <v>6500</v>
      </c>
      <c r="AU223" s="492">
        <f t="shared" si="284"/>
        <v>516821</v>
      </c>
      <c r="AV223" s="492">
        <f t="shared" si="284"/>
        <v>30451</v>
      </c>
      <c r="AW223" s="492">
        <f>N223+AF223</f>
        <v>0</v>
      </c>
      <c r="AX223" s="493">
        <f>O223+AQ223</f>
        <v>3.2145999999999999</v>
      </c>
      <c r="AY223" s="493">
        <f t="shared" si="285"/>
        <v>3.2145999999999999</v>
      </c>
      <c r="AZ223" s="495">
        <f t="shared" si="285"/>
        <v>0</v>
      </c>
    </row>
    <row r="224" spans="1:52" ht="14.1" customHeight="1" x14ac:dyDescent="0.2">
      <c r="A224" s="72">
        <v>46</v>
      </c>
      <c r="B224" s="69">
        <v>2488</v>
      </c>
      <c r="C224" s="70">
        <v>600079902</v>
      </c>
      <c r="D224" s="69">
        <v>70884978</v>
      </c>
      <c r="E224" s="71" t="s">
        <v>661</v>
      </c>
      <c r="F224" s="72">
        <v>3143</v>
      </c>
      <c r="G224" s="84" t="s">
        <v>630</v>
      </c>
      <c r="H224" s="73" t="s">
        <v>279</v>
      </c>
      <c r="I224" s="494">
        <v>71064</v>
      </c>
      <c r="J224" s="489">
        <v>50253</v>
      </c>
      <c r="K224" s="489">
        <v>0</v>
      </c>
      <c r="L224" s="489">
        <v>16986</v>
      </c>
      <c r="M224" s="489">
        <v>1005</v>
      </c>
      <c r="N224" s="489">
        <v>2820</v>
      </c>
      <c r="O224" s="490">
        <v>0.2</v>
      </c>
      <c r="P224" s="491">
        <v>0</v>
      </c>
      <c r="Q224" s="500">
        <v>0.2</v>
      </c>
      <c r="R224" s="502">
        <f t="shared" si="256"/>
        <v>0</v>
      </c>
      <c r="S224" s="492">
        <v>0</v>
      </c>
      <c r="T224" s="492">
        <v>0</v>
      </c>
      <c r="U224" s="492">
        <v>0</v>
      </c>
      <c r="V224" s="492">
        <f>SUM(R224:U224)</f>
        <v>0</v>
      </c>
      <c r="W224" s="492">
        <v>0</v>
      </c>
      <c r="X224" s="492">
        <v>0</v>
      </c>
      <c r="Y224" s="492">
        <v>0</v>
      </c>
      <c r="Z224" s="492">
        <f t="shared" si="262"/>
        <v>0</v>
      </c>
      <c r="AA224" s="492">
        <f t="shared" si="263"/>
        <v>0</v>
      </c>
      <c r="AB224" s="74">
        <f t="shared" si="264"/>
        <v>0</v>
      </c>
      <c r="AC224" s="74">
        <f t="shared" si="265"/>
        <v>0</v>
      </c>
      <c r="AD224" s="492">
        <v>0</v>
      </c>
      <c r="AE224" s="492">
        <v>0</v>
      </c>
      <c r="AF224" s="492">
        <f>SUM(AD224:AE224)</f>
        <v>0</v>
      </c>
      <c r="AG224" s="492">
        <f>AA224+AB224+AC224+AF224</f>
        <v>0</v>
      </c>
      <c r="AH224" s="493">
        <v>0</v>
      </c>
      <c r="AI224" s="493">
        <v>0</v>
      </c>
      <c r="AJ224" s="493">
        <v>0</v>
      </c>
      <c r="AK224" s="493">
        <v>0</v>
      </c>
      <c r="AL224" s="493">
        <v>0</v>
      </c>
      <c r="AM224" s="493">
        <v>0</v>
      </c>
      <c r="AN224" s="493">
        <v>0</v>
      </c>
      <c r="AO224" s="493">
        <f t="shared" si="257"/>
        <v>0</v>
      </c>
      <c r="AP224" s="493">
        <f t="shared" si="258"/>
        <v>0</v>
      </c>
      <c r="AQ224" s="495">
        <f t="shared" si="268"/>
        <v>0</v>
      </c>
      <c r="AR224" s="501">
        <f>I224+AG224</f>
        <v>71064</v>
      </c>
      <c r="AS224" s="492">
        <f>J224+V224</f>
        <v>50253</v>
      </c>
      <c r="AT224" s="492">
        <f t="shared" si="283"/>
        <v>0</v>
      </c>
      <c r="AU224" s="492">
        <f t="shared" si="284"/>
        <v>16986</v>
      </c>
      <c r="AV224" s="492">
        <f t="shared" si="284"/>
        <v>1005</v>
      </c>
      <c r="AW224" s="492">
        <f>N224+AF224</f>
        <v>2820</v>
      </c>
      <c r="AX224" s="493">
        <f>O224+AQ224</f>
        <v>0.2</v>
      </c>
      <c r="AY224" s="493">
        <f t="shared" si="285"/>
        <v>0</v>
      </c>
      <c r="AZ224" s="495">
        <f t="shared" si="285"/>
        <v>0.2</v>
      </c>
    </row>
    <row r="225" spans="1:52" ht="14.1" customHeight="1" x14ac:dyDescent="0.2">
      <c r="A225" s="78">
        <v>46</v>
      </c>
      <c r="B225" s="75">
        <v>2488</v>
      </c>
      <c r="C225" s="76">
        <v>600079902</v>
      </c>
      <c r="D225" s="75">
        <v>70884978</v>
      </c>
      <c r="E225" s="77" t="s">
        <v>662</v>
      </c>
      <c r="F225" s="78"/>
      <c r="G225" s="77"/>
      <c r="H225" s="79"/>
      <c r="I225" s="80">
        <v>33011064</v>
      </c>
      <c r="J225" s="81">
        <v>23871247</v>
      </c>
      <c r="K225" s="81">
        <v>32500</v>
      </c>
      <c r="L225" s="81">
        <v>8079468</v>
      </c>
      <c r="M225" s="81">
        <v>477425</v>
      </c>
      <c r="N225" s="81">
        <v>550424</v>
      </c>
      <c r="O225" s="82">
        <v>47.942300000000003</v>
      </c>
      <c r="P225" s="82">
        <v>35.5961</v>
      </c>
      <c r="Q225" s="452">
        <v>12.3462</v>
      </c>
      <c r="R225" s="80">
        <f t="shared" ref="R225:AZ225" si="286">SUM(R220:R224)</f>
        <v>0</v>
      </c>
      <c r="S225" s="81">
        <f t="shared" si="286"/>
        <v>82310</v>
      </c>
      <c r="T225" s="81">
        <f t="shared" si="286"/>
        <v>0</v>
      </c>
      <c r="U225" s="81">
        <f t="shared" si="286"/>
        <v>0</v>
      </c>
      <c r="V225" s="81">
        <f t="shared" si="286"/>
        <v>82310</v>
      </c>
      <c r="W225" s="81">
        <f t="shared" si="286"/>
        <v>0</v>
      </c>
      <c r="X225" s="81">
        <f t="shared" si="286"/>
        <v>0</v>
      </c>
      <c r="Y225" s="81">
        <f t="shared" si="286"/>
        <v>0</v>
      </c>
      <c r="Z225" s="81">
        <f t="shared" si="286"/>
        <v>0</v>
      </c>
      <c r="AA225" s="81">
        <f t="shared" si="286"/>
        <v>82310</v>
      </c>
      <c r="AB225" s="81">
        <f t="shared" si="286"/>
        <v>27821</v>
      </c>
      <c r="AC225" s="81">
        <f t="shared" si="286"/>
        <v>1646</v>
      </c>
      <c r="AD225" s="81">
        <f t="shared" si="286"/>
        <v>1250</v>
      </c>
      <c r="AE225" s="81">
        <f t="shared" si="286"/>
        <v>0</v>
      </c>
      <c r="AF225" s="81">
        <f t="shared" si="286"/>
        <v>1250</v>
      </c>
      <c r="AG225" s="81">
        <f t="shared" si="286"/>
        <v>113027</v>
      </c>
      <c r="AH225" s="82">
        <f t="shared" si="286"/>
        <v>0</v>
      </c>
      <c r="AI225" s="82">
        <f t="shared" si="286"/>
        <v>0</v>
      </c>
      <c r="AJ225" s="82">
        <f t="shared" si="286"/>
        <v>0.22</v>
      </c>
      <c r="AK225" s="82">
        <f t="shared" ref="AK225:AL225" si="287">SUM(AK220:AK224)</f>
        <v>0</v>
      </c>
      <c r="AL225" s="82">
        <f t="shared" si="287"/>
        <v>0</v>
      </c>
      <c r="AM225" s="82">
        <f t="shared" si="286"/>
        <v>0</v>
      </c>
      <c r="AN225" s="82">
        <f t="shared" si="286"/>
        <v>0</v>
      </c>
      <c r="AO225" s="82">
        <f t="shared" si="286"/>
        <v>0.22</v>
      </c>
      <c r="AP225" s="82">
        <f t="shared" si="286"/>
        <v>0</v>
      </c>
      <c r="AQ225" s="83">
        <f t="shared" si="286"/>
        <v>0.22</v>
      </c>
      <c r="AR225" s="438">
        <f t="shared" si="286"/>
        <v>33124091</v>
      </c>
      <c r="AS225" s="81">
        <f t="shared" si="286"/>
        <v>23953557</v>
      </c>
      <c r="AT225" s="81">
        <f t="shared" si="286"/>
        <v>32500</v>
      </c>
      <c r="AU225" s="81">
        <f t="shared" si="286"/>
        <v>8107289</v>
      </c>
      <c r="AV225" s="81">
        <f t="shared" si="286"/>
        <v>479071</v>
      </c>
      <c r="AW225" s="81">
        <f t="shared" si="286"/>
        <v>551674</v>
      </c>
      <c r="AX225" s="82">
        <f t="shared" si="286"/>
        <v>48.162300000000002</v>
      </c>
      <c r="AY225" s="82">
        <f t="shared" si="286"/>
        <v>35.816099999999999</v>
      </c>
      <c r="AZ225" s="83">
        <f t="shared" si="286"/>
        <v>12.3462</v>
      </c>
    </row>
    <row r="226" spans="1:52" ht="14.1" customHeight="1" x14ac:dyDescent="0.2">
      <c r="A226" s="72">
        <v>47</v>
      </c>
      <c r="B226" s="69">
        <v>2472</v>
      </c>
      <c r="C226" s="70">
        <v>600080277</v>
      </c>
      <c r="D226" s="69">
        <v>72743131</v>
      </c>
      <c r="E226" s="71" t="s">
        <v>663</v>
      </c>
      <c r="F226" s="72">
        <v>3113</v>
      </c>
      <c r="G226" s="71" t="s">
        <v>315</v>
      </c>
      <c r="H226" s="73" t="s">
        <v>278</v>
      </c>
      <c r="I226" s="494">
        <v>28852316</v>
      </c>
      <c r="J226" s="489">
        <v>20679147</v>
      </c>
      <c r="K226" s="489">
        <v>185250</v>
      </c>
      <c r="L226" s="489">
        <v>7052166</v>
      </c>
      <c r="M226" s="489">
        <v>413583</v>
      </c>
      <c r="N226" s="489">
        <v>522170</v>
      </c>
      <c r="O226" s="490">
        <v>37.391199999999998</v>
      </c>
      <c r="P226" s="490">
        <v>28.671799999999998</v>
      </c>
      <c r="Q226" s="500">
        <v>8.7194000000000003</v>
      </c>
      <c r="R226" s="502">
        <f t="shared" si="256"/>
        <v>0</v>
      </c>
      <c r="S226" s="492">
        <v>0</v>
      </c>
      <c r="T226" s="492">
        <v>0</v>
      </c>
      <c r="U226" s="492">
        <v>0</v>
      </c>
      <c r="V226" s="492">
        <f>SUM(R226:U226)</f>
        <v>0</v>
      </c>
      <c r="W226" s="492">
        <v>0</v>
      </c>
      <c r="X226" s="492">
        <v>0</v>
      </c>
      <c r="Y226" s="492">
        <v>0</v>
      </c>
      <c r="Z226" s="492">
        <f t="shared" si="262"/>
        <v>0</v>
      </c>
      <c r="AA226" s="492">
        <f t="shared" si="263"/>
        <v>0</v>
      </c>
      <c r="AB226" s="74">
        <f t="shared" si="264"/>
        <v>0</v>
      </c>
      <c r="AC226" s="74">
        <f t="shared" si="265"/>
        <v>0</v>
      </c>
      <c r="AD226" s="492">
        <v>0</v>
      </c>
      <c r="AE226" s="492">
        <v>0</v>
      </c>
      <c r="AF226" s="492">
        <f>SUM(AD226:AE226)</f>
        <v>0</v>
      </c>
      <c r="AG226" s="492">
        <f>AA226+AB226+AC226+AF226</f>
        <v>0</v>
      </c>
      <c r="AH226" s="493">
        <v>0</v>
      </c>
      <c r="AI226" s="493">
        <v>0</v>
      </c>
      <c r="AJ226" s="493">
        <v>0</v>
      </c>
      <c r="AK226" s="493">
        <v>0</v>
      </c>
      <c r="AL226" s="493">
        <v>0</v>
      </c>
      <c r="AM226" s="493">
        <v>0</v>
      </c>
      <c r="AN226" s="493">
        <v>0</v>
      </c>
      <c r="AO226" s="493">
        <f t="shared" si="257"/>
        <v>0</v>
      </c>
      <c r="AP226" s="493">
        <f t="shared" si="258"/>
        <v>0</v>
      </c>
      <c r="AQ226" s="495">
        <f t="shared" si="268"/>
        <v>0</v>
      </c>
      <c r="AR226" s="501">
        <f>I226+AG226</f>
        <v>28852316</v>
      </c>
      <c r="AS226" s="492">
        <f>J226+V226</f>
        <v>20679147</v>
      </c>
      <c r="AT226" s="492">
        <f t="shared" ref="AT226:AT230" si="288">K226+Z226</f>
        <v>185250</v>
      </c>
      <c r="AU226" s="492">
        <f t="shared" ref="AU226:AV230" si="289">L226+AB226</f>
        <v>7052166</v>
      </c>
      <c r="AV226" s="492">
        <f t="shared" si="289"/>
        <v>413583</v>
      </c>
      <c r="AW226" s="492">
        <f>N226+AF226</f>
        <v>522170</v>
      </c>
      <c r="AX226" s="493">
        <f>O226+AQ226</f>
        <v>37.391199999999998</v>
      </c>
      <c r="AY226" s="493">
        <f t="shared" ref="AY226:AZ230" si="290">P226+AO226</f>
        <v>28.671799999999998</v>
      </c>
      <c r="AZ226" s="495">
        <f t="shared" si="290"/>
        <v>8.7194000000000003</v>
      </c>
    </row>
    <row r="227" spans="1:52" ht="14.1" customHeight="1" x14ac:dyDescent="0.2">
      <c r="A227" s="72">
        <v>47</v>
      </c>
      <c r="B227" s="69">
        <v>2472</v>
      </c>
      <c r="C227" s="70">
        <v>600080277</v>
      </c>
      <c r="D227" s="69">
        <v>72743131</v>
      </c>
      <c r="E227" s="71" t="s">
        <v>663</v>
      </c>
      <c r="F227" s="72">
        <v>3113</v>
      </c>
      <c r="G227" s="84" t="s">
        <v>313</v>
      </c>
      <c r="H227" s="73" t="s">
        <v>279</v>
      </c>
      <c r="I227" s="494">
        <v>4043916</v>
      </c>
      <c r="J227" s="489">
        <v>2977847</v>
      </c>
      <c r="K227" s="489">
        <v>0</v>
      </c>
      <c r="L227" s="489">
        <v>1006512</v>
      </c>
      <c r="M227" s="489">
        <v>59557</v>
      </c>
      <c r="N227" s="489">
        <v>0</v>
      </c>
      <c r="O227" s="490">
        <v>8.23</v>
      </c>
      <c r="P227" s="491">
        <v>8.23</v>
      </c>
      <c r="Q227" s="500">
        <v>0</v>
      </c>
      <c r="R227" s="502">
        <f t="shared" si="256"/>
        <v>0</v>
      </c>
      <c r="S227" s="489">
        <v>0</v>
      </c>
      <c r="T227" s="492">
        <v>0</v>
      </c>
      <c r="U227" s="492">
        <v>0</v>
      </c>
      <c r="V227" s="492">
        <f>SUM(R227:U227)</f>
        <v>0</v>
      </c>
      <c r="W227" s="492">
        <v>0</v>
      </c>
      <c r="X227" s="492">
        <v>0</v>
      </c>
      <c r="Y227" s="492">
        <v>0</v>
      </c>
      <c r="Z227" s="492">
        <f t="shared" si="262"/>
        <v>0</v>
      </c>
      <c r="AA227" s="492">
        <f t="shared" si="263"/>
        <v>0</v>
      </c>
      <c r="AB227" s="74">
        <f t="shared" si="264"/>
        <v>0</v>
      </c>
      <c r="AC227" s="74">
        <f t="shared" si="265"/>
        <v>0</v>
      </c>
      <c r="AD227" s="492">
        <v>0</v>
      </c>
      <c r="AE227" s="492">
        <v>0</v>
      </c>
      <c r="AF227" s="492">
        <f>SUM(AD227:AE227)</f>
        <v>0</v>
      </c>
      <c r="AG227" s="492">
        <f>AA227+AB227+AC227+AF227</f>
        <v>0</v>
      </c>
      <c r="AH227" s="493">
        <v>0</v>
      </c>
      <c r="AI227" s="493">
        <v>0</v>
      </c>
      <c r="AJ227" s="493">
        <v>0</v>
      </c>
      <c r="AK227" s="493">
        <v>0</v>
      </c>
      <c r="AL227" s="493">
        <v>0</v>
      </c>
      <c r="AM227" s="493">
        <v>0</v>
      </c>
      <c r="AN227" s="493">
        <v>0</v>
      </c>
      <c r="AO227" s="493">
        <f t="shared" si="257"/>
        <v>0</v>
      </c>
      <c r="AP227" s="493">
        <f t="shared" si="258"/>
        <v>0</v>
      </c>
      <c r="AQ227" s="495">
        <f t="shared" si="268"/>
        <v>0</v>
      </c>
      <c r="AR227" s="501">
        <f>I227+AG227</f>
        <v>4043916</v>
      </c>
      <c r="AS227" s="492">
        <f>J227+V227</f>
        <v>2977847</v>
      </c>
      <c r="AT227" s="492">
        <f t="shared" si="288"/>
        <v>0</v>
      </c>
      <c r="AU227" s="492">
        <f t="shared" si="289"/>
        <v>1006512</v>
      </c>
      <c r="AV227" s="492">
        <f t="shared" si="289"/>
        <v>59557</v>
      </c>
      <c r="AW227" s="492">
        <f>N227+AF227</f>
        <v>0</v>
      </c>
      <c r="AX227" s="493">
        <f>O227+AQ227</f>
        <v>8.23</v>
      </c>
      <c r="AY227" s="493">
        <f t="shared" si="290"/>
        <v>8.23</v>
      </c>
      <c r="AZ227" s="495">
        <f t="shared" si="290"/>
        <v>0</v>
      </c>
    </row>
    <row r="228" spans="1:52" ht="14.1" customHeight="1" x14ac:dyDescent="0.2">
      <c r="A228" s="72">
        <v>47</v>
      </c>
      <c r="B228" s="69">
        <v>2472</v>
      </c>
      <c r="C228" s="70">
        <v>600080277</v>
      </c>
      <c r="D228" s="69">
        <v>72743131</v>
      </c>
      <c r="E228" s="71" t="s">
        <v>663</v>
      </c>
      <c r="F228" s="72">
        <v>3141</v>
      </c>
      <c r="G228" s="71" t="s">
        <v>316</v>
      </c>
      <c r="H228" s="73" t="s">
        <v>279</v>
      </c>
      <c r="I228" s="494">
        <v>1922069</v>
      </c>
      <c r="J228" s="489">
        <v>1397431</v>
      </c>
      <c r="K228" s="489">
        <v>6500</v>
      </c>
      <c r="L228" s="489">
        <v>474529</v>
      </c>
      <c r="M228" s="489">
        <v>27949</v>
      </c>
      <c r="N228" s="489">
        <v>15660</v>
      </c>
      <c r="O228" s="490">
        <v>4.42</v>
      </c>
      <c r="P228" s="491">
        <v>0</v>
      </c>
      <c r="Q228" s="500">
        <v>4.42</v>
      </c>
      <c r="R228" s="502">
        <f t="shared" si="256"/>
        <v>0</v>
      </c>
      <c r="S228" s="492">
        <v>0</v>
      </c>
      <c r="T228" s="492">
        <v>0</v>
      </c>
      <c r="U228" s="492">
        <v>0</v>
      </c>
      <c r="V228" s="492">
        <f>SUM(R228:U228)</f>
        <v>0</v>
      </c>
      <c r="W228" s="492">
        <v>0</v>
      </c>
      <c r="X228" s="492">
        <v>0</v>
      </c>
      <c r="Y228" s="492">
        <v>0</v>
      </c>
      <c r="Z228" s="492">
        <f t="shared" si="262"/>
        <v>0</v>
      </c>
      <c r="AA228" s="492">
        <f t="shared" si="263"/>
        <v>0</v>
      </c>
      <c r="AB228" s="74">
        <f t="shared" si="264"/>
        <v>0</v>
      </c>
      <c r="AC228" s="74">
        <f t="shared" si="265"/>
        <v>0</v>
      </c>
      <c r="AD228" s="492">
        <v>0</v>
      </c>
      <c r="AE228" s="492">
        <v>0</v>
      </c>
      <c r="AF228" s="492">
        <f>SUM(AD228:AE228)</f>
        <v>0</v>
      </c>
      <c r="AG228" s="492">
        <f>AA228+AB228+AC228+AF228</f>
        <v>0</v>
      </c>
      <c r="AH228" s="493">
        <v>0</v>
      </c>
      <c r="AI228" s="493">
        <v>0</v>
      </c>
      <c r="AJ228" s="493">
        <v>0</v>
      </c>
      <c r="AK228" s="493">
        <v>0</v>
      </c>
      <c r="AL228" s="493">
        <v>0</v>
      </c>
      <c r="AM228" s="493">
        <v>0</v>
      </c>
      <c r="AN228" s="493">
        <v>0</v>
      </c>
      <c r="AO228" s="493">
        <f t="shared" si="257"/>
        <v>0</v>
      </c>
      <c r="AP228" s="493">
        <f t="shared" si="258"/>
        <v>0</v>
      </c>
      <c r="AQ228" s="495">
        <f t="shared" si="268"/>
        <v>0</v>
      </c>
      <c r="AR228" s="501">
        <f>I228+AG228</f>
        <v>1922069</v>
      </c>
      <c r="AS228" s="492">
        <f>J228+V228</f>
        <v>1397431</v>
      </c>
      <c r="AT228" s="492">
        <f t="shared" si="288"/>
        <v>6500</v>
      </c>
      <c r="AU228" s="492">
        <f t="shared" si="289"/>
        <v>474529</v>
      </c>
      <c r="AV228" s="492">
        <f t="shared" si="289"/>
        <v>27949</v>
      </c>
      <c r="AW228" s="492">
        <f>N228+AF228</f>
        <v>15660</v>
      </c>
      <c r="AX228" s="493">
        <f>O228+AQ228</f>
        <v>4.42</v>
      </c>
      <c r="AY228" s="493">
        <f t="shared" si="290"/>
        <v>0</v>
      </c>
      <c r="AZ228" s="495">
        <f t="shared" si="290"/>
        <v>4.42</v>
      </c>
    </row>
    <row r="229" spans="1:52" ht="14.1" customHeight="1" x14ac:dyDescent="0.2">
      <c r="A229" s="72">
        <v>47</v>
      </c>
      <c r="B229" s="69">
        <v>2472</v>
      </c>
      <c r="C229" s="70">
        <v>600080277</v>
      </c>
      <c r="D229" s="69">
        <v>72743131</v>
      </c>
      <c r="E229" s="71" t="s">
        <v>663</v>
      </c>
      <c r="F229" s="72">
        <v>3143</v>
      </c>
      <c r="G229" s="84" t="s">
        <v>629</v>
      </c>
      <c r="H229" s="73" t="s">
        <v>278</v>
      </c>
      <c r="I229" s="494">
        <v>3036860</v>
      </c>
      <c r="J229" s="489">
        <v>2229870</v>
      </c>
      <c r="K229" s="489">
        <v>6500</v>
      </c>
      <c r="L229" s="489">
        <v>755893</v>
      </c>
      <c r="M229" s="489">
        <v>44597</v>
      </c>
      <c r="N229" s="489">
        <v>0</v>
      </c>
      <c r="O229" s="490">
        <v>4.4286000000000003</v>
      </c>
      <c r="P229" s="490">
        <v>4.4286000000000003</v>
      </c>
      <c r="Q229" s="500">
        <v>0</v>
      </c>
      <c r="R229" s="502">
        <f t="shared" si="256"/>
        <v>0</v>
      </c>
      <c r="S229" s="492">
        <v>0</v>
      </c>
      <c r="T229" s="492">
        <v>0</v>
      </c>
      <c r="U229" s="492">
        <v>0</v>
      </c>
      <c r="V229" s="492">
        <f>SUM(R229:U229)</f>
        <v>0</v>
      </c>
      <c r="W229" s="492">
        <v>0</v>
      </c>
      <c r="X229" s="492">
        <v>0</v>
      </c>
      <c r="Y229" s="492">
        <v>0</v>
      </c>
      <c r="Z229" s="492">
        <f t="shared" si="262"/>
        <v>0</v>
      </c>
      <c r="AA229" s="492">
        <f t="shared" si="263"/>
        <v>0</v>
      </c>
      <c r="AB229" s="74">
        <f t="shared" si="264"/>
        <v>0</v>
      </c>
      <c r="AC229" s="74">
        <f t="shared" si="265"/>
        <v>0</v>
      </c>
      <c r="AD229" s="492">
        <v>0</v>
      </c>
      <c r="AE229" s="492">
        <v>0</v>
      </c>
      <c r="AF229" s="492">
        <f>SUM(AD229:AE229)</f>
        <v>0</v>
      </c>
      <c r="AG229" s="492">
        <f>AA229+AB229+AC229+AF229</f>
        <v>0</v>
      </c>
      <c r="AH229" s="493">
        <v>0</v>
      </c>
      <c r="AI229" s="493">
        <v>0</v>
      </c>
      <c r="AJ229" s="493">
        <v>0</v>
      </c>
      <c r="AK229" s="493">
        <v>0</v>
      </c>
      <c r="AL229" s="493">
        <v>0</v>
      </c>
      <c r="AM229" s="493">
        <v>0</v>
      </c>
      <c r="AN229" s="493">
        <v>0</v>
      </c>
      <c r="AO229" s="493">
        <f t="shared" si="257"/>
        <v>0</v>
      </c>
      <c r="AP229" s="493">
        <f t="shared" si="258"/>
        <v>0</v>
      </c>
      <c r="AQ229" s="495">
        <f t="shared" si="268"/>
        <v>0</v>
      </c>
      <c r="AR229" s="501">
        <f>I229+AG229</f>
        <v>3036860</v>
      </c>
      <c r="AS229" s="492">
        <f>J229+V229</f>
        <v>2229870</v>
      </c>
      <c r="AT229" s="492">
        <f t="shared" si="288"/>
        <v>6500</v>
      </c>
      <c r="AU229" s="492">
        <f t="shared" si="289"/>
        <v>755893</v>
      </c>
      <c r="AV229" s="492">
        <f t="shared" si="289"/>
        <v>44597</v>
      </c>
      <c r="AW229" s="492">
        <f>N229+AF229</f>
        <v>0</v>
      </c>
      <c r="AX229" s="493">
        <f>O229+AQ229</f>
        <v>4.4286000000000003</v>
      </c>
      <c r="AY229" s="493">
        <f t="shared" si="290"/>
        <v>4.4286000000000003</v>
      </c>
      <c r="AZ229" s="495">
        <f t="shared" si="290"/>
        <v>0</v>
      </c>
    </row>
    <row r="230" spans="1:52" ht="14.1" customHeight="1" x14ac:dyDescent="0.2">
      <c r="A230" s="72">
        <v>47</v>
      </c>
      <c r="B230" s="69">
        <v>2472</v>
      </c>
      <c r="C230" s="70">
        <v>600080277</v>
      </c>
      <c r="D230" s="69">
        <v>72743131</v>
      </c>
      <c r="E230" s="71" t="s">
        <v>663</v>
      </c>
      <c r="F230" s="72">
        <v>3143</v>
      </c>
      <c r="G230" s="84" t="s">
        <v>630</v>
      </c>
      <c r="H230" s="73" t="s">
        <v>279</v>
      </c>
      <c r="I230" s="494">
        <v>83917</v>
      </c>
      <c r="J230" s="489">
        <v>59342</v>
      </c>
      <c r="K230" s="489">
        <v>0</v>
      </c>
      <c r="L230" s="489">
        <v>20058</v>
      </c>
      <c r="M230" s="489">
        <v>1187</v>
      </c>
      <c r="N230" s="489">
        <v>3330</v>
      </c>
      <c r="O230" s="490">
        <v>0.23</v>
      </c>
      <c r="P230" s="491">
        <v>0</v>
      </c>
      <c r="Q230" s="500">
        <v>0.23</v>
      </c>
      <c r="R230" s="502">
        <f t="shared" si="256"/>
        <v>0</v>
      </c>
      <c r="S230" s="492">
        <v>0</v>
      </c>
      <c r="T230" s="492">
        <v>0</v>
      </c>
      <c r="U230" s="492">
        <v>0</v>
      </c>
      <c r="V230" s="492">
        <f>SUM(R230:U230)</f>
        <v>0</v>
      </c>
      <c r="W230" s="492">
        <v>0</v>
      </c>
      <c r="X230" s="492">
        <v>0</v>
      </c>
      <c r="Y230" s="492">
        <v>0</v>
      </c>
      <c r="Z230" s="492">
        <f t="shared" si="262"/>
        <v>0</v>
      </c>
      <c r="AA230" s="492">
        <f t="shared" si="263"/>
        <v>0</v>
      </c>
      <c r="AB230" s="74">
        <f t="shared" si="264"/>
        <v>0</v>
      </c>
      <c r="AC230" s="74">
        <f t="shared" si="265"/>
        <v>0</v>
      </c>
      <c r="AD230" s="492">
        <v>0</v>
      </c>
      <c r="AE230" s="492">
        <v>0</v>
      </c>
      <c r="AF230" s="492">
        <f>SUM(AD230:AE230)</f>
        <v>0</v>
      </c>
      <c r="AG230" s="492">
        <f>AA230+AB230+AC230+AF230</f>
        <v>0</v>
      </c>
      <c r="AH230" s="493">
        <v>0</v>
      </c>
      <c r="AI230" s="493">
        <v>0</v>
      </c>
      <c r="AJ230" s="493">
        <v>0</v>
      </c>
      <c r="AK230" s="493">
        <v>0</v>
      </c>
      <c r="AL230" s="493">
        <v>0</v>
      </c>
      <c r="AM230" s="493">
        <v>0</v>
      </c>
      <c r="AN230" s="493">
        <v>0</v>
      </c>
      <c r="AO230" s="493">
        <f t="shared" si="257"/>
        <v>0</v>
      </c>
      <c r="AP230" s="493">
        <f t="shared" si="258"/>
        <v>0</v>
      </c>
      <c r="AQ230" s="495">
        <f t="shared" si="268"/>
        <v>0</v>
      </c>
      <c r="AR230" s="501">
        <f>I230+AG230</f>
        <v>83917</v>
      </c>
      <c r="AS230" s="492">
        <f>J230+V230</f>
        <v>59342</v>
      </c>
      <c r="AT230" s="492">
        <f t="shared" si="288"/>
        <v>0</v>
      </c>
      <c r="AU230" s="492">
        <f t="shared" si="289"/>
        <v>20058</v>
      </c>
      <c r="AV230" s="492">
        <f t="shared" si="289"/>
        <v>1187</v>
      </c>
      <c r="AW230" s="492">
        <f>N230+AF230</f>
        <v>3330</v>
      </c>
      <c r="AX230" s="493">
        <f>O230+AQ230</f>
        <v>0.23</v>
      </c>
      <c r="AY230" s="493">
        <f t="shared" si="290"/>
        <v>0</v>
      </c>
      <c r="AZ230" s="495">
        <f t="shared" si="290"/>
        <v>0.23</v>
      </c>
    </row>
    <row r="231" spans="1:52" ht="14.1" customHeight="1" x14ac:dyDescent="0.2">
      <c r="A231" s="78">
        <v>47</v>
      </c>
      <c r="B231" s="75">
        <v>2472</v>
      </c>
      <c r="C231" s="76">
        <v>600080277</v>
      </c>
      <c r="D231" s="75">
        <v>72743131</v>
      </c>
      <c r="E231" s="77" t="s">
        <v>664</v>
      </c>
      <c r="F231" s="78"/>
      <c r="G231" s="77"/>
      <c r="H231" s="79"/>
      <c r="I231" s="80">
        <v>37939078</v>
      </c>
      <c r="J231" s="81">
        <v>27343637</v>
      </c>
      <c r="K231" s="81">
        <v>198250</v>
      </c>
      <c r="L231" s="81">
        <v>9309158</v>
      </c>
      <c r="M231" s="81">
        <v>546873</v>
      </c>
      <c r="N231" s="81">
        <v>541160</v>
      </c>
      <c r="O231" s="82">
        <v>54.699800000000003</v>
      </c>
      <c r="P231" s="82">
        <v>41.330399999999997</v>
      </c>
      <c r="Q231" s="452">
        <v>13.369400000000001</v>
      </c>
      <c r="R231" s="80">
        <f t="shared" ref="R231:AZ231" si="291">SUM(R226:R230)</f>
        <v>0</v>
      </c>
      <c r="S231" s="81">
        <f t="shared" si="291"/>
        <v>0</v>
      </c>
      <c r="T231" s="81">
        <f t="shared" si="291"/>
        <v>0</v>
      </c>
      <c r="U231" s="81">
        <f t="shared" si="291"/>
        <v>0</v>
      </c>
      <c r="V231" s="81">
        <f t="shared" si="291"/>
        <v>0</v>
      </c>
      <c r="W231" s="81">
        <f t="shared" si="291"/>
        <v>0</v>
      </c>
      <c r="X231" s="81">
        <f t="shared" si="291"/>
        <v>0</v>
      </c>
      <c r="Y231" s="81">
        <f t="shared" si="291"/>
        <v>0</v>
      </c>
      <c r="Z231" s="81">
        <f t="shared" si="291"/>
        <v>0</v>
      </c>
      <c r="AA231" s="81">
        <f t="shared" si="291"/>
        <v>0</v>
      </c>
      <c r="AB231" s="81">
        <f t="shared" si="291"/>
        <v>0</v>
      </c>
      <c r="AC231" s="81">
        <f t="shared" si="291"/>
        <v>0</v>
      </c>
      <c r="AD231" s="81">
        <f t="shared" si="291"/>
        <v>0</v>
      </c>
      <c r="AE231" s="81">
        <f t="shared" si="291"/>
        <v>0</v>
      </c>
      <c r="AF231" s="81">
        <f t="shared" si="291"/>
        <v>0</v>
      </c>
      <c r="AG231" s="81">
        <f t="shared" si="291"/>
        <v>0</v>
      </c>
      <c r="AH231" s="82">
        <f t="shared" si="291"/>
        <v>0</v>
      </c>
      <c r="AI231" s="82">
        <f t="shared" si="291"/>
        <v>0</v>
      </c>
      <c r="AJ231" s="82">
        <f t="shared" si="291"/>
        <v>0</v>
      </c>
      <c r="AK231" s="82">
        <f t="shared" ref="AK231:AL231" si="292">SUM(AK226:AK230)</f>
        <v>0</v>
      </c>
      <c r="AL231" s="82">
        <f t="shared" si="292"/>
        <v>0</v>
      </c>
      <c r="AM231" s="82">
        <f t="shared" si="291"/>
        <v>0</v>
      </c>
      <c r="AN231" s="82">
        <f t="shared" si="291"/>
        <v>0</v>
      </c>
      <c r="AO231" s="82">
        <f t="shared" si="291"/>
        <v>0</v>
      </c>
      <c r="AP231" s="82">
        <f t="shared" si="291"/>
        <v>0</v>
      </c>
      <c r="AQ231" s="83">
        <f t="shared" si="291"/>
        <v>0</v>
      </c>
      <c r="AR231" s="438">
        <f t="shared" si="291"/>
        <v>37939078</v>
      </c>
      <c r="AS231" s="81">
        <f t="shared" si="291"/>
        <v>27343637</v>
      </c>
      <c r="AT231" s="81">
        <f t="shared" si="291"/>
        <v>198250</v>
      </c>
      <c r="AU231" s="81">
        <f t="shared" si="291"/>
        <v>9309158</v>
      </c>
      <c r="AV231" s="81">
        <f t="shared" si="291"/>
        <v>546873</v>
      </c>
      <c r="AW231" s="81">
        <f t="shared" si="291"/>
        <v>541160</v>
      </c>
      <c r="AX231" s="82">
        <f t="shared" si="291"/>
        <v>54.699800000000003</v>
      </c>
      <c r="AY231" s="82">
        <f t="shared" si="291"/>
        <v>41.330399999999997</v>
      </c>
      <c r="AZ231" s="83">
        <f t="shared" si="291"/>
        <v>13.369400000000001</v>
      </c>
    </row>
    <row r="232" spans="1:52" ht="14.1" customHeight="1" x14ac:dyDescent="0.2">
      <c r="A232" s="72">
        <v>48</v>
      </c>
      <c r="B232" s="69">
        <v>2489</v>
      </c>
      <c r="C232" s="70">
        <v>600080188</v>
      </c>
      <c r="D232" s="69">
        <v>64040402</v>
      </c>
      <c r="E232" s="71" t="s">
        <v>665</v>
      </c>
      <c r="F232" s="72">
        <v>3113</v>
      </c>
      <c r="G232" s="71" t="s">
        <v>315</v>
      </c>
      <c r="H232" s="73" t="s">
        <v>278</v>
      </c>
      <c r="I232" s="494">
        <v>31423639</v>
      </c>
      <c r="J232" s="489">
        <v>22535905</v>
      </c>
      <c r="K232" s="489">
        <v>87750</v>
      </c>
      <c r="L232" s="489">
        <v>7646796</v>
      </c>
      <c r="M232" s="489">
        <v>450718</v>
      </c>
      <c r="N232" s="489">
        <v>702470</v>
      </c>
      <c r="O232" s="490">
        <v>39.462200000000003</v>
      </c>
      <c r="P232" s="490">
        <v>30.312799999999999</v>
      </c>
      <c r="Q232" s="500">
        <v>9.1494</v>
      </c>
      <c r="R232" s="502">
        <f t="shared" si="256"/>
        <v>0</v>
      </c>
      <c r="S232" s="492">
        <v>0</v>
      </c>
      <c r="T232" s="492">
        <v>0</v>
      </c>
      <c r="U232" s="492">
        <v>0</v>
      </c>
      <c r="V232" s="492">
        <f>SUM(R232:U232)</f>
        <v>0</v>
      </c>
      <c r="W232" s="492">
        <v>0</v>
      </c>
      <c r="X232" s="492">
        <v>0</v>
      </c>
      <c r="Y232" s="492">
        <v>0</v>
      </c>
      <c r="Z232" s="492">
        <f t="shared" si="262"/>
        <v>0</v>
      </c>
      <c r="AA232" s="492">
        <f t="shared" si="263"/>
        <v>0</v>
      </c>
      <c r="AB232" s="74">
        <f t="shared" si="264"/>
        <v>0</v>
      </c>
      <c r="AC232" s="74">
        <f t="shared" si="265"/>
        <v>0</v>
      </c>
      <c r="AD232" s="492">
        <v>0</v>
      </c>
      <c r="AE232" s="492">
        <v>0</v>
      </c>
      <c r="AF232" s="492">
        <f>SUM(AD232:AE232)</f>
        <v>0</v>
      </c>
      <c r="AG232" s="492">
        <f>AA232+AB232+AC232+AF232</f>
        <v>0</v>
      </c>
      <c r="AH232" s="493">
        <v>0</v>
      </c>
      <c r="AI232" s="493">
        <v>0</v>
      </c>
      <c r="AJ232" s="493">
        <v>0</v>
      </c>
      <c r="AK232" s="493">
        <v>0</v>
      </c>
      <c r="AL232" s="493">
        <v>0</v>
      </c>
      <c r="AM232" s="493">
        <v>0</v>
      </c>
      <c r="AN232" s="493">
        <v>0</v>
      </c>
      <c r="AO232" s="493">
        <f t="shared" si="257"/>
        <v>0</v>
      </c>
      <c r="AP232" s="493">
        <f t="shared" si="258"/>
        <v>0</v>
      </c>
      <c r="AQ232" s="495">
        <f t="shared" si="268"/>
        <v>0</v>
      </c>
      <c r="AR232" s="501">
        <f>I232+AG232</f>
        <v>31423639</v>
      </c>
      <c r="AS232" s="492">
        <f>J232+V232</f>
        <v>22535905</v>
      </c>
      <c r="AT232" s="492">
        <f t="shared" ref="AT232:AT236" si="293">K232+Z232</f>
        <v>87750</v>
      </c>
      <c r="AU232" s="492">
        <f t="shared" ref="AU232:AV236" si="294">L232+AB232</f>
        <v>7646796</v>
      </c>
      <c r="AV232" s="492">
        <f t="shared" si="294"/>
        <v>450718</v>
      </c>
      <c r="AW232" s="492">
        <f>N232+AF232</f>
        <v>702470</v>
      </c>
      <c r="AX232" s="493">
        <f>O232+AQ232</f>
        <v>39.462200000000003</v>
      </c>
      <c r="AY232" s="493">
        <f t="shared" ref="AY232:AZ236" si="295">P232+AO232</f>
        <v>30.312799999999999</v>
      </c>
      <c r="AZ232" s="495">
        <f t="shared" si="295"/>
        <v>9.1494</v>
      </c>
    </row>
    <row r="233" spans="1:52" ht="14.1" customHeight="1" x14ac:dyDescent="0.2">
      <c r="A233" s="72">
        <v>48</v>
      </c>
      <c r="B233" s="69">
        <v>2489</v>
      </c>
      <c r="C233" s="70">
        <v>600080188</v>
      </c>
      <c r="D233" s="69">
        <v>64040402</v>
      </c>
      <c r="E233" s="71" t="s">
        <v>665</v>
      </c>
      <c r="F233" s="72">
        <v>3113</v>
      </c>
      <c r="G233" s="84" t="s">
        <v>313</v>
      </c>
      <c r="H233" s="73" t="s">
        <v>279</v>
      </c>
      <c r="I233" s="494">
        <v>2438835</v>
      </c>
      <c r="J233" s="489">
        <v>1795902</v>
      </c>
      <c r="K233" s="489">
        <v>0</v>
      </c>
      <c r="L233" s="489">
        <v>607015</v>
      </c>
      <c r="M233" s="489">
        <v>35918</v>
      </c>
      <c r="N233" s="489">
        <v>0</v>
      </c>
      <c r="O233" s="490">
        <v>5.12</v>
      </c>
      <c r="P233" s="491">
        <v>5.12</v>
      </c>
      <c r="Q233" s="500">
        <v>0</v>
      </c>
      <c r="R233" s="502">
        <f t="shared" si="256"/>
        <v>0</v>
      </c>
      <c r="S233" s="489">
        <v>147269</v>
      </c>
      <c r="T233" s="492">
        <v>0</v>
      </c>
      <c r="U233" s="492">
        <v>0</v>
      </c>
      <c r="V233" s="492">
        <f>SUM(R233:U233)</f>
        <v>147269</v>
      </c>
      <c r="W233" s="492">
        <v>0</v>
      </c>
      <c r="X233" s="492">
        <v>0</v>
      </c>
      <c r="Y233" s="492">
        <v>0</v>
      </c>
      <c r="Z233" s="492">
        <f t="shared" si="262"/>
        <v>0</v>
      </c>
      <c r="AA233" s="492">
        <f t="shared" si="263"/>
        <v>147269</v>
      </c>
      <c r="AB233" s="74">
        <f t="shared" si="264"/>
        <v>49777</v>
      </c>
      <c r="AC233" s="74">
        <f t="shared" si="265"/>
        <v>2945</v>
      </c>
      <c r="AD233" s="492">
        <v>0</v>
      </c>
      <c r="AE233" s="492">
        <v>0</v>
      </c>
      <c r="AF233" s="492">
        <f>SUM(AD233:AE233)</f>
        <v>0</v>
      </c>
      <c r="AG233" s="492">
        <f>AA233+AB233+AC233+AF233</f>
        <v>199991</v>
      </c>
      <c r="AH233" s="493">
        <v>0</v>
      </c>
      <c r="AI233" s="493">
        <v>0</v>
      </c>
      <c r="AJ233" s="493">
        <v>0.42</v>
      </c>
      <c r="AK233" s="493">
        <v>0</v>
      </c>
      <c r="AL233" s="493">
        <v>0</v>
      </c>
      <c r="AM233" s="493">
        <v>0</v>
      </c>
      <c r="AN233" s="493">
        <v>0</v>
      </c>
      <c r="AO233" s="493">
        <f t="shared" si="257"/>
        <v>0.42</v>
      </c>
      <c r="AP233" s="493">
        <f t="shared" si="258"/>
        <v>0</v>
      </c>
      <c r="AQ233" s="495">
        <f t="shared" si="268"/>
        <v>0.42</v>
      </c>
      <c r="AR233" s="501">
        <f>I233+AG233</f>
        <v>2638826</v>
      </c>
      <c r="AS233" s="492">
        <f>J233+V233</f>
        <v>1943171</v>
      </c>
      <c r="AT233" s="492">
        <f t="shared" si="293"/>
        <v>0</v>
      </c>
      <c r="AU233" s="492">
        <f t="shared" si="294"/>
        <v>656792</v>
      </c>
      <c r="AV233" s="492">
        <f t="shared" si="294"/>
        <v>38863</v>
      </c>
      <c r="AW233" s="492">
        <f>N233+AF233</f>
        <v>0</v>
      </c>
      <c r="AX233" s="493">
        <f>O233+AQ233</f>
        <v>5.54</v>
      </c>
      <c r="AY233" s="493">
        <f t="shared" si="295"/>
        <v>5.54</v>
      </c>
      <c r="AZ233" s="495">
        <f t="shared" si="295"/>
        <v>0</v>
      </c>
    </row>
    <row r="234" spans="1:52" ht="14.1" customHeight="1" x14ac:dyDescent="0.2">
      <c r="A234" s="72">
        <v>48</v>
      </c>
      <c r="B234" s="69">
        <v>2489</v>
      </c>
      <c r="C234" s="70">
        <v>600080188</v>
      </c>
      <c r="D234" s="69">
        <v>64040402</v>
      </c>
      <c r="E234" s="71" t="s">
        <v>665</v>
      </c>
      <c r="F234" s="72">
        <v>3141</v>
      </c>
      <c r="G234" s="71" t="s">
        <v>316</v>
      </c>
      <c r="H234" s="73" t="s">
        <v>279</v>
      </c>
      <c r="I234" s="494">
        <v>2841943</v>
      </c>
      <c r="J234" s="489">
        <v>2067545</v>
      </c>
      <c r="K234" s="489">
        <v>6500</v>
      </c>
      <c r="L234" s="489">
        <v>701027</v>
      </c>
      <c r="M234" s="489">
        <v>41351</v>
      </c>
      <c r="N234" s="489">
        <v>25520</v>
      </c>
      <c r="O234" s="490">
        <v>6.53</v>
      </c>
      <c r="P234" s="491">
        <v>0</v>
      </c>
      <c r="Q234" s="500">
        <v>6.53</v>
      </c>
      <c r="R234" s="502">
        <f t="shared" si="256"/>
        <v>0</v>
      </c>
      <c r="S234" s="492">
        <v>0</v>
      </c>
      <c r="T234" s="492">
        <v>0</v>
      </c>
      <c r="U234" s="492">
        <v>0</v>
      </c>
      <c r="V234" s="492">
        <f>SUM(R234:U234)</f>
        <v>0</v>
      </c>
      <c r="W234" s="492">
        <v>0</v>
      </c>
      <c r="X234" s="492">
        <v>0</v>
      </c>
      <c r="Y234" s="492">
        <v>0</v>
      </c>
      <c r="Z234" s="492">
        <f t="shared" si="262"/>
        <v>0</v>
      </c>
      <c r="AA234" s="492">
        <f t="shared" si="263"/>
        <v>0</v>
      </c>
      <c r="AB234" s="74">
        <f t="shared" si="264"/>
        <v>0</v>
      </c>
      <c r="AC234" s="74">
        <f t="shared" si="265"/>
        <v>0</v>
      </c>
      <c r="AD234" s="492">
        <v>0</v>
      </c>
      <c r="AE234" s="492">
        <v>0</v>
      </c>
      <c r="AF234" s="492">
        <f>SUM(AD234:AE234)</f>
        <v>0</v>
      </c>
      <c r="AG234" s="492">
        <f>AA234+AB234+AC234+AF234</f>
        <v>0</v>
      </c>
      <c r="AH234" s="493">
        <v>0</v>
      </c>
      <c r="AI234" s="493">
        <v>0</v>
      </c>
      <c r="AJ234" s="493">
        <v>0</v>
      </c>
      <c r="AK234" s="493">
        <v>0</v>
      </c>
      <c r="AL234" s="493">
        <v>0</v>
      </c>
      <c r="AM234" s="493">
        <v>0</v>
      </c>
      <c r="AN234" s="493">
        <v>0</v>
      </c>
      <c r="AO234" s="493">
        <f t="shared" si="257"/>
        <v>0</v>
      </c>
      <c r="AP234" s="493">
        <f t="shared" si="258"/>
        <v>0</v>
      </c>
      <c r="AQ234" s="495">
        <f t="shared" si="268"/>
        <v>0</v>
      </c>
      <c r="AR234" s="501">
        <f>I234+AG234</f>
        <v>2841943</v>
      </c>
      <c r="AS234" s="492">
        <f>J234+V234</f>
        <v>2067545</v>
      </c>
      <c r="AT234" s="492">
        <f t="shared" si="293"/>
        <v>6500</v>
      </c>
      <c r="AU234" s="492">
        <f t="shared" si="294"/>
        <v>701027</v>
      </c>
      <c r="AV234" s="492">
        <f t="shared" si="294"/>
        <v>41351</v>
      </c>
      <c r="AW234" s="492">
        <f>N234+AF234</f>
        <v>25520</v>
      </c>
      <c r="AX234" s="493">
        <f>O234+AQ234</f>
        <v>6.53</v>
      </c>
      <c r="AY234" s="493">
        <f t="shared" si="295"/>
        <v>0</v>
      </c>
      <c r="AZ234" s="495">
        <f t="shared" si="295"/>
        <v>6.53</v>
      </c>
    </row>
    <row r="235" spans="1:52" ht="14.1" customHeight="1" x14ac:dyDescent="0.2">
      <c r="A235" s="72">
        <v>48</v>
      </c>
      <c r="B235" s="69">
        <v>2489</v>
      </c>
      <c r="C235" s="70">
        <v>600080188</v>
      </c>
      <c r="D235" s="69">
        <v>64040402</v>
      </c>
      <c r="E235" s="71" t="s">
        <v>665</v>
      </c>
      <c r="F235" s="72">
        <v>3143</v>
      </c>
      <c r="G235" s="84" t="s">
        <v>629</v>
      </c>
      <c r="H235" s="73" t="s">
        <v>278</v>
      </c>
      <c r="I235" s="494">
        <v>2689082</v>
      </c>
      <c r="J235" s="489">
        <v>1964168</v>
      </c>
      <c r="K235" s="489">
        <v>16250</v>
      </c>
      <c r="L235" s="489">
        <v>669381</v>
      </c>
      <c r="M235" s="489">
        <v>39283</v>
      </c>
      <c r="N235" s="489">
        <v>0</v>
      </c>
      <c r="O235" s="490">
        <v>3.9466000000000001</v>
      </c>
      <c r="P235" s="490">
        <v>3.9466000000000001</v>
      </c>
      <c r="Q235" s="500">
        <v>0</v>
      </c>
      <c r="R235" s="502">
        <f t="shared" si="256"/>
        <v>0</v>
      </c>
      <c r="S235" s="492">
        <v>0</v>
      </c>
      <c r="T235" s="492">
        <v>0</v>
      </c>
      <c r="U235" s="492">
        <v>-4311</v>
      </c>
      <c r="V235" s="492">
        <f>SUM(R235:U235)</f>
        <v>-4311</v>
      </c>
      <c r="W235" s="492">
        <v>0</v>
      </c>
      <c r="X235" s="492">
        <v>0</v>
      </c>
      <c r="Y235" s="492">
        <v>0</v>
      </c>
      <c r="Z235" s="492">
        <f t="shared" si="262"/>
        <v>0</v>
      </c>
      <c r="AA235" s="492">
        <f t="shared" si="263"/>
        <v>-4311</v>
      </c>
      <c r="AB235" s="74">
        <f t="shared" si="264"/>
        <v>-1457</v>
      </c>
      <c r="AC235" s="74">
        <f t="shared" si="265"/>
        <v>-86</v>
      </c>
      <c r="AD235" s="492">
        <v>0</v>
      </c>
      <c r="AE235" s="492">
        <v>0</v>
      </c>
      <c r="AF235" s="492">
        <f>SUM(AD235:AE235)</f>
        <v>0</v>
      </c>
      <c r="AG235" s="492">
        <f>AA235+AB235+AC235+AF235</f>
        <v>-5854</v>
      </c>
      <c r="AH235" s="493">
        <v>0</v>
      </c>
      <c r="AI235" s="493">
        <v>0</v>
      </c>
      <c r="AJ235" s="493">
        <v>0</v>
      </c>
      <c r="AK235" s="493">
        <v>0</v>
      </c>
      <c r="AL235" s="493">
        <v>0</v>
      </c>
      <c r="AM235" s="493">
        <v>0</v>
      </c>
      <c r="AN235" s="493">
        <v>0</v>
      </c>
      <c r="AO235" s="493">
        <f t="shared" si="257"/>
        <v>0</v>
      </c>
      <c r="AP235" s="493">
        <f t="shared" si="258"/>
        <v>0</v>
      </c>
      <c r="AQ235" s="495">
        <f t="shared" si="268"/>
        <v>0</v>
      </c>
      <c r="AR235" s="501">
        <f>I235+AG235</f>
        <v>2683228</v>
      </c>
      <c r="AS235" s="492">
        <f>J235+V235</f>
        <v>1959857</v>
      </c>
      <c r="AT235" s="492">
        <f t="shared" si="293"/>
        <v>16250</v>
      </c>
      <c r="AU235" s="492">
        <f t="shared" si="294"/>
        <v>667924</v>
      </c>
      <c r="AV235" s="492">
        <f t="shared" si="294"/>
        <v>39197</v>
      </c>
      <c r="AW235" s="492">
        <f>N235+AF235</f>
        <v>0</v>
      </c>
      <c r="AX235" s="493">
        <f>O235+AQ235</f>
        <v>3.9466000000000001</v>
      </c>
      <c r="AY235" s="493">
        <f t="shared" si="295"/>
        <v>3.9466000000000001</v>
      </c>
      <c r="AZ235" s="495">
        <f t="shared" si="295"/>
        <v>0</v>
      </c>
    </row>
    <row r="236" spans="1:52" ht="14.1" customHeight="1" x14ac:dyDescent="0.2">
      <c r="A236" s="72">
        <v>48</v>
      </c>
      <c r="B236" s="69">
        <v>2489</v>
      </c>
      <c r="C236" s="70">
        <v>600080188</v>
      </c>
      <c r="D236" s="69">
        <v>64040402</v>
      </c>
      <c r="E236" s="71" t="s">
        <v>665</v>
      </c>
      <c r="F236" s="72">
        <v>3143</v>
      </c>
      <c r="G236" s="84" t="s">
        <v>630</v>
      </c>
      <c r="H236" s="73" t="s">
        <v>279</v>
      </c>
      <c r="I236" s="494">
        <v>105840</v>
      </c>
      <c r="J236" s="489">
        <v>74845</v>
      </c>
      <c r="K236" s="489">
        <v>0</v>
      </c>
      <c r="L236" s="489">
        <v>25298</v>
      </c>
      <c r="M236" s="489">
        <v>1497</v>
      </c>
      <c r="N236" s="489">
        <v>4200</v>
      </c>
      <c r="O236" s="490">
        <v>0.3</v>
      </c>
      <c r="P236" s="491">
        <v>0</v>
      </c>
      <c r="Q236" s="500">
        <v>0.3</v>
      </c>
      <c r="R236" s="502">
        <f t="shared" si="256"/>
        <v>0</v>
      </c>
      <c r="S236" s="492">
        <v>0</v>
      </c>
      <c r="T236" s="492">
        <v>0</v>
      </c>
      <c r="U236" s="492">
        <v>0</v>
      </c>
      <c r="V236" s="492">
        <f>SUM(R236:U236)</f>
        <v>0</v>
      </c>
      <c r="W236" s="492">
        <v>0</v>
      </c>
      <c r="X236" s="492">
        <v>0</v>
      </c>
      <c r="Y236" s="492">
        <v>0</v>
      </c>
      <c r="Z236" s="492">
        <f t="shared" si="262"/>
        <v>0</v>
      </c>
      <c r="AA236" s="492">
        <f t="shared" si="263"/>
        <v>0</v>
      </c>
      <c r="AB236" s="74">
        <f t="shared" si="264"/>
        <v>0</v>
      </c>
      <c r="AC236" s="74">
        <f t="shared" si="265"/>
        <v>0</v>
      </c>
      <c r="AD236" s="492">
        <v>0</v>
      </c>
      <c r="AE236" s="492">
        <v>0</v>
      </c>
      <c r="AF236" s="492">
        <f>SUM(AD236:AE236)</f>
        <v>0</v>
      </c>
      <c r="AG236" s="492">
        <f>AA236+AB236+AC236+AF236</f>
        <v>0</v>
      </c>
      <c r="AH236" s="493">
        <v>0</v>
      </c>
      <c r="AI236" s="493">
        <v>0</v>
      </c>
      <c r="AJ236" s="493">
        <v>0</v>
      </c>
      <c r="AK236" s="493">
        <v>0</v>
      </c>
      <c r="AL236" s="493">
        <v>0</v>
      </c>
      <c r="AM236" s="493">
        <v>0</v>
      </c>
      <c r="AN236" s="493">
        <v>0</v>
      </c>
      <c r="AO236" s="493">
        <f t="shared" si="257"/>
        <v>0</v>
      </c>
      <c r="AP236" s="493">
        <f t="shared" si="258"/>
        <v>0</v>
      </c>
      <c r="AQ236" s="495">
        <f t="shared" si="268"/>
        <v>0</v>
      </c>
      <c r="AR236" s="501">
        <f>I236+AG236</f>
        <v>105840</v>
      </c>
      <c r="AS236" s="492">
        <f>J236+V236</f>
        <v>74845</v>
      </c>
      <c r="AT236" s="492">
        <f t="shared" si="293"/>
        <v>0</v>
      </c>
      <c r="AU236" s="492">
        <f t="shared" si="294"/>
        <v>25298</v>
      </c>
      <c r="AV236" s="492">
        <f t="shared" si="294"/>
        <v>1497</v>
      </c>
      <c r="AW236" s="492">
        <f>N236+AF236</f>
        <v>4200</v>
      </c>
      <c r="AX236" s="493">
        <f>O236+AQ236</f>
        <v>0.3</v>
      </c>
      <c r="AY236" s="493">
        <f t="shared" si="295"/>
        <v>0</v>
      </c>
      <c r="AZ236" s="495">
        <f t="shared" si="295"/>
        <v>0.3</v>
      </c>
    </row>
    <row r="237" spans="1:52" ht="14.1" customHeight="1" x14ac:dyDescent="0.2">
      <c r="A237" s="78">
        <v>48</v>
      </c>
      <c r="B237" s="75">
        <v>2489</v>
      </c>
      <c r="C237" s="76">
        <v>600080188</v>
      </c>
      <c r="D237" s="75">
        <v>64040402</v>
      </c>
      <c r="E237" s="77" t="s">
        <v>666</v>
      </c>
      <c r="F237" s="78"/>
      <c r="G237" s="77"/>
      <c r="H237" s="79"/>
      <c r="I237" s="80">
        <v>39499339</v>
      </c>
      <c r="J237" s="81">
        <v>28438365</v>
      </c>
      <c r="K237" s="81">
        <v>110500</v>
      </c>
      <c r="L237" s="81">
        <v>9649517</v>
      </c>
      <c r="M237" s="81">
        <v>568767</v>
      </c>
      <c r="N237" s="81">
        <v>732190</v>
      </c>
      <c r="O237" s="82">
        <v>55.358800000000002</v>
      </c>
      <c r="P237" s="82">
        <v>39.379400000000004</v>
      </c>
      <c r="Q237" s="452">
        <v>15.979400000000002</v>
      </c>
      <c r="R237" s="80">
        <f t="shared" ref="R237:AZ237" si="296">SUM(R232:R236)</f>
        <v>0</v>
      </c>
      <c r="S237" s="81">
        <f t="shared" si="296"/>
        <v>147269</v>
      </c>
      <c r="T237" s="81">
        <f t="shared" si="296"/>
        <v>0</v>
      </c>
      <c r="U237" s="81">
        <f t="shared" si="296"/>
        <v>-4311</v>
      </c>
      <c r="V237" s="81">
        <f t="shared" si="296"/>
        <v>142958</v>
      </c>
      <c r="W237" s="81">
        <f t="shared" si="296"/>
        <v>0</v>
      </c>
      <c r="X237" s="81">
        <f t="shared" si="296"/>
        <v>0</v>
      </c>
      <c r="Y237" s="81">
        <f t="shared" si="296"/>
        <v>0</v>
      </c>
      <c r="Z237" s="81">
        <f t="shared" si="296"/>
        <v>0</v>
      </c>
      <c r="AA237" s="81">
        <f t="shared" si="296"/>
        <v>142958</v>
      </c>
      <c r="AB237" s="81">
        <f t="shared" si="296"/>
        <v>48320</v>
      </c>
      <c r="AC237" s="81">
        <f t="shared" si="296"/>
        <v>2859</v>
      </c>
      <c r="AD237" s="81">
        <f t="shared" si="296"/>
        <v>0</v>
      </c>
      <c r="AE237" s="81">
        <f t="shared" si="296"/>
        <v>0</v>
      </c>
      <c r="AF237" s="81">
        <f t="shared" si="296"/>
        <v>0</v>
      </c>
      <c r="AG237" s="81">
        <f t="shared" si="296"/>
        <v>194137</v>
      </c>
      <c r="AH237" s="82">
        <f t="shared" si="296"/>
        <v>0</v>
      </c>
      <c r="AI237" s="82">
        <f t="shared" si="296"/>
        <v>0</v>
      </c>
      <c r="AJ237" s="82">
        <f t="shared" si="296"/>
        <v>0.42</v>
      </c>
      <c r="AK237" s="82">
        <f t="shared" ref="AK237:AL237" si="297">SUM(AK232:AK236)</f>
        <v>0</v>
      </c>
      <c r="AL237" s="82">
        <f t="shared" si="297"/>
        <v>0</v>
      </c>
      <c r="AM237" s="82">
        <f t="shared" si="296"/>
        <v>0</v>
      </c>
      <c r="AN237" s="82">
        <f t="shared" si="296"/>
        <v>0</v>
      </c>
      <c r="AO237" s="82">
        <f t="shared" si="296"/>
        <v>0.42</v>
      </c>
      <c r="AP237" s="82">
        <f t="shared" si="296"/>
        <v>0</v>
      </c>
      <c r="AQ237" s="83">
        <f t="shared" si="296"/>
        <v>0.42</v>
      </c>
      <c r="AR237" s="438">
        <f t="shared" si="296"/>
        <v>39693476</v>
      </c>
      <c r="AS237" s="81">
        <f t="shared" si="296"/>
        <v>28581323</v>
      </c>
      <c r="AT237" s="81">
        <f t="shared" si="296"/>
        <v>110500</v>
      </c>
      <c r="AU237" s="81">
        <f t="shared" si="296"/>
        <v>9697837</v>
      </c>
      <c r="AV237" s="81">
        <f t="shared" si="296"/>
        <v>571626</v>
      </c>
      <c r="AW237" s="81">
        <f t="shared" si="296"/>
        <v>732190</v>
      </c>
      <c r="AX237" s="82">
        <f t="shared" si="296"/>
        <v>55.778800000000004</v>
      </c>
      <c r="AY237" s="82">
        <f t="shared" si="296"/>
        <v>39.799400000000006</v>
      </c>
      <c r="AZ237" s="83">
        <f t="shared" si="296"/>
        <v>15.979400000000002</v>
      </c>
    </row>
    <row r="238" spans="1:52" ht="14.1" customHeight="1" x14ac:dyDescent="0.2">
      <c r="A238" s="72">
        <v>49</v>
      </c>
      <c r="B238" s="69">
        <v>2473</v>
      </c>
      <c r="C238" s="70">
        <v>600080285</v>
      </c>
      <c r="D238" s="69">
        <v>65642376</v>
      </c>
      <c r="E238" s="71" t="s">
        <v>667</v>
      </c>
      <c r="F238" s="72">
        <v>3113</v>
      </c>
      <c r="G238" s="71" t="s">
        <v>315</v>
      </c>
      <c r="H238" s="73" t="s">
        <v>278</v>
      </c>
      <c r="I238" s="494">
        <v>41299945</v>
      </c>
      <c r="J238" s="489">
        <v>29492319</v>
      </c>
      <c r="K238" s="489">
        <v>227500</v>
      </c>
      <c r="L238" s="489">
        <v>10045300</v>
      </c>
      <c r="M238" s="489">
        <v>589846</v>
      </c>
      <c r="N238" s="489">
        <v>944980</v>
      </c>
      <c r="O238" s="490">
        <v>53.333799999999997</v>
      </c>
      <c r="P238" s="490">
        <v>42.4711</v>
      </c>
      <c r="Q238" s="500">
        <v>10.862699999999998</v>
      </c>
      <c r="R238" s="502">
        <f t="shared" si="256"/>
        <v>0</v>
      </c>
      <c r="S238" s="492">
        <v>0</v>
      </c>
      <c r="T238" s="492">
        <v>0</v>
      </c>
      <c r="U238" s="492">
        <v>0</v>
      </c>
      <c r="V238" s="492">
        <f>SUM(R238:U238)</f>
        <v>0</v>
      </c>
      <c r="W238" s="492">
        <v>0</v>
      </c>
      <c r="X238" s="492">
        <v>0</v>
      </c>
      <c r="Y238" s="492">
        <v>0</v>
      </c>
      <c r="Z238" s="492">
        <f t="shared" si="262"/>
        <v>0</v>
      </c>
      <c r="AA238" s="492">
        <f t="shared" si="263"/>
        <v>0</v>
      </c>
      <c r="AB238" s="74">
        <f t="shared" si="264"/>
        <v>0</v>
      </c>
      <c r="AC238" s="74">
        <f t="shared" si="265"/>
        <v>0</v>
      </c>
      <c r="AD238" s="492">
        <v>0</v>
      </c>
      <c r="AE238" s="492">
        <v>0</v>
      </c>
      <c r="AF238" s="492">
        <f>SUM(AD238:AE238)</f>
        <v>0</v>
      </c>
      <c r="AG238" s="492">
        <f>AA238+AB238+AC238+AF238</f>
        <v>0</v>
      </c>
      <c r="AH238" s="493">
        <v>0</v>
      </c>
      <c r="AI238" s="493">
        <v>0</v>
      </c>
      <c r="AJ238" s="493">
        <v>0</v>
      </c>
      <c r="AK238" s="493">
        <v>0</v>
      </c>
      <c r="AL238" s="493">
        <v>0</v>
      </c>
      <c r="AM238" s="493">
        <v>0</v>
      </c>
      <c r="AN238" s="493">
        <v>0</v>
      </c>
      <c r="AO238" s="493">
        <f t="shared" si="257"/>
        <v>0</v>
      </c>
      <c r="AP238" s="493">
        <f t="shared" si="258"/>
        <v>0</v>
      </c>
      <c r="AQ238" s="495">
        <f t="shared" si="268"/>
        <v>0</v>
      </c>
      <c r="AR238" s="501">
        <f>I238+AG238</f>
        <v>41299945</v>
      </c>
      <c r="AS238" s="492">
        <f>J238+V238</f>
        <v>29492319</v>
      </c>
      <c r="AT238" s="492">
        <f t="shared" ref="AT238:AT242" si="298">K238+Z238</f>
        <v>227500</v>
      </c>
      <c r="AU238" s="492">
        <f t="shared" ref="AU238:AV242" si="299">L238+AB238</f>
        <v>10045300</v>
      </c>
      <c r="AV238" s="492">
        <f t="shared" si="299"/>
        <v>589846</v>
      </c>
      <c r="AW238" s="492">
        <f>N238+AF238</f>
        <v>944980</v>
      </c>
      <c r="AX238" s="493">
        <f>O238+AQ238</f>
        <v>53.333799999999997</v>
      </c>
      <c r="AY238" s="493">
        <f t="shared" ref="AY238:AZ242" si="300">P238+AO238</f>
        <v>42.4711</v>
      </c>
      <c r="AZ238" s="495">
        <f t="shared" si="300"/>
        <v>10.862699999999998</v>
      </c>
    </row>
    <row r="239" spans="1:52" ht="14.1" customHeight="1" x14ac:dyDescent="0.2">
      <c r="A239" s="72">
        <v>49</v>
      </c>
      <c r="B239" s="69">
        <v>2473</v>
      </c>
      <c r="C239" s="70">
        <v>600080285</v>
      </c>
      <c r="D239" s="69">
        <v>65642376</v>
      </c>
      <c r="E239" s="71" t="s">
        <v>667</v>
      </c>
      <c r="F239" s="72">
        <v>3113</v>
      </c>
      <c r="G239" s="84" t="s">
        <v>313</v>
      </c>
      <c r="H239" s="73" t="s">
        <v>279</v>
      </c>
      <c r="I239" s="494">
        <v>8837274</v>
      </c>
      <c r="J239" s="489">
        <v>6504252</v>
      </c>
      <c r="K239" s="489">
        <v>0</v>
      </c>
      <c r="L239" s="489">
        <v>2198437</v>
      </c>
      <c r="M239" s="489">
        <v>130085</v>
      </c>
      <c r="N239" s="489">
        <v>4500</v>
      </c>
      <c r="O239" s="490">
        <v>18.28</v>
      </c>
      <c r="P239" s="491">
        <v>18.28</v>
      </c>
      <c r="Q239" s="500">
        <v>0</v>
      </c>
      <c r="R239" s="502">
        <f t="shared" si="256"/>
        <v>0</v>
      </c>
      <c r="S239" s="489">
        <v>0</v>
      </c>
      <c r="T239" s="492">
        <v>0</v>
      </c>
      <c r="U239" s="492">
        <v>0</v>
      </c>
      <c r="V239" s="492">
        <f>SUM(R239:U239)</f>
        <v>0</v>
      </c>
      <c r="W239" s="492">
        <v>0</v>
      </c>
      <c r="X239" s="492">
        <v>0</v>
      </c>
      <c r="Y239" s="492">
        <v>0</v>
      </c>
      <c r="Z239" s="492">
        <f t="shared" si="262"/>
        <v>0</v>
      </c>
      <c r="AA239" s="492">
        <f t="shared" si="263"/>
        <v>0</v>
      </c>
      <c r="AB239" s="74">
        <f t="shared" si="264"/>
        <v>0</v>
      </c>
      <c r="AC239" s="74">
        <f t="shared" si="265"/>
        <v>0</v>
      </c>
      <c r="AD239" s="492">
        <v>2500</v>
      </c>
      <c r="AE239" s="492">
        <v>0</v>
      </c>
      <c r="AF239" s="492">
        <f>SUM(AD239:AE239)</f>
        <v>2500</v>
      </c>
      <c r="AG239" s="492">
        <f>AA239+AB239+AC239+AF239</f>
        <v>2500</v>
      </c>
      <c r="AH239" s="493">
        <v>0</v>
      </c>
      <c r="AI239" s="493">
        <v>0</v>
      </c>
      <c r="AJ239" s="493">
        <v>0</v>
      </c>
      <c r="AK239" s="493">
        <v>0</v>
      </c>
      <c r="AL239" s="493">
        <v>0</v>
      </c>
      <c r="AM239" s="493">
        <v>0</v>
      </c>
      <c r="AN239" s="493">
        <v>0</v>
      </c>
      <c r="AO239" s="493">
        <f t="shared" si="257"/>
        <v>0</v>
      </c>
      <c r="AP239" s="493">
        <f t="shared" si="258"/>
        <v>0</v>
      </c>
      <c r="AQ239" s="495">
        <f t="shared" si="268"/>
        <v>0</v>
      </c>
      <c r="AR239" s="501">
        <f>I239+AG239</f>
        <v>8839774</v>
      </c>
      <c r="AS239" s="492">
        <f>J239+V239</f>
        <v>6504252</v>
      </c>
      <c r="AT239" s="492">
        <f t="shared" si="298"/>
        <v>0</v>
      </c>
      <c r="AU239" s="492">
        <f t="shared" si="299"/>
        <v>2198437</v>
      </c>
      <c r="AV239" s="492">
        <f t="shared" si="299"/>
        <v>130085</v>
      </c>
      <c r="AW239" s="492">
        <f>N239+AF239</f>
        <v>7000</v>
      </c>
      <c r="AX239" s="493">
        <f>O239+AQ239</f>
        <v>18.28</v>
      </c>
      <c r="AY239" s="493">
        <f t="shared" si="300"/>
        <v>18.28</v>
      </c>
      <c r="AZ239" s="495">
        <f t="shared" si="300"/>
        <v>0</v>
      </c>
    </row>
    <row r="240" spans="1:52" ht="14.1" customHeight="1" x14ac:dyDescent="0.2">
      <c r="A240" s="72">
        <v>49</v>
      </c>
      <c r="B240" s="69">
        <v>2473</v>
      </c>
      <c r="C240" s="70">
        <v>600080285</v>
      </c>
      <c r="D240" s="69">
        <v>65642376</v>
      </c>
      <c r="E240" s="71" t="s">
        <v>667</v>
      </c>
      <c r="F240" s="72">
        <v>3141</v>
      </c>
      <c r="G240" s="71" t="s">
        <v>316</v>
      </c>
      <c r="H240" s="73" t="s">
        <v>279</v>
      </c>
      <c r="I240" s="494">
        <v>1493191</v>
      </c>
      <c r="J240" s="489">
        <v>1082398</v>
      </c>
      <c r="K240" s="489">
        <v>0</v>
      </c>
      <c r="L240" s="489">
        <v>365851</v>
      </c>
      <c r="M240" s="489">
        <v>21648</v>
      </c>
      <c r="N240" s="489">
        <v>23294</v>
      </c>
      <c r="O240" s="490">
        <v>3.41</v>
      </c>
      <c r="P240" s="491">
        <v>0</v>
      </c>
      <c r="Q240" s="500">
        <v>3.41</v>
      </c>
      <c r="R240" s="502">
        <f t="shared" si="256"/>
        <v>0</v>
      </c>
      <c r="S240" s="492">
        <v>0</v>
      </c>
      <c r="T240" s="492">
        <v>0</v>
      </c>
      <c r="U240" s="492">
        <v>0</v>
      </c>
      <c r="V240" s="492">
        <f>SUM(R240:U240)</f>
        <v>0</v>
      </c>
      <c r="W240" s="492">
        <v>0</v>
      </c>
      <c r="X240" s="492">
        <v>0</v>
      </c>
      <c r="Y240" s="492">
        <v>0</v>
      </c>
      <c r="Z240" s="492">
        <f t="shared" si="262"/>
        <v>0</v>
      </c>
      <c r="AA240" s="492">
        <f t="shared" si="263"/>
        <v>0</v>
      </c>
      <c r="AB240" s="74">
        <f t="shared" si="264"/>
        <v>0</v>
      </c>
      <c r="AC240" s="74">
        <f t="shared" si="265"/>
        <v>0</v>
      </c>
      <c r="AD240" s="492">
        <v>0</v>
      </c>
      <c r="AE240" s="492">
        <v>0</v>
      </c>
      <c r="AF240" s="492">
        <f>SUM(AD240:AE240)</f>
        <v>0</v>
      </c>
      <c r="AG240" s="492">
        <f>AA240+AB240+AC240+AF240</f>
        <v>0</v>
      </c>
      <c r="AH240" s="493">
        <v>0</v>
      </c>
      <c r="AI240" s="493">
        <v>0</v>
      </c>
      <c r="AJ240" s="493">
        <v>0</v>
      </c>
      <c r="AK240" s="493">
        <v>0</v>
      </c>
      <c r="AL240" s="493">
        <v>0</v>
      </c>
      <c r="AM240" s="493">
        <v>0</v>
      </c>
      <c r="AN240" s="493">
        <v>0</v>
      </c>
      <c r="AO240" s="493">
        <f t="shared" si="257"/>
        <v>0</v>
      </c>
      <c r="AP240" s="493">
        <f t="shared" si="258"/>
        <v>0</v>
      </c>
      <c r="AQ240" s="495">
        <f t="shared" si="268"/>
        <v>0</v>
      </c>
      <c r="AR240" s="501">
        <f>I240+AG240</f>
        <v>1493191</v>
      </c>
      <c r="AS240" s="492">
        <f>J240+V240</f>
        <v>1082398</v>
      </c>
      <c r="AT240" s="492">
        <f t="shared" si="298"/>
        <v>0</v>
      </c>
      <c r="AU240" s="492">
        <f t="shared" si="299"/>
        <v>365851</v>
      </c>
      <c r="AV240" s="492">
        <f t="shared" si="299"/>
        <v>21648</v>
      </c>
      <c r="AW240" s="492">
        <f>N240+AF240</f>
        <v>23294</v>
      </c>
      <c r="AX240" s="493">
        <f>O240+AQ240</f>
        <v>3.41</v>
      </c>
      <c r="AY240" s="493">
        <f t="shared" si="300"/>
        <v>0</v>
      </c>
      <c r="AZ240" s="495">
        <f t="shared" si="300"/>
        <v>3.41</v>
      </c>
    </row>
    <row r="241" spans="1:52" ht="14.1" customHeight="1" x14ac:dyDescent="0.2">
      <c r="A241" s="72">
        <v>49</v>
      </c>
      <c r="B241" s="69">
        <v>2473</v>
      </c>
      <c r="C241" s="70">
        <v>600080285</v>
      </c>
      <c r="D241" s="69">
        <v>65642376</v>
      </c>
      <c r="E241" s="71" t="s">
        <v>667</v>
      </c>
      <c r="F241" s="72">
        <v>3143</v>
      </c>
      <c r="G241" s="84" t="s">
        <v>629</v>
      </c>
      <c r="H241" s="73" t="s">
        <v>278</v>
      </c>
      <c r="I241" s="494">
        <v>4763616</v>
      </c>
      <c r="J241" s="489">
        <v>3507818</v>
      </c>
      <c r="K241" s="489">
        <v>0</v>
      </c>
      <c r="L241" s="489">
        <v>1185642</v>
      </c>
      <c r="M241" s="489">
        <v>70156</v>
      </c>
      <c r="N241" s="489">
        <v>0</v>
      </c>
      <c r="O241" s="490">
        <v>7.4530000000000003</v>
      </c>
      <c r="P241" s="490">
        <v>7.4530000000000003</v>
      </c>
      <c r="Q241" s="500">
        <v>0</v>
      </c>
      <c r="R241" s="502">
        <f t="shared" si="256"/>
        <v>0</v>
      </c>
      <c r="S241" s="492">
        <v>0</v>
      </c>
      <c r="T241" s="492">
        <v>0</v>
      </c>
      <c r="U241" s="492">
        <v>0</v>
      </c>
      <c r="V241" s="492">
        <f>SUM(R241:U241)</f>
        <v>0</v>
      </c>
      <c r="W241" s="492">
        <v>0</v>
      </c>
      <c r="X241" s="492">
        <v>0</v>
      </c>
      <c r="Y241" s="492">
        <v>0</v>
      </c>
      <c r="Z241" s="492">
        <f t="shared" si="262"/>
        <v>0</v>
      </c>
      <c r="AA241" s="492">
        <f t="shared" si="263"/>
        <v>0</v>
      </c>
      <c r="AB241" s="74">
        <f t="shared" si="264"/>
        <v>0</v>
      </c>
      <c r="AC241" s="74">
        <f t="shared" si="265"/>
        <v>0</v>
      </c>
      <c r="AD241" s="492">
        <v>0</v>
      </c>
      <c r="AE241" s="492">
        <v>0</v>
      </c>
      <c r="AF241" s="492">
        <f>SUM(AD241:AE241)</f>
        <v>0</v>
      </c>
      <c r="AG241" s="492">
        <f>AA241+AB241+AC241+AF241</f>
        <v>0</v>
      </c>
      <c r="AH241" s="493">
        <v>0</v>
      </c>
      <c r="AI241" s="493">
        <v>0</v>
      </c>
      <c r="AJ241" s="493">
        <v>0</v>
      </c>
      <c r="AK241" s="493">
        <v>0</v>
      </c>
      <c r="AL241" s="493">
        <v>0</v>
      </c>
      <c r="AM241" s="493">
        <v>0</v>
      </c>
      <c r="AN241" s="493">
        <v>0</v>
      </c>
      <c r="AO241" s="493">
        <f t="shared" si="257"/>
        <v>0</v>
      </c>
      <c r="AP241" s="493">
        <f t="shared" si="258"/>
        <v>0</v>
      </c>
      <c r="AQ241" s="495">
        <f t="shared" si="268"/>
        <v>0</v>
      </c>
      <c r="AR241" s="501">
        <f>I241+AG241</f>
        <v>4763616</v>
      </c>
      <c r="AS241" s="492">
        <f>J241+V241</f>
        <v>3507818</v>
      </c>
      <c r="AT241" s="492">
        <f t="shared" si="298"/>
        <v>0</v>
      </c>
      <c r="AU241" s="492">
        <f t="shared" si="299"/>
        <v>1185642</v>
      </c>
      <c r="AV241" s="492">
        <f t="shared" si="299"/>
        <v>70156</v>
      </c>
      <c r="AW241" s="492">
        <f>N241+AF241</f>
        <v>0</v>
      </c>
      <c r="AX241" s="493">
        <f>O241+AQ241</f>
        <v>7.4530000000000003</v>
      </c>
      <c r="AY241" s="493">
        <f t="shared" si="300"/>
        <v>7.4530000000000003</v>
      </c>
      <c r="AZ241" s="495">
        <f t="shared" si="300"/>
        <v>0</v>
      </c>
    </row>
    <row r="242" spans="1:52" ht="14.1" customHeight="1" x14ac:dyDescent="0.2">
      <c r="A242" s="72">
        <v>49</v>
      </c>
      <c r="B242" s="69">
        <v>2473</v>
      </c>
      <c r="C242" s="70">
        <v>600080285</v>
      </c>
      <c r="D242" s="69">
        <v>65642376</v>
      </c>
      <c r="E242" s="71" t="s">
        <v>667</v>
      </c>
      <c r="F242" s="72">
        <v>3143</v>
      </c>
      <c r="G242" s="84" t="s">
        <v>630</v>
      </c>
      <c r="H242" s="73" t="s">
        <v>279</v>
      </c>
      <c r="I242" s="494">
        <v>186733</v>
      </c>
      <c r="J242" s="489">
        <v>132049</v>
      </c>
      <c r="K242" s="489">
        <v>0</v>
      </c>
      <c r="L242" s="489">
        <v>44633</v>
      </c>
      <c r="M242" s="489">
        <v>2641</v>
      </c>
      <c r="N242" s="489">
        <v>7410</v>
      </c>
      <c r="O242" s="490">
        <v>0.51</v>
      </c>
      <c r="P242" s="491">
        <v>0</v>
      </c>
      <c r="Q242" s="500">
        <v>0.51</v>
      </c>
      <c r="R242" s="502">
        <f t="shared" si="256"/>
        <v>0</v>
      </c>
      <c r="S242" s="492">
        <v>0</v>
      </c>
      <c r="T242" s="492">
        <v>0</v>
      </c>
      <c r="U242" s="492">
        <v>0</v>
      </c>
      <c r="V242" s="492">
        <f>SUM(R242:U242)</f>
        <v>0</v>
      </c>
      <c r="W242" s="492">
        <v>0</v>
      </c>
      <c r="X242" s="492">
        <v>0</v>
      </c>
      <c r="Y242" s="492">
        <v>0</v>
      </c>
      <c r="Z242" s="492">
        <f t="shared" si="262"/>
        <v>0</v>
      </c>
      <c r="AA242" s="492">
        <f t="shared" si="263"/>
        <v>0</v>
      </c>
      <c r="AB242" s="74">
        <f t="shared" si="264"/>
        <v>0</v>
      </c>
      <c r="AC242" s="74">
        <f t="shared" si="265"/>
        <v>0</v>
      </c>
      <c r="AD242" s="492">
        <v>0</v>
      </c>
      <c r="AE242" s="492">
        <v>0</v>
      </c>
      <c r="AF242" s="492">
        <f>SUM(AD242:AE242)</f>
        <v>0</v>
      </c>
      <c r="AG242" s="492">
        <f>AA242+AB242+AC242+AF242</f>
        <v>0</v>
      </c>
      <c r="AH242" s="493">
        <v>0</v>
      </c>
      <c r="AI242" s="493">
        <v>0</v>
      </c>
      <c r="AJ242" s="493">
        <v>0</v>
      </c>
      <c r="AK242" s="493">
        <v>0</v>
      </c>
      <c r="AL242" s="493">
        <v>0</v>
      </c>
      <c r="AM242" s="493">
        <v>0</v>
      </c>
      <c r="AN242" s="493">
        <v>0</v>
      </c>
      <c r="AO242" s="493">
        <f t="shared" si="257"/>
        <v>0</v>
      </c>
      <c r="AP242" s="493">
        <f t="shared" si="258"/>
        <v>0</v>
      </c>
      <c r="AQ242" s="495">
        <f t="shared" si="268"/>
        <v>0</v>
      </c>
      <c r="AR242" s="501">
        <f>I242+AG242</f>
        <v>186733</v>
      </c>
      <c r="AS242" s="492">
        <f>J242+V242</f>
        <v>132049</v>
      </c>
      <c r="AT242" s="492">
        <f t="shared" si="298"/>
        <v>0</v>
      </c>
      <c r="AU242" s="492">
        <f t="shared" si="299"/>
        <v>44633</v>
      </c>
      <c r="AV242" s="492">
        <f t="shared" si="299"/>
        <v>2641</v>
      </c>
      <c r="AW242" s="492">
        <f>N242+AF242</f>
        <v>7410</v>
      </c>
      <c r="AX242" s="493">
        <f>O242+AQ242</f>
        <v>0.51</v>
      </c>
      <c r="AY242" s="493">
        <f t="shared" si="300"/>
        <v>0</v>
      </c>
      <c r="AZ242" s="495">
        <f t="shared" si="300"/>
        <v>0.51</v>
      </c>
    </row>
    <row r="243" spans="1:52" ht="14.1" customHeight="1" x14ac:dyDescent="0.2">
      <c r="A243" s="78">
        <v>49</v>
      </c>
      <c r="B243" s="75">
        <v>2473</v>
      </c>
      <c r="C243" s="76">
        <v>600080285</v>
      </c>
      <c r="D243" s="75">
        <v>65642376</v>
      </c>
      <c r="E243" s="77" t="s">
        <v>668</v>
      </c>
      <c r="F243" s="78"/>
      <c r="G243" s="77"/>
      <c r="H243" s="79"/>
      <c r="I243" s="80">
        <v>56580759</v>
      </c>
      <c r="J243" s="81">
        <v>40718836</v>
      </c>
      <c r="K243" s="81">
        <v>227500</v>
      </c>
      <c r="L243" s="81">
        <v>13839863</v>
      </c>
      <c r="M243" s="81">
        <v>814376</v>
      </c>
      <c r="N243" s="81">
        <v>980184</v>
      </c>
      <c r="O243" s="82">
        <v>82.986800000000002</v>
      </c>
      <c r="P243" s="82">
        <v>68.204099999999997</v>
      </c>
      <c r="Q243" s="452">
        <v>14.782699999999998</v>
      </c>
      <c r="R243" s="80">
        <f t="shared" ref="R243:AZ243" si="301">SUM(R238:R242)</f>
        <v>0</v>
      </c>
      <c r="S243" s="81">
        <f t="shared" si="301"/>
        <v>0</v>
      </c>
      <c r="T243" s="81">
        <f t="shared" si="301"/>
        <v>0</v>
      </c>
      <c r="U243" s="81">
        <f t="shared" si="301"/>
        <v>0</v>
      </c>
      <c r="V243" s="81">
        <f t="shared" si="301"/>
        <v>0</v>
      </c>
      <c r="W243" s="81">
        <f t="shared" si="301"/>
        <v>0</v>
      </c>
      <c r="X243" s="81">
        <f t="shared" si="301"/>
        <v>0</v>
      </c>
      <c r="Y243" s="81">
        <f t="shared" si="301"/>
        <v>0</v>
      </c>
      <c r="Z243" s="81">
        <f t="shared" si="301"/>
        <v>0</v>
      </c>
      <c r="AA243" s="81">
        <f t="shared" si="301"/>
        <v>0</v>
      </c>
      <c r="AB243" s="81">
        <f t="shared" si="301"/>
        <v>0</v>
      </c>
      <c r="AC243" s="81">
        <f t="shared" si="301"/>
        <v>0</v>
      </c>
      <c r="AD243" s="81">
        <f t="shared" si="301"/>
        <v>2500</v>
      </c>
      <c r="AE243" s="81">
        <f t="shared" si="301"/>
        <v>0</v>
      </c>
      <c r="AF243" s="81">
        <f t="shared" si="301"/>
        <v>2500</v>
      </c>
      <c r="AG243" s="81">
        <f t="shared" si="301"/>
        <v>2500</v>
      </c>
      <c r="AH243" s="82">
        <f t="shared" si="301"/>
        <v>0</v>
      </c>
      <c r="AI243" s="82">
        <f t="shared" si="301"/>
        <v>0</v>
      </c>
      <c r="AJ243" s="82">
        <f t="shared" si="301"/>
        <v>0</v>
      </c>
      <c r="AK243" s="82">
        <f t="shared" ref="AK243:AL243" si="302">SUM(AK238:AK242)</f>
        <v>0</v>
      </c>
      <c r="AL243" s="82">
        <f t="shared" si="302"/>
        <v>0</v>
      </c>
      <c r="AM243" s="82">
        <f t="shared" si="301"/>
        <v>0</v>
      </c>
      <c r="AN243" s="82">
        <f t="shared" si="301"/>
        <v>0</v>
      </c>
      <c r="AO243" s="82">
        <f t="shared" si="301"/>
        <v>0</v>
      </c>
      <c r="AP243" s="82">
        <f t="shared" si="301"/>
        <v>0</v>
      </c>
      <c r="AQ243" s="83">
        <f t="shared" si="301"/>
        <v>0</v>
      </c>
      <c r="AR243" s="438">
        <f t="shared" si="301"/>
        <v>56583259</v>
      </c>
      <c r="AS243" s="81">
        <f t="shared" si="301"/>
        <v>40718836</v>
      </c>
      <c r="AT243" s="81">
        <f t="shared" si="301"/>
        <v>227500</v>
      </c>
      <c r="AU243" s="81">
        <f t="shared" si="301"/>
        <v>13839863</v>
      </c>
      <c r="AV243" s="81">
        <f t="shared" si="301"/>
        <v>814376</v>
      </c>
      <c r="AW243" s="81">
        <f t="shared" si="301"/>
        <v>982684</v>
      </c>
      <c r="AX243" s="82">
        <f t="shared" si="301"/>
        <v>82.986800000000002</v>
      </c>
      <c r="AY243" s="82">
        <f t="shared" si="301"/>
        <v>68.204099999999997</v>
      </c>
      <c r="AZ243" s="83">
        <f t="shared" si="301"/>
        <v>14.782699999999998</v>
      </c>
    </row>
    <row r="244" spans="1:52" ht="14.1" customHeight="1" x14ac:dyDescent="0.2">
      <c r="A244" s="72">
        <v>50</v>
      </c>
      <c r="B244" s="69">
        <v>2490</v>
      </c>
      <c r="C244" s="70">
        <v>600080005</v>
      </c>
      <c r="D244" s="69">
        <v>46746757</v>
      </c>
      <c r="E244" s="71" t="s">
        <v>669</v>
      </c>
      <c r="F244" s="72">
        <v>3113</v>
      </c>
      <c r="G244" s="71" t="s">
        <v>315</v>
      </c>
      <c r="H244" s="73" t="s">
        <v>278</v>
      </c>
      <c r="I244" s="494">
        <v>26721460</v>
      </c>
      <c r="J244" s="489">
        <v>19176318</v>
      </c>
      <c r="K244" s="489">
        <v>65000</v>
      </c>
      <c r="L244" s="489">
        <v>6503566</v>
      </c>
      <c r="M244" s="489">
        <v>383526</v>
      </c>
      <c r="N244" s="489">
        <v>593050</v>
      </c>
      <c r="O244" s="490">
        <v>32.757299999999994</v>
      </c>
      <c r="P244" s="490">
        <v>25.000699999999998</v>
      </c>
      <c r="Q244" s="500">
        <v>7.7566000000000006</v>
      </c>
      <c r="R244" s="502">
        <f t="shared" si="256"/>
        <v>0</v>
      </c>
      <c r="S244" s="492">
        <v>0</v>
      </c>
      <c r="T244" s="492">
        <v>0</v>
      </c>
      <c r="U244" s="492">
        <v>0</v>
      </c>
      <c r="V244" s="492">
        <f>SUM(R244:U244)</f>
        <v>0</v>
      </c>
      <c r="W244" s="492">
        <v>0</v>
      </c>
      <c r="X244" s="492">
        <v>0</v>
      </c>
      <c r="Y244" s="492">
        <v>0</v>
      </c>
      <c r="Z244" s="492">
        <f t="shared" si="262"/>
        <v>0</v>
      </c>
      <c r="AA244" s="492">
        <f t="shared" si="263"/>
        <v>0</v>
      </c>
      <c r="AB244" s="74">
        <f t="shared" si="264"/>
        <v>0</v>
      </c>
      <c r="AC244" s="74">
        <f t="shared" si="265"/>
        <v>0</v>
      </c>
      <c r="AD244" s="492">
        <v>0</v>
      </c>
      <c r="AE244" s="492">
        <v>0</v>
      </c>
      <c r="AF244" s="492">
        <f>SUM(AD244:AE244)</f>
        <v>0</v>
      </c>
      <c r="AG244" s="492">
        <f>AA244+AB244+AC244+AF244</f>
        <v>0</v>
      </c>
      <c r="AH244" s="493">
        <v>0</v>
      </c>
      <c r="AI244" s="493">
        <v>0</v>
      </c>
      <c r="AJ244" s="493">
        <v>0</v>
      </c>
      <c r="AK244" s="493">
        <v>0</v>
      </c>
      <c r="AL244" s="493">
        <v>0</v>
      </c>
      <c r="AM244" s="493">
        <v>0</v>
      </c>
      <c r="AN244" s="493">
        <v>0</v>
      </c>
      <c r="AO244" s="493">
        <f t="shared" si="257"/>
        <v>0</v>
      </c>
      <c r="AP244" s="493">
        <f t="shared" si="258"/>
        <v>0</v>
      </c>
      <c r="AQ244" s="495">
        <f t="shared" si="268"/>
        <v>0</v>
      </c>
      <c r="AR244" s="501">
        <f>I244+AG244</f>
        <v>26721460</v>
      </c>
      <c r="AS244" s="492">
        <f>J244+V244</f>
        <v>19176318</v>
      </c>
      <c r="AT244" s="492">
        <f t="shared" ref="AT244:AT248" si="303">K244+Z244</f>
        <v>65000</v>
      </c>
      <c r="AU244" s="492">
        <f t="shared" ref="AU244:AV248" si="304">L244+AB244</f>
        <v>6503566</v>
      </c>
      <c r="AV244" s="492">
        <f t="shared" si="304"/>
        <v>383526</v>
      </c>
      <c r="AW244" s="492">
        <f>N244+AF244</f>
        <v>593050</v>
      </c>
      <c r="AX244" s="493">
        <f>O244+AQ244</f>
        <v>32.757299999999994</v>
      </c>
      <c r="AY244" s="493">
        <f t="shared" ref="AY244:AZ248" si="305">P244+AO244</f>
        <v>25.000699999999998</v>
      </c>
      <c r="AZ244" s="495">
        <f t="shared" si="305"/>
        <v>7.7566000000000006</v>
      </c>
    </row>
    <row r="245" spans="1:52" ht="14.1" customHeight="1" x14ac:dyDescent="0.2">
      <c r="A245" s="72">
        <v>50</v>
      </c>
      <c r="B245" s="69">
        <v>2490</v>
      </c>
      <c r="C245" s="70">
        <v>600080005</v>
      </c>
      <c r="D245" s="69">
        <v>46746757</v>
      </c>
      <c r="E245" s="71" t="s">
        <v>669</v>
      </c>
      <c r="F245" s="72">
        <v>3113</v>
      </c>
      <c r="G245" s="84" t="s">
        <v>313</v>
      </c>
      <c r="H245" s="73" t="s">
        <v>279</v>
      </c>
      <c r="I245" s="494">
        <v>1706548</v>
      </c>
      <c r="J245" s="489">
        <v>1256663</v>
      </c>
      <c r="K245" s="489">
        <v>0</v>
      </c>
      <c r="L245" s="489">
        <v>424752</v>
      </c>
      <c r="M245" s="489">
        <v>25133</v>
      </c>
      <c r="N245" s="489">
        <v>0</v>
      </c>
      <c r="O245" s="490">
        <v>3.4099999999999997</v>
      </c>
      <c r="P245" s="491">
        <v>3.4099999999999997</v>
      </c>
      <c r="Q245" s="500">
        <v>0</v>
      </c>
      <c r="R245" s="502">
        <f t="shared" si="256"/>
        <v>0</v>
      </c>
      <c r="S245" s="489">
        <v>52057</v>
      </c>
      <c r="T245" s="492">
        <v>0</v>
      </c>
      <c r="U245" s="492">
        <v>0</v>
      </c>
      <c r="V245" s="492">
        <f>SUM(R245:U245)</f>
        <v>52057</v>
      </c>
      <c r="W245" s="492">
        <v>0</v>
      </c>
      <c r="X245" s="492">
        <v>0</v>
      </c>
      <c r="Y245" s="492">
        <v>0</v>
      </c>
      <c r="Z245" s="492">
        <f t="shared" si="262"/>
        <v>0</v>
      </c>
      <c r="AA245" s="492">
        <f t="shared" si="263"/>
        <v>52057</v>
      </c>
      <c r="AB245" s="74">
        <f t="shared" si="264"/>
        <v>17595</v>
      </c>
      <c r="AC245" s="74">
        <f t="shared" si="265"/>
        <v>1041</v>
      </c>
      <c r="AD245" s="492">
        <v>0</v>
      </c>
      <c r="AE245" s="492">
        <v>0</v>
      </c>
      <c r="AF245" s="492">
        <f>SUM(AD245:AE245)</f>
        <v>0</v>
      </c>
      <c r="AG245" s="492">
        <f>AA245+AB245+AC245+AF245</f>
        <v>70693</v>
      </c>
      <c r="AH245" s="493">
        <v>0</v>
      </c>
      <c r="AI245" s="493">
        <v>0</v>
      </c>
      <c r="AJ245" s="493">
        <v>0.11</v>
      </c>
      <c r="AK245" s="493">
        <v>0</v>
      </c>
      <c r="AL245" s="493">
        <v>0</v>
      </c>
      <c r="AM245" s="493">
        <v>0</v>
      </c>
      <c r="AN245" s="493">
        <v>0</v>
      </c>
      <c r="AO245" s="493">
        <f t="shared" si="257"/>
        <v>0.11</v>
      </c>
      <c r="AP245" s="493">
        <f t="shared" si="258"/>
        <v>0</v>
      </c>
      <c r="AQ245" s="495">
        <f t="shared" si="268"/>
        <v>0.11</v>
      </c>
      <c r="AR245" s="501">
        <f>I245+AG245</f>
        <v>1777241</v>
      </c>
      <c r="AS245" s="492">
        <f>J245+V245</f>
        <v>1308720</v>
      </c>
      <c r="AT245" s="492">
        <f t="shared" si="303"/>
        <v>0</v>
      </c>
      <c r="AU245" s="492">
        <f t="shared" si="304"/>
        <v>442347</v>
      </c>
      <c r="AV245" s="492">
        <f t="shared" si="304"/>
        <v>26174</v>
      </c>
      <c r="AW245" s="492">
        <f>N245+AF245</f>
        <v>0</v>
      </c>
      <c r="AX245" s="493">
        <f>O245+AQ245</f>
        <v>3.5199999999999996</v>
      </c>
      <c r="AY245" s="493">
        <f t="shared" si="305"/>
        <v>3.5199999999999996</v>
      </c>
      <c r="AZ245" s="495">
        <f t="shared" si="305"/>
        <v>0</v>
      </c>
    </row>
    <row r="246" spans="1:52" ht="14.1" customHeight="1" x14ac:dyDescent="0.2">
      <c r="A246" s="72">
        <v>50</v>
      </c>
      <c r="B246" s="69">
        <v>2490</v>
      </c>
      <c r="C246" s="70">
        <v>600080005</v>
      </c>
      <c r="D246" s="69">
        <v>46746757</v>
      </c>
      <c r="E246" s="71" t="s">
        <v>669</v>
      </c>
      <c r="F246" s="72">
        <v>3141</v>
      </c>
      <c r="G246" s="71" t="s">
        <v>316</v>
      </c>
      <c r="H246" s="73" t="s">
        <v>279</v>
      </c>
      <c r="I246" s="494">
        <v>2173901</v>
      </c>
      <c r="J246" s="489">
        <v>1584155</v>
      </c>
      <c r="K246" s="489">
        <v>3250</v>
      </c>
      <c r="L246" s="489">
        <v>536543</v>
      </c>
      <c r="M246" s="489">
        <v>31683</v>
      </c>
      <c r="N246" s="489">
        <v>18270</v>
      </c>
      <c r="O246" s="490">
        <v>5</v>
      </c>
      <c r="P246" s="491">
        <v>0</v>
      </c>
      <c r="Q246" s="500">
        <v>5</v>
      </c>
      <c r="R246" s="502">
        <f t="shared" si="256"/>
        <v>0</v>
      </c>
      <c r="S246" s="492">
        <v>0</v>
      </c>
      <c r="T246" s="492">
        <v>0</v>
      </c>
      <c r="U246" s="492">
        <v>0</v>
      </c>
      <c r="V246" s="492">
        <f>SUM(R246:U246)</f>
        <v>0</v>
      </c>
      <c r="W246" s="492">
        <v>0</v>
      </c>
      <c r="X246" s="492">
        <v>0</v>
      </c>
      <c r="Y246" s="492">
        <v>0</v>
      </c>
      <c r="Z246" s="492">
        <f t="shared" si="262"/>
        <v>0</v>
      </c>
      <c r="AA246" s="492">
        <f t="shared" si="263"/>
        <v>0</v>
      </c>
      <c r="AB246" s="74">
        <f t="shared" si="264"/>
        <v>0</v>
      </c>
      <c r="AC246" s="74">
        <f t="shared" si="265"/>
        <v>0</v>
      </c>
      <c r="AD246" s="492">
        <v>0</v>
      </c>
      <c r="AE246" s="492">
        <v>0</v>
      </c>
      <c r="AF246" s="492">
        <f>SUM(AD246:AE246)</f>
        <v>0</v>
      </c>
      <c r="AG246" s="492">
        <f>AA246+AB246+AC246+AF246</f>
        <v>0</v>
      </c>
      <c r="AH246" s="493">
        <v>0</v>
      </c>
      <c r="AI246" s="493">
        <v>0</v>
      </c>
      <c r="AJ246" s="493">
        <v>0</v>
      </c>
      <c r="AK246" s="493">
        <v>0</v>
      </c>
      <c r="AL246" s="493">
        <v>0</v>
      </c>
      <c r="AM246" s="493">
        <v>0</v>
      </c>
      <c r="AN246" s="493">
        <v>0</v>
      </c>
      <c r="AO246" s="493">
        <f t="shared" si="257"/>
        <v>0</v>
      </c>
      <c r="AP246" s="493">
        <f t="shared" si="258"/>
        <v>0</v>
      </c>
      <c r="AQ246" s="495">
        <f t="shared" si="268"/>
        <v>0</v>
      </c>
      <c r="AR246" s="501">
        <f>I246+AG246</f>
        <v>2173901</v>
      </c>
      <c r="AS246" s="492">
        <f>J246+V246</f>
        <v>1584155</v>
      </c>
      <c r="AT246" s="492">
        <f t="shared" si="303"/>
        <v>3250</v>
      </c>
      <c r="AU246" s="492">
        <f t="shared" si="304"/>
        <v>536543</v>
      </c>
      <c r="AV246" s="492">
        <f t="shared" si="304"/>
        <v>31683</v>
      </c>
      <c r="AW246" s="492">
        <f>N246+AF246</f>
        <v>18270</v>
      </c>
      <c r="AX246" s="493">
        <f>O246+AQ246</f>
        <v>5</v>
      </c>
      <c r="AY246" s="493">
        <f t="shared" si="305"/>
        <v>0</v>
      </c>
      <c r="AZ246" s="495">
        <f t="shared" si="305"/>
        <v>5</v>
      </c>
    </row>
    <row r="247" spans="1:52" ht="14.1" customHeight="1" x14ac:dyDescent="0.2">
      <c r="A247" s="72">
        <v>50</v>
      </c>
      <c r="B247" s="69">
        <v>2490</v>
      </c>
      <c r="C247" s="70">
        <v>600080005</v>
      </c>
      <c r="D247" s="69">
        <v>46746757</v>
      </c>
      <c r="E247" s="71" t="s">
        <v>669</v>
      </c>
      <c r="F247" s="72">
        <v>3143</v>
      </c>
      <c r="G247" s="84" t="s">
        <v>629</v>
      </c>
      <c r="H247" s="73" t="s">
        <v>278</v>
      </c>
      <c r="I247" s="494">
        <v>2436594</v>
      </c>
      <c r="J247" s="489">
        <v>1791050</v>
      </c>
      <c r="K247" s="489">
        <v>3250</v>
      </c>
      <c r="L247" s="489">
        <v>606473</v>
      </c>
      <c r="M247" s="489">
        <v>35821</v>
      </c>
      <c r="N247" s="489">
        <v>0</v>
      </c>
      <c r="O247" s="490">
        <v>3.65</v>
      </c>
      <c r="P247" s="490">
        <v>3.65</v>
      </c>
      <c r="Q247" s="500">
        <v>0</v>
      </c>
      <c r="R247" s="502">
        <f t="shared" si="256"/>
        <v>0</v>
      </c>
      <c r="S247" s="492">
        <v>0</v>
      </c>
      <c r="T247" s="492">
        <v>0</v>
      </c>
      <c r="U247" s="492">
        <v>0</v>
      </c>
      <c r="V247" s="492">
        <f>SUM(R247:U247)</f>
        <v>0</v>
      </c>
      <c r="W247" s="492">
        <v>0</v>
      </c>
      <c r="X247" s="492">
        <v>0</v>
      </c>
      <c r="Y247" s="492">
        <v>0</v>
      </c>
      <c r="Z247" s="492">
        <f t="shared" si="262"/>
        <v>0</v>
      </c>
      <c r="AA247" s="492">
        <f t="shared" si="263"/>
        <v>0</v>
      </c>
      <c r="AB247" s="74">
        <f t="shared" si="264"/>
        <v>0</v>
      </c>
      <c r="AC247" s="74">
        <f t="shared" si="265"/>
        <v>0</v>
      </c>
      <c r="AD247" s="492">
        <v>0</v>
      </c>
      <c r="AE247" s="492">
        <v>0</v>
      </c>
      <c r="AF247" s="492">
        <f>SUM(AD247:AE247)</f>
        <v>0</v>
      </c>
      <c r="AG247" s="492">
        <f>AA247+AB247+AC247+AF247</f>
        <v>0</v>
      </c>
      <c r="AH247" s="493">
        <v>0</v>
      </c>
      <c r="AI247" s="493">
        <v>0</v>
      </c>
      <c r="AJ247" s="493">
        <v>0</v>
      </c>
      <c r="AK247" s="493">
        <v>0</v>
      </c>
      <c r="AL247" s="493">
        <v>0</v>
      </c>
      <c r="AM247" s="493">
        <v>0</v>
      </c>
      <c r="AN247" s="493">
        <v>0</v>
      </c>
      <c r="AO247" s="493">
        <f t="shared" si="257"/>
        <v>0</v>
      </c>
      <c r="AP247" s="493">
        <f t="shared" si="258"/>
        <v>0</v>
      </c>
      <c r="AQ247" s="495">
        <f t="shared" si="268"/>
        <v>0</v>
      </c>
      <c r="AR247" s="501">
        <f>I247+AG247</f>
        <v>2436594</v>
      </c>
      <c r="AS247" s="492">
        <f>J247+V247</f>
        <v>1791050</v>
      </c>
      <c r="AT247" s="492">
        <f t="shared" si="303"/>
        <v>3250</v>
      </c>
      <c r="AU247" s="492">
        <f t="shared" si="304"/>
        <v>606473</v>
      </c>
      <c r="AV247" s="492">
        <f t="shared" si="304"/>
        <v>35821</v>
      </c>
      <c r="AW247" s="492">
        <f>N247+AF247</f>
        <v>0</v>
      </c>
      <c r="AX247" s="493">
        <f>O247+AQ247</f>
        <v>3.65</v>
      </c>
      <c r="AY247" s="493">
        <f t="shared" si="305"/>
        <v>3.65</v>
      </c>
      <c r="AZ247" s="495">
        <f t="shared" si="305"/>
        <v>0</v>
      </c>
    </row>
    <row r="248" spans="1:52" ht="14.1" customHeight="1" x14ac:dyDescent="0.2">
      <c r="A248" s="72">
        <v>50</v>
      </c>
      <c r="B248" s="69">
        <v>2490</v>
      </c>
      <c r="C248" s="70">
        <v>600080005</v>
      </c>
      <c r="D248" s="69">
        <v>46746757</v>
      </c>
      <c r="E248" s="71" t="s">
        <v>669</v>
      </c>
      <c r="F248" s="72">
        <v>3143</v>
      </c>
      <c r="G248" s="84" t="s">
        <v>630</v>
      </c>
      <c r="H248" s="73" t="s">
        <v>279</v>
      </c>
      <c r="I248" s="494">
        <v>82403</v>
      </c>
      <c r="J248" s="489">
        <v>58272</v>
      </c>
      <c r="K248" s="489">
        <v>0</v>
      </c>
      <c r="L248" s="489">
        <v>19696</v>
      </c>
      <c r="M248" s="489">
        <v>1165</v>
      </c>
      <c r="N248" s="489">
        <v>3270</v>
      </c>
      <c r="O248" s="490">
        <v>0.23</v>
      </c>
      <c r="P248" s="491">
        <v>0</v>
      </c>
      <c r="Q248" s="500">
        <v>0.23</v>
      </c>
      <c r="R248" s="502">
        <f t="shared" si="256"/>
        <v>0</v>
      </c>
      <c r="S248" s="492">
        <v>0</v>
      </c>
      <c r="T248" s="492">
        <v>0</v>
      </c>
      <c r="U248" s="492">
        <v>0</v>
      </c>
      <c r="V248" s="492">
        <f>SUM(R248:U248)</f>
        <v>0</v>
      </c>
      <c r="W248" s="492">
        <v>0</v>
      </c>
      <c r="X248" s="492">
        <v>0</v>
      </c>
      <c r="Y248" s="492">
        <v>0</v>
      </c>
      <c r="Z248" s="492">
        <f t="shared" si="262"/>
        <v>0</v>
      </c>
      <c r="AA248" s="492">
        <f t="shared" si="263"/>
        <v>0</v>
      </c>
      <c r="AB248" s="74">
        <f t="shared" si="264"/>
        <v>0</v>
      </c>
      <c r="AC248" s="74">
        <f t="shared" si="265"/>
        <v>0</v>
      </c>
      <c r="AD248" s="492">
        <v>0</v>
      </c>
      <c r="AE248" s="492">
        <v>0</v>
      </c>
      <c r="AF248" s="492">
        <f>SUM(AD248:AE248)</f>
        <v>0</v>
      </c>
      <c r="AG248" s="492">
        <f>AA248+AB248+AC248+AF248</f>
        <v>0</v>
      </c>
      <c r="AH248" s="493">
        <v>0</v>
      </c>
      <c r="AI248" s="493">
        <v>0</v>
      </c>
      <c r="AJ248" s="493">
        <v>0</v>
      </c>
      <c r="AK248" s="493">
        <v>0</v>
      </c>
      <c r="AL248" s="493">
        <v>0</v>
      </c>
      <c r="AM248" s="493">
        <v>0</v>
      </c>
      <c r="AN248" s="493">
        <v>0</v>
      </c>
      <c r="AO248" s="493">
        <f t="shared" si="257"/>
        <v>0</v>
      </c>
      <c r="AP248" s="493">
        <f t="shared" si="258"/>
        <v>0</v>
      </c>
      <c r="AQ248" s="495">
        <f t="shared" si="268"/>
        <v>0</v>
      </c>
      <c r="AR248" s="501">
        <f>I248+AG248</f>
        <v>82403</v>
      </c>
      <c r="AS248" s="492">
        <f>J248+V248</f>
        <v>58272</v>
      </c>
      <c r="AT248" s="492">
        <f t="shared" si="303"/>
        <v>0</v>
      </c>
      <c r="AU248" s="492">
        <f t="shared" si="304"/>
        <v>19696</v>
      </c>
      <c r="AV248" s="492">
        <f t="shared" si="304"/>
        <v>1165</v>
      </c>
      <c r="AW248" s="492">
        <f>N248+AF248</f>
        <v>3270</v>
      </c>
      <c r="AX248" s="493">
        <f>O248+AQ248</f>
        <v>0.23</v>
      </c>
      <c r="AY248" s="493">
        <f t="shared" si="305"/>
        <v>0</v>
      </c>
      <c r="AZ248" s="495">
        <f t="shared" si="305"/>
        <v>0.23</v>
      </c>
    </row>
    <row r="249" spans="1:52" ht="14.1" customHeight="1" x14ac:dyDescent="0.2">
      <c r="A249" s="78">
        <v>50</v>
      </c>
      <c r="B249" s="75">
        <v>2490</v>
      </c>
      <c r="C249" s="76">
        <v>600080005</v>
      </c>
      <c r="D249" s="75">
        <v>46746757</v>
      </c>
      <c r="E249" s="77" t="s">
        <v>670</v>
      </c>
      <c r="F249" s="78"/>
      <c r="G249" s="77"/>
      <c r="H249" s="79"/>
      <c r="I249" s="80">
        <v>33120906</v>
      </c>
      <c r="J249" s="81">
        <v>23866458</v>
      </c>
      <c r="K249" s="81">
        <v>71500</v>
      </c>
      <c r="L249" s="81">
        <v>8091030</v>
      </c>
      <c r="M249" s="81">
        <v>477328</v>
      </c>
      <c r="N249" s="81">
        <v>614590</v>
      </c>
      <c r="O249" s="82">
        <v>45.047299999999986</v>
      </c>
      <c r="P249" s="82">
        <v>32.060699999999997</v>
      </c>
      <c r="Q249" s="452">
        <v>12.986600000000001</v>
      </c>
      <c r="R249" s="80">
        <f t="shared" ref="R249:AZ249" si="306">SUM(R244:R248)</f>
        <v>0</v>
      </c>
      <c r="S249" s="81">
        <f t="shared" si="306"/>
        <v>52057</v>
      </c>
      <c r="T249" s="81">
        <f t="shared" si="306"/>
        <v>0</v>
      </c>
      <c r="U249" s="81">
        <f t="shared" si="306"/>
        <v>0</v>
      </c>
      <c r="V249" s="81">
        <f t="shared" si="306"/>
        <v>52057</v>
      </c>
      <c r="W249" s="81">
        <f t="shared" si="306"/>
        <v>0</v>
      </c>
      <c r="X249" s="81">
        <f t="shared" si="306"/>
        <v>0</v>
      </c>
      <c r="Y249" s="81">
        <f t="shared" si="306"/>
        <v>0</v>
      </c>
      <c r="Z249" s="81">
        <f t="shared" si="306"/>
        <v>0</v>
      </c>
      <c r="AA249" s="81">
        <f t="shared" si="306"/>
        <v>52057</v>
      </c>
      <c r="AB249" s="81">
        <f t="shared" si="306"/>
        <v>17595</v>
      </c>
      <c r="AC249" s="81">
        <f t="shared" si="306"/>
        <v>1041</v>
      </c>
      <c r="AD249" s="81">
        <f t="shared" si="306"/>
        <v>0</v>
      </c>
      <c r="AE249" s="81">
        <f t="shared" si="306"/>
        <v>0</v>
      </c>
      <c r="AF249" s="81">
        <f t="shared" si="306"/>
        <v>0</v>
      </c>
      <c r="AG249" s="81">
        <f t="shared" si="306"/>
        <v>70693</v>
      </c>
      <c r="AH249" s="82">
        <f t="shared" si="306"/>
        <v>0</v>
      </c>
      <c r="AI249" s="82">
        <f t="shared" si="306"/>
        <v>0</v>
      </c>
      <c r="AJ249" s="82">
        <f t="shared" si="306"/>
        <v>0.11</v>
      </c>
      <c r="AK249" s="82">
        <f t="shared" ref="AK249:AL249" si="307">SUM(AK244:AK248)</f>
        <v>0</v>
      </c>
      <c r="AL249" s="82">
        <f t="shared" si="307"/>
        <v>0</v>
      </c>
      <c r="AM249" s="82">
        <f t="shared" si="306"/>
        <v>0</v>
      </c>
      <c r="AN249" s="82">
        <f t="shared" si="306"/>
        <v>0</v>
      </c>
      <c r="AO249" s="82">
        <f t="shared" si="306"/>
        <v>0.11</v>
      </c>
      <c r="AP249" s="82">
        <f t="shared" si="306"/>
        <v>0</v>
      </c>
      <c r="AQ249" s="83">
        <f t="shared" si="306"/>
        <v>0.11</v>
      </c>
      <c r="AR249" s="438">
        <f t="shared" si="306"/>
        <v>33191599</v>
      </c>
      <c r="AS249" s="81">
        <f t="shared" si="306"/>
        <v>23918515</v>
      </c>
      <c r="AT249" s="81">
        <f t="shared" si="306"/>
        <v>71500</v>
      </c>
      <c r="AU249" s="81">
        <f t="shared" si="306"/>
        <v>8108625</v>
      </c>
      <c r="AV249" s="81">
        <f t="shared" si="306"/>
        <v>478369</v>
      </c>
      <c r="AW249" s="81">
        <f t="shared" si="306"/>
        <v>614590</v>
      </c>
      <c r="AX249" s="82">
        <f t="shared" si="306"/>
        <v>45.157299999999992</v>
      </c>
      <c r="AY249" s="82">
        <f t="shared" si="306"/>
        <v>32.170699999999997</v>
      </c>
      <c r="AZ249" s="83">
        <f t="shared" si="306"/>
        <v>12.986600000000001</v>
      </c>
    </row>
    <row r="250" spans="1:52" ht="14.1" customHeight="1" x14ac:dyDescent="0.2">
      <c r="A250" s="72">
        <v>51</v>
      </c>
      <c r="B250" s="69">
        <v>2310</v>
      </c>
      <c r="C250" s="70">
        <v>600080412</v>
      </c>
      <c r="D250" s="69">
        <v>72742038</v>
      </c>
      <c r="E250" s="71" t="s">
        <v>671</v>
      </c>
      <c r="F250" s="72">
        <v>3114</v>
      </c>
      <c r="G250" s="176" t="s">
        <v>559</v>
      </c>
      <c r="H250" s="73" t="s">
        <v>278</v>
      </c>
      <c r="I250" s="494">
        <v>27737282</v>
      </c>
      <c r="J250" s="489">
        <v>20195500</v>
      </c>
      <c r="K250" s="489">
        <v>13000</v>
      </c>
      <c r="L250" s="489">
        <v>6830473</v>
      </c>
      <c r="M250" s="489">
        <v>403909</v>
      </c>
      <c r="N250" s="489">
        <v>294400</v>
      </c>
      <c r="O250" s="490">
        <v>35.237499999999997</v>
      </c>
      <c r="P250" s="490">
        <v>26.818100000000001</v>
      </c>
      <c r="Q250" s="500">
        <v>8.4193999999999996</v>
      </c>
      <c r="R250" s="502">
        <f t="shared" si="256"/>
        <v>0</v>
      </c>
      <c r="S250" s="492">
        <v>0</v>
      </c>
      <c r="T250" s="492">
        <v>0</v>
      </c>
      <c r="U250" s="492">
        <v>0</v>
      </c>
      <c r="V250" s="492">
        <f t="shared" ref="V250:V255" si="308">SUM(R250:U250)</f>
        <v>0</v>
      </c>
      <c r="W250" s="492">
        <v>0</v>
      </c>
      <c r="X250" s="492">
        <v>0</v>
      </c>
      <c r="Y250" s="492">
        <v>0</v>
      </c>
      <c r="Z250" s="492">
        <f t="shared" si="262"/>
        <v>0</v>
      </c>
      <c r="AA250" s="492">
        <f t="shared" si="263"/>
        <v>0</v>
      </c>
      <c r="AB250" s="74">
        <f t="shared" si="264"/>
        <v>0</v>
      </c>
      <c r="AC250" s="74">
        <f t="shared" si="265"/>
        <v>0</v>
      </c>
      <c r="AD250" s="492">
        <v>0</v>
      </c>
      <c r="AE250" s="492">
        <v>0</v>
      </c>
      <c r="AF250" s="492">
        <f t="shared" ref="AF250:AF255" si="309">SUM(AD250:AE250)</f>
        <v>0</v>
      </c>
      <c r="AG250" s="492">
        <f t="shared" ref="AG250:AG255" si="310">AA250+AB250+AC250+AF250</f>
        <v>0</v>
      </c>
      <c r="AH250" s="493">
        <v>0</v>
      </c>
      <c r="AI250" s="493">
        <v>0</v>
      </c>
      <c r="AJ250" s="493">
        <v>0</v>
      </c>
      <c r="AK250" s="493">
        <v>0</v>
      </c>
      <c r="AL250" s="493">
        <v>0</v>
      </c>
      <c r="AM250" s="493">
        <v>0</v>
      </c>
      <c r="AN250" s="493">
        <v>0</v>
      </c>
      <c r="AO250" s="493">
        <f t="shared" si="257"/>
        <v>0</v>
      </c>
      <c r="AP250" s="493">
        <f t="shared" si="258"/>
        <v>0</v>
      </c>
      <c r="AQ250" s="495">
        <f t="shared" si="268"/>
        <v>0</v>
      </c>
      <c r="AR250" s="501">
        <f t="shared" ref="AR250:AR255" si="311">I250+AG250</f>
        <v>27737282</v>
      </c>
      <c r="AS250" s="492">
        <f t="shared" ref="AS250:AS255" si="312">J250+V250</f>
        <v>20195500</v>
      </c>
      <c r="AT250" s="492">
        <f t="shared" ref="AT250:AT255" si="313">K250+Z250</f>
        <v>13000</v>
      </c>
      <c r="AU250" s="492">
        <f t="shared" ref="AU250:AV255" si="314">L250+AB250</f>
        <v>6830473</v>
      </c>
      <c r="AV250" s="492">
        <f t="shared" si="314"/>
        <v>403909</v>
      </c>
      <c r="AW250" s="492">
        <f t="shared" ref="AW250:AW255" si="315">N250+AF250</f>
        <v>294400</v>
      </c>
      <c r="AX250" s="493">
        <f t="shared" ref="AX250:AX255" si="316">O250+AQ250</f>
        <v>35.237499999999997</v>
      </c>
      <c r="AY250" s="493">
        <f t="shared" ref="AY250:AZ255" si="317">P250+AO250</f>
        <v>26.818100000000001</v>
      </c>
      <c r="AZ250" s="495">
        <f t="shared" si="317"/>
        <v>8.4193999999999996</v>
      </c>
    </row>
    <row r="251" spans="1:52" ht="14.1" customHeight="1" x14ac:dyDescent="0.2">
      <c r="A251" s="72">
        <v>51</v>
      </c>
      <c r="B251" s="69">
        <v>2310</v>
      </c>
      <c r="C251" s="70">
        <v>600080412</v>
      </c>
      <c r="D251" s="69">
        <v>72742038</v>
      </c>
      <c r="E251" s="71" t="s">
        <v>671</v>
      </c>
      <c r="F251" s="72">
        <v>3114</v>
      </c>
      <c r="G251" s="48" t="s">
        <v>314</v>
      </c>
      <c r="H251" s="73" t="s">
        <v>278</v>
      </c>
      <c r="I251" s="494">
        <v>10948103</v>
      </c>
      <c r="J251" s="489">
        <v>8061931</v>
      </c>
      <c r="K251" s="489">
        <v>0</v>
      </c>
      <c r="L251" s="489">
        <v>2724933</v>
      </c>
      <c r="M251" s="489">
        <v>161239</v>
      </c>
      <c r="N251" s="489">
        <v>0</v>
      </c>
      <c r="O251" s="490">
        <v>20.7502</v>
      </c>
      <c r="P251" s="490">
        <v>20.7502</v>
      </c>
      <c r="Q251" s="500">
        <v>0</v>
      </c>
      <c r="R251" s="502">
        <f t="shared" si="256"/>
        <v>0</v>
      </c>
      <c r="S251" s="492">
        <v>0</v>
      </c>
      <c r="T251" s="492">
        <v>0</v>
      </c>
      <c r="U251" s="492">
        <v>0</v>
      </c>
      <c r="V251" s="492">
        <f t="shared" si="308"/>
        <v>0</v>
      </c>
      <c r="W251" s="492">
        <v>0</v>
      </c>
      <c r="X251" s="492">
        <v>0</v>
      </c>
      <c r="Y251" s="492">
        <v>0</v>
      </c>
      <c r="Z251" s="492">
        <f t="shared" si="262"/>
        <v>0</v>
      </c>
      <c r="AA251" s="492">
        <f t="shared" si="263"/>
        <v>0</v>
      </c>
      <c r="AB251" s="74">
        <f t="shared" si="264"/>
        <v>0</v>
      </c>
      <c r="AC251" s="74">
        <f t="shared" si="265"/>
        <v>0</v>
      </c>
      <c r="AD251" s="492">
        <v>0</v>
      </c>
      <c r="AE251" s="492">
        <v>0</v>
      </c>
      <c r="AF251" s="492">
        <f t="shared" si="309"/>
        <v>0</v>
      </c>
      <c r="AG251" s="492">
        <f t="shared" si="310"/>
        <v>0</v>
      </c>
      <c r="AH251" s="493">
        <v>0</v>
      </c>
      <c r="AI251" s="493">
        <v>0</v>
      </c>
      <c r="AJ251" s="493">
        <v>0</v>
      </c>
      <c r="AK251" s="493">
        <v>0</v>
      </c>
      <c r="AL251" s="493">
        <v>0</v>
      </c>
      <c r="AM251" s="493">
        <v>0</v>
      </c>
      <c r="AN251" s="493">
        <v>0</v>
      </c>
      <c r="AO251" s="493">
        <f t="shared" si="257"/>
        <v>0</v>
      </c>
      <c r="AP251" s="493">
        <f t="shared" si="258"/>
        <v>0</v>
      </c>
      <c r="AQ251" s="495">
        <f t="shared" si="268"/>
        <v>0</v>
      </c>
      <c r="AR251" s="501">
        <f t="shared" si="311"/>
        <v>10948103</v>
      </c>
      <c r="AS251" s="492">
        <f t="shared" si="312"/>
        <v>8061931</v>
      </c>
      <c r="AT251" s="492">
        <f t="shared" si="313"/>
        <v>0</v>
      </c>
      <c r="AU251" s="492">
        <f t="shared" si="314"/>
        <v>2724933</v>
      </c>
      <c r="AV251" s="492">
        <f t="shared" si="314"/>
        <v>161239</v>
      </c>
      <c r="AW251" s="492">
        <f t="shared" si="315"/>
        <v>0</v>
      </c>
      <c r="AX251" s="493">
        <f t="shared" si="316"/>
        <v>20.7502</v>
      </c>
      <c r="AY251" s="493">
        <f t="shared" si="317"/>
        <v>20.7502</v>
      </c>
      <c r="AZ251" s="495">
        <f t="shared" si="317"/>
        <v>0</v>
      </c>
    </row>
    <row r="252" spans="1:52" ht="14.1" customHeight="1" x14ac:dyDescent="0.2">
      <c r="A252" s="72">
        <v>51</v>
      </c>
      <c r="B252" s="69">
        <v>2310</v>
      </c>
      <c r="C252" s="70">
        <v>600080412</v>
      </c>
      <c r="D252" s="69">
        <v>72742038</v>
      </c>
      <c r="E252" s="71" t="s">
        <v>671</v>
      </c>
      <c r="F252" s="72">
        <v>3114</v>
      </c>
      <c r="G252" s="84" t="s">
        <v>313</v>
      </c>
      <c r="H252" s="73" t="s">
        <v>279</v>
      </c>
      <c r="I252" s="494">
        <v>0</v>
      </c>
      <c r="J252" s="489">
        <v>0</v>
      </c>
      <c r="K252" s="489">
        <v>0</v>
      </c>
      <c r="L252" s="489">
        <v>0</v>
      </c>
      <c r="M252" s="489">
        <v>0</v>
      </c>
      <c r="N252" s="489">
        <v>0</v>
      </c>
      <c r="O252" s="490">
        <v>0</v>
      </c>
      <c r="P252" s="491">
        <v>0</v>
      </c>
      <c r="Q252" s="500">
        <v>0</v>
      </c>
      <c r="R252" s="502">
        <f t="shared" si="256"/>
        <v>0</v>
      </c>
      <c r="S252" s="492">
        <v>0</v>
      </c>
      <c r="T252" s="492">
        <v>0</v>
      </c>
      <c r="U252" s="492">
        <v>0</v>
      </c>
      <c r="V252" s="492">
        <f t="shared" si="308"/>
        <v>0</v>
      </c>
      <c r="W252" s="492">
        <v>0</v>
      </c>
      <c r="X252" s="492">
        <v>0</v>
      </c>
      <c r="Y252" s="492">
        <v>0</v>
      </c>
      <c r="Z252" s="492">
        <f t="shared" si="262"/>
        <v>0</v>
      </c>
      <c r="AA252" s="492">
        <f t="shared" si="263"/>
        <v>0</v>
      </c>
      <c r="AB252" s="74">
        <f t="shared" si="264"/>
        <v>0</v>
      </c>
      <c r="AC252" s="74">
        <f t="shared" si="265"/>
        <v>0</v>
      </c>
      <c r="AD252" s="492">
        <v>0</v>
      </c>
      <c r="AE252" s="492">
        <v>0</v>
      </c>
      <c r="AF252" s="492">
        <f t="shared" si="309"/>
        <v>0</v>
      </c>
      <c r="AG252" s="492">
        <f t="shared" si="310"/>
        <v>0</v>
      </c>
      <c r="AH252" s="493">
        <v>0</v>
      </c>
      <c r="AI252" s="493">
        <v>0</v>
      </c>
      <c r="AJ252" s="493">
        <v>0</v>
      </c>
      <c r="AK252" s="493">
        <v>0</v>
      </c>
      <c r="AL252" s="493">
        <v>0</v>
      </c>
      <c r="AM252" s="493">
        <v>0</v>
      </c>
      <c r="AN252" s="493">
        <v>0</v>
      </c>
      <c r="AO252" s="493">
        <f t="shared" si="257"/>
        <v>0</v>
      </c>
      <c r="AP252" s="493">
        <f t="shared" si="258"/>
        <v>0</v>
      </c>
      <c r="AQ252" s="495">
        <f t="shared" si="268"/>
        <v>0</v>
      </c>
      <c r="AR252" s="501">
        <f t="shared" si="311"/>
        <v>0</v>
      </c>
      <c r="AS252" s="492">
        <f t="shared" si="312"/>
        <v>0</v>
      </c>
      <c r="AT252" s="492">
        <f t="shared" si="313"/>
        <v>0</v>
      </c>
      <c r="AU252" s="492">
        <f t="shared" si="314"/>
        <v>0</v>
      </c>
      <c r="AV252" s="492">
        <f t="shared" si="314"/>
        <v>0</v>
      </c>
      <c r="AW252" s="492">
        <f t="shared" si="315"/>
        <v>0</v>
      </c>
      <c r="AX252" s="493">
        <f t="shared" si="316"/>
        <v>0</v>
      </c>
      <c r="AY252" s="493">
        <f t="shared" si="317"/>
        <v>0</v>
      </c>
      <c r="AZ252" s="495">
        <f t="shared" si="317"/>
        <v>0</v>
      </c>
    </row>
    <row r="253" spans="1:52" ht="14.1" customHeight="1" x14ac:dyDescent="0.2">
      <c r="A253" s="72">
        <v>51</v>
      </c>
      <c r="B253" s="69">
        <v>2310</v>
      </c>
      <c r="C253" s="70">
        <v>600080412</v>
      </c>
      <c r="D253" s="69">
        <v>72742038</v>
      </c>
      <c r="E253" s="71" t="s">
        <v>671</v>
      </c>
      <c r="F253" s="72">
        <v>3141</v>
      </c>
      <c r="G253" s="71" t="s">
        <v>316</v>
      </c>
      <c r="H253" s="73" t="s">
        <v>279</v>
      </c>
      <c r="I253" s="494">
        <v>92302</v>
      </c>
      <c r="J253" s="489">
        <v>67437</v>
      </c>
      <c r="K253" s="489">
        <v>0</v>
      </c>
      <c r="L253" s="489">
        <v>22794</v>
      </c>
      <c r="M253" s="489">
        <v>1349</v>
      </c>
      <c r="N253" s="489">
        <v>722</v>
      </c>
      <c r="O253" s="490">
        <v>0.21</v>
      </c>
      <c r="P253" s="491">
        <v>0</v>
      </c>
      <c r="Q253" s="500">
        <v>0.21</v>
      </c>
      <c r="R253" s="502">
        <f t="shared" si="256"/>
        <v>0</v>
      </c>
      <c r="S253" s="492">
        <v>0</v>
      </c>
      <c r="T253" s="492">
        <v>0</v>
      </c>
      <c r="U253" s="492">
        <v>0</v>
      </c>
      <c r="V253" s="492">
        <f t="shared" si="308"/>
        <v>0</v>
      </c>
      <c r="W253" s="492">
        <v>0</v>
      </c>
      <c r="X253" s="492">
        <v>0</v>
      </c>
      <c r="Y253" s="492">
        <v>0</v>
      </c>
      <c r="Z253" s="492">
        <f t="shared" si="262"/>
        <v>0</v>
      </c>
      <c r="AA253" s="492">
        <f t="shared" si="263"/>
        <v>0</v>
      </c>
      <c r="AB253" s="74">
        <f t="shared" si="264"/>
        <v>0</v>
      </c>
      <c r="AC253" s="74">
        <f t="shared" si="265"/>
        <v>0</v>
      </c>
      <c r="AD253" s="492">
        <v>0</v>
      </c>
      <c r="AE253" s="492">
        <v>0</v>
      </c>
      <c r="AF253" s="492">
        <f t="shared" si="309"/>
        <v>0</v>
      </c>
      <c r="AG253" s="492">
        <f t="shared" si="310"/>
        <v>0</v>
      </c>
      <c r="AH253" s="493">
        <v>0</v>
      </c>
      <c r="AI253" s="493">
        <v>0</v>
      </c>
      <c r="AJ253" s="493">
        <v>0</v>
      </c>
      <c r="AK253" s="493">
        <v>0</v>
      </c>
      <c r="AL253" s="493">
        <v>0</v>
      </c>
      <c r="AM253" s="493">
        <v>0</v>
      </c>
      <c r="AN253" s="493">
        <v>0</v>
      </c>
      <c r="AO253" s="493">
        <f t="shared" si="257"/>
        <v>0</v>
      </c>
      <c r="AP253" s="493">
        <f t="shared" si="258"/>
        <v>0</v>
      </c>
      <c r="AQ253" s="495">
        <f t="shared" si="268"/>
        <v>0</v>
      </c>
      <c r="AR253" s="501">
        <f t="shared" si="311"/>
        <v>92302</v>
      </c>
      <c r="AS253" s="492">
        <f t="shared" si="312"/>
        <v>67437</v>
      </c>
      <c r="AT253" s="492">
        <f t="shared" si="313"/>
        <v>0</v>
      </c>
      <c r="AU253" s="492">
        <f t="shared" si="314"/>
        <v>22794</v>
      </c>
      <c r="AV253" s="492">
        <f t="shared" si="314"/>
        <v>1349</v>
      </c>
      <c r="AW253" s="492">
        <f t="shared" si="315"/>
        <v>722</v>
      </c>
      <c r="AX253" s="493">
        <f t="shared" si="316"/>
        <v>0.21</v>
      </c>
      <c r="AY253" s="493">
        <f t="shared" si="317"/>
        <v>0</v>
      </c>
      <c r="AZ253" s="495">
        <f t="shared" si="317"/>
        <v>0.21</v>
      </c>
    </row>
    <row r="254" spans="1:52" ht="14.1" customHeight="1" x14ac:dyDescent="0.2">
      <c r="A254" s="72">
        <v>51</v>
      </c>
      <c r="B254" s="69">
        <v>2310</v>
      </c>
      <c r="C254" s="70">
        <v>600080412</v>
      </c>
      <c r="D254" s="69">
        <v>72742038</v>
      </c>
      <c r="E254" s="71" t="s">
        <v>671</v>
      </c>
      <c r="F254" s="72">
        <v>3143</v>
      </c>
      <c r="G254" s="84" t="s">
        <v>629</v>
      </c>
      <c r="H254" s="73" t="s">
        <v>278</v>
      </c>
      <c r="I254" s="494">
        <v>1601408</v>
      </c>
      <c r="J254" s="489">
        <v>1179240</v>
      </c>
      <c r="K254" s="489">
        <v>0</v>
      </c>
      <c r="L254" s="489">
        <v>398583</v>
      </c>
      <c r="M254" s="489">
        <v>23585</v>
      </c>
      <c r="N254" s="489">
        <v>0</v>
      </c>
      <c r="O254" s="490">
        <v>2.5</v>
      </c>
      <c r="P254" s="490">
        <v>2.5</v>
      </c>
      <c r="Q254" s="500">
        <v>0</v>
      </c>
      <c r="R254" s="502">
        <f t="shared" si="256"/>
        <v>0</v>
      </c>
      <c r="S254" s="492">
        <v>0</v>
      </c>
      <c r="T254" s="492">
        <v>0</v>
      </c>
      <c r="U254" s="492">
        <v>0</v>
      </c>
      <c r="V254" s="492">
        <f t="shared" si="308"/>
        <v>0</v>
      </c>
      <c r="W254" s="492">
        <v>0</v>
      </c>
      <c r="X254" s="492">
        <v>0</v>
      </c>
      <c r="Y254" s="492">
        <v>0</v>
      </c>
      <c r="Z254" s="492">
        <f t="shared" si="262"/>
        <v>0</v>
      </c>
      <c r="AA254" s="492">
        <f t="shared" si="263"/>
        <v>0</v>
      </c>
      <c r="AB254" s="74">
        <f t="shared" si="264"/>
        <v>0</v>
      </c>
      <c r="AC254" s="74">
        <f t="shared" si="265"/>
        <v>0</v>
      </c>
      <c r="AD254" s="492">
        <v>0</v>
      </c>
      <c r="AE254" s="492">
        <v>0</v>
      </c>
      <c r="AF254" s="492">
        <f t="shared" si="309"/>
        <v>0</v>
      </c>
      <c r="AG254" s="492">
        <f t="shared" si="310"/>
        <v>0</v>
      </c>
      <c r="AH254" s="493">
        <v>0</v>
      </c>
      <c r="AI254" s="493">
        <v>0</v>
      </c>
      <c r="AJ254" s="493">
        <v>0</v>
      </c>
      <c r="AK254" s="493">
        <v>0</v>
      </c>
      <c r="AL254" s="493">
        <v>0</v>
      </c>
      <c r="AM254" s="493">
        <v>0</v>
      </c>
      <c r="AN254" s="493">
        <v>0</v>
      </c>
      <c r="AO254" s="493">
        <f t="shared" si="257"/>
        <v>0</v>
      </c>
      <c r="AP254" s="493">
        <f t="shared" si="258"/>
        <v>0</v>
      </c>
      <c r="AQ254" s="495">
        <f t="shared" si="268"/>
        <v>0</v>
      </c>
      <c r="AR254" s="501">
        <f t="shared" si="311"/>
        <v>1601408</v>
      </c>
      <c r="AS254" s="492">
        <f t="shared" si="312"/>
        <v>1179240</v>
      </c>
      <c r="AT254" s="492">
        <f t="shared" si="313"/>
        <v>0</v>
      </c>
      <c r="AU254" s="492">
        <f t="shared" si="314"/>
        <v>398583</v>
      </c>
      <c r="AV254" s="492">
        <f t="shared" si="314"/>
        <v>23585</v>
      </c>
      <c r="AW254" s="492">
        <f t="shared" si="315"/>
        <v>0</v>
      </c>
      <c r="AX254" s="493">
        <f t="shared" si="316"/>
        <v>2.5</v>
      </c>
      <c r="AY254" s="493">
        <f t="shared" si="317"/>
        <v>2.5</v>
      </c>
      <c r="AZ254" s="495">
        <f t="shared" si="317"/>
        <v>0</v>
      </c>
    </row>
    <row r="255" spans="1:52" ht="14.1" customHeight="1" x14ac:dyDescent="0.2">
      <c r="A255" s="72">
        <v>51</v>
      </c>
      <c r="B255" s="69">
        <v>2310</v>
      </c>
      <c r="C255" s="70">
        <v>600080412</v>
      </c>
      <c r="D255" s="69">
        <v>72742038</v>
      </c>
      <c r="E255" s="71" t="s">
        <v>671</v>
      </c>
      <c r="F255" s="72">
        <v>3143</v>
      </c>
      <c r="G255" s="84" t="s">
        <v>630</v>
      </c>
      <c r="H255" s="73" t="s">
        <v>279</v>
      </c>
      <c r="I255" s="494">
        <v>37800</v>
      </c>
      <c r="J255" s="489">
        <v>26730</v>
      </c>
      <c r="K255" s="489">
        <v>0</v>
      </c>
      <c r="L255" s="489">
        <v>9035</v>
      </c>
      <c r="M255" s="489">
        <v>535</v>
      </c>
      <c r="N255" s="489">
        <v>1500</v>
      </c>
      <c r="O255" s="490">
        <v>0.1</v>
      </c>
      <c r="P255" s="491">
        <v>0</v>
      </c>
      <c r="Q255" s="500">
        <v>0.1</v>
      </c>
      <c r="R255" s="502">
        <f t="shared" si="256"/>
        <v>0</v>
      </c>
      <c r="S255" s="492">
        <v>0</v>
      </c>
      <c r="T255" s="492">
        <v>0</v>
      </c>
      <c r="U255" s="492">
        <v>0</v>
      </c>
      <c r="V255" s="492">
        <f t="shared" si="308"/>
        <v>0</v>
      </c>
      <c r="W255" s="492">
        <v>0</v>
      </c>
      <c r="X255" s="492">
        <v>0</v>
      </c>
      <c r="Y255" s="492">
        <v>0</v>
      </c>
      <c r="Z255" s="492">
        <f t="shared" si="262"/>
        <v>0</v>
      </c>
      <c r="AA255" s="492">
        <f t="shared" si="263"/>
        <v>0</v>
      </c>
      <c r="AB255" s="74">
        <f t="shared" si="264"/>
        <v>0</v>
      </c>
      <c r="AC255" s="74">
        <f t="shared" si="265"/>
        <v>0</v>
      </c>
      <c r="AD255" s="492">
        <v>0</v>
      </c>
      <c r="AE255" s="492">
        <v>0</v>
      </c>
      <c r="AF255" s="492">
        <f t="shared" si="309"/>
        <v>0</v>
      </c>
      <c r="AG255" s="492">
        <f t="shared" si="310"/>
        <v>0</v>
      </c>
      <c r="AH255" s="493">
        <v>0</v>
      </c>
      <c r="AI255" s="493">
        <v>0</v>
      </c>
      <c r="AJ255" s="493">
        <v>0</v>
      </c>
      <c r="AK255" s="493">
        <v>0</v>
      </c>
      <c r="AL255" s="493">
        <v>0</v>
      </c>
      <c r="AM255" s="493">
        <v>0</v>
      </c>
      <c r="AN255" s="493">
        <v>0</v>
      </c>
      <c r="AO255" s="493">
        <f t="shared" si="257"/>
        <v>0</v>
      </c>
      <c r="AP255" s="493">
        <f t="shared" si="258"/>
        <v>0</v>
      </c>
      <c r="AQ255" s="495">
        <f t="shared" si="268"/>
        <v>0</v>
      </c>
      <c r="AR255" s="501">
        <f t="shared" si="311"/>
        <v>37800</v>
      </c>
      <c r="AS255" s="492">
        <f t="shared" si="312"/>
        <v>26730</v>
      </c>
      <c r="AT255" s="492">
        <f t="shared" si="313"/>
        <v>0</v>
      </c>
      <c r="AU255" s="492">
        <f t="shared" si="314"/>
        <v>9035</v>
      </c>
      <c r="AV255" s="492">
        <f t="shared" si="314"/>
        <v>535</v>
      </c>
      <c r="AW255" s="492">
        <f t="shared" si="315"/>
        <v>1500</v>
      </c>
      <c r="AX255" s="493">
        <f t="shared" si="316"/>
        <v>0.1</v>
      </c>
      <c r="AY255" s="493">
        <f t="shared" si="317"/>
        <v>0</v>
      </c>
      <c r="AZ255" s="495">
        <f t="shared" si="317"/>
        <v>0.1</v>
      </c>
    </row>
    <row r="256" spans="1:52" ht="14.1" customHeight="1" x14ac:dyDescent="0.2">
      <c r="A256" s="78">
        <v>51</v>
      </c>
      <c r="B256" s="75">
        <v>2310</v>
      </c>
      <c r="C256" s="76">
        <v>600080412</v>
      </c>
      <c r="D256" s="75">
        <v>72742038</v>
      </c>
      <c r="E256" s="77" t="s">
        <v>672</v>
      </c>
      <c r="F256" s="78"/>
      <c r="G256" s="77"/>
      <c r="H256" s="79"/>
      <c r="I256" s="80">
        <v>40416895</v>
      </c>
      <c r="J256" s="81">
        <v>29530838</v>
      </c>
      <c r="K256" s="81">
        <v>13000</v>
      </c>
      <c r="L256" s="81">
        <v>9985818</v>
      </c>
      <c r="M256" s="81">
        <v>590617</v>
      </c>
      <c r="N256" s="81">
        <v>296622</v>
      </c>
      <c r="O256" s="82">
        <v>58.797699999999999</v>
      </c>
      <c r="P256" s="82">
        <v>50.068300000000001</v>
      </c>
      <c r="Q256" s="452">
        <v>8.7294</v>
      </c>
      <c r="R256" s="80">
        <f t="shared" ref="R256:AZ256" si="318">SUM(R250:R255)</f>
        <v>0</v>
      </c>
      <c r="S256" s="81">
        <f t="shared" si="318"/>
        <v>0</v>
      </c>
      <c r="T256" s="81">
        <f t="shared" si="318"/>
        <v>0</v>
      </c>
      <c r="U256" s="81">
        <f t="shared" si="318"/>
        <v>0</v>
      </c>
      <c r="V256" s="81">
        <f t="shared" si="318"/>
        <v>0</v>
      </c>
      <c r="W256" s="81">
        <f t="shared" si="318"/>
        <v>0</v>
      </c>
      <c r="X256" s="81">
        <f t="shared" si="318"/>
        <v>0</v>
      </c>
      <c r="Y256" s="81">
        <f t="shared" si="318"/>
        <v>0</v>
      </c>
      <c r="Z256" s="81">
        <f t="shared" si="318"/>
        <v>0</v>
      </c>
      <c r="AA256" s="81">
        <f t="shared" si="318"/>
        <v>0</v>
      </c>
      <c r="AB256" s="81">
        <f t="shared" si="318"/>
        <v>0</v>
      </c>
      <c r="AC256" s="81">
        <f t="shared" si="318"/>
        <v>0</v>
      </c>
      <c r="AD256" s="81">
        <f t="shared" si="318"/>
        <v>0</v>
      </c>
      <c r="AE256" s="81">
        <f t="shared" si="318"/>
        <v>0</v>
      </c>
      <c r="AF256" s="81">
        <f t="shared" si="318"/>
        <v>0</v>
      </c>
      <c r="AG256" s="81">
        <f t="shared" si="318"/>
        <v>0</v>
      </c>
      <c r="AH256" s="82">
        <f t="shared" si="318"/>
        <v>0</v>
      </c>
      <c r="AI256" s="82">
        <f t="shared" si="318"/>
        <v>0</v>
      </c>
      <c r="AJ256" s="82">
        <f t="shared" si="318"/>
        <v>0</v>
      </c>
      <c r="AK256" s="82">
        <f t="shared" ref="AK256:AL256" si="319">SUM(AK250:AK255)</f>
        <v>0</v>
      </c>
      <c r="AL256" s="82">
        <f t="shared" si="319"/>
        <v>0</v>
      </c>
      <c r="AM256" s="82">
        <f t="shared" si="318"/>
        <v>0</v>
      </c>
      <c r="AN256" s="82">
        <f t="shared" si="318"/>
        <v>0</v>
      </c>
      <c r="AO256" s="82">
        <f t="shared" si="318"/>
        <v>0</v>
      </c>
      <c r="AP256" s="82">
        <f t="shared" si="318"/>
        <v>0</v>
      </c>
      <c r="AQ256" s="83">
        <f t="shared" si="318"/>
        <v>0</v>
      </c>
      <c r="AR256" s="438">
        <f t="shared" si="318"/>
        <v>40416895</v>
      </c>
      <c r="AS256" s="81">
        <f t="shared" si="318"/>
        <v>29530838</v>
      </c>
      <c r="AT256" s="81">
        <f t="shared" si="318"/>
        <v>13000</v>
      </c>
      <c r="AU256" s="81">
        <f t="shared" si="318"/>
        <v>9985818</v>
      </c>
      <c r="AV256" s="81">
        <f t="shared" si="318"/>
        <v>590617</v>
      </c>
      <c r="AW256" s="81">
        <f t="shared" si="318"/>
        <v>296622</v>
      </c>
      <c r="AX256" s="82">
        <f t="shared" si="318"/>
        <v>58.797699999999999</v>
      </c>
      <c r="AY256" s="82">
        <f t="shared" si="318"/>
        <v>50.068300000000001</v>
      </c>
      <c r="AZ256" s="83">
        <f t="shared" si="318"/>
        <v>8.7294</v>
      </c>
    </row>
    <row r="257" spans="1:52" ht="14.1" customHeight="1" x14ac:dyDescent="0.2">
      <c r="A257" s="72">
        <v>52</v>
      </c>
      <c r="B257" s="69">
        <v>2313</v>
      </c>
      <c r="C257" s="70">
        <v>600080323</v>
      </c>
      <c r="D257" s="69">
        <v>64040445</v>
      </c>
      <c r="E257" s="71" t="s">
        <v>673</v>
      </c>
      <c r="F257" s="72">
        <v>3231</v>
      </c>
      <c r="G257" s="71" t="s">
        <v>317</v>
      </c>
      <c r="H257" s="73" t="s">
        <v>278</v>
      </c>
      <c r="I257" s="494">
        <v>53583258</v>
      </c>
      <c r="J257" s="489">
        <v>39310602</v>
      </c>
      <c r="K257" s="489">
        <v>19500</v>
      </c>
      <c r="L257" s="489">
        <v>13293574</v>
      </c>
      <c r="M257" s="489">
        <v>786212</v>
      </c>
      <c r="N257" s="489">
        <v>173370</v>
      </c>
      <c r="O257" s="490">
        <v>72.986499999999992</v>
      </c>
      <c r="P257" s="491">
        <v>64.893199999999993</v>
      </c>
      <c r="Q257" s="500">
        <v>8.0932999999999993</v>
      </c>
      <c r="R257" s="502">
        <f t="shared" si="256"/>
        <v>0</v>
      </c>
      <c r="S257" s="492">
        <v>0</v>
      </c>
      <c r="T257" s="492">
        <v>0</v>
      </c>
      <c r="U257" s="492">
        <v>0</v>
      </c>
      <c r="V257" s="492">
        <f>SUM(R257:U257)</f>
        <v>0</v>
      </c>
      <c r="W257" s="492">
        <v>0</v>
      </c>
      <c r="X257" s="492">
        <v>0</v>
      </c>
      <c r="Y257" s="492">
        <v>0</v>
      </c>
      <c r="Z257" s="492">
        <f t="shared" si="262"/>
        <v>0</v>
      </c>
      <c r="AA257" s="492">
        <f t="shared" si="263"/>
        <v>0</v>
      </c>
      <c r="AB257" s="74">
        <f t="shared" si="264"/>
        <v>0</v>
      </c>
      <c r="AC257" s="74">
        <f t="shared" si="265"/>
        <v>0</v>
      </c>
      <c r="AD257" s="492">
        <v>0</v>
      </c>
      <c r="AE257" s="492">
        <v>0</v>
      </c>
      <c r="AF257" s="492">
        <f>SUM(AD257:AE257)</f>
        <v>0</v>
      </c>
      <c r="AG257" s="492">
        <f>AA257+AB257+AC257+AF257</f>
        <v>0</v>
      </c>
      <c r="AH257" s="493">
        <v>0</v>
      </c>
      <c r="AI257" s="493">
        <v>0</v>
      </c>
      <c r="AJ257" s="493">
        <v>0</v>
      </c>
      <c r="AK257" s="493">
        <v>0</v>
      </c>
      <c r="AL257" s="493">
        <v>0</v>
      </c>
      <c r="AM257" s="493">
        <v>0</v>
      </c>
      <c r="AN257" s="493">
        <v>0</v>
      </c>
      <c r="AO257" s="493">
        <f t="shared" si="257"/>
        <v>0</v>
      </c>
      <c r="AP257" s="493">
        <f t="shared" si="258"/>
        <v>0</v>
      </c>
      <c r="AQ257" s="495">
        <f t="shared" si="268"/>
        <v>0</v>
      </c>
      <c r="AR257" s="501">
        <f>I257+AG257</f>
        <v>53583258</v>
      </c>
      <c r="AS257" s="492">
        <f>J257+V257</f>
        <v>39310602</v>
      </c>
      <c r="AT257" s="492">
        <f>K257+Z257</f>
        <v>19500</v>
      </c>
      <c r="AU257" s="492">
        <f>L257+AB257</f>
        <v>13293574</v>
      </c>
      <c r="AV257" s="492">
        <f>M257+AC257</f>
        <v>786212</v>
      </c>
      <c r="AW257" s="492">
        <f>N257+AF257</f>
        <v>173370</v>
      </c>
      <c r="AX257" s="493">
        <f>O257+AQ257</f>
        <v>72.986499999999992</v>
      </c>
      <c r="AY257" s="493">
        <f>P257+AO257</f>
        <v>64.893199999999993</v>
      </c>
      <c r="AZ257" s="495">
        <f>Q257+AP257</f>
        <v>8.0932999999999993</v>
      </c>
    </row>
    <row r="258" spans="1:52" ht="14.1" customHeight="1" x14ac:dyDescent="0.2">
      <c r="A258" s="78">
        <v>52</v>
      </c>
      <c r="B258" s="75">
        <v>2313</v>
      </c>
      <c r="C258" s="76">
        <v>600080323</v>
      </c>
      <c r="D258" s="75">
        <v>64040445</v>
      </c>
      <c r="E258" s="77" t="s">
        <v>674</v>
      </c>
      <c r="F258" s="78"/>
      <c r="G258" s="77"/>
      <c r="H258" s="79"/>
      <c r="I258" s="85">
        <v>53583258</v>
      </c>
      <c r="J258" s="86">
        <v>39310602</v>
      </c>
      <c r="K258" s="86">
        <v>19500</v>
      </c>
      <c r="L258" s="86">
        <v>13293574</v>
      </c>
      <c r="M258" s="86">
        <v>786212</v>
      </c>
      <c r="N258" s="86">
        <v>173370</v>
      </c>
      <c r="O258" s="87">
        <v>72.986499999999992</v>
      </c>
      <c r="P258" s="87">
        <v>64.893199999999993</v>
      </c>
      <c r="Q258" s="453">
        <v>8.0932999999999993</v>
      </c>
      <c r="R258" s="85">
        <f t="shared" ref="R258:AZ258" si="320">SUM(R257)</f>
        <v>0</v>
      </c>
      <c r="S258" s="86">
        <f t="shared" si="320"/>
        <v>0</v>
      </c>
      <c r="T258" s="86">
        <f t="shared" si="320"/>
        <v>0</v>
      </c>
      <c r="U258" s="86">
        <f t="shared" si="320"/>
        <v>0</v>
      </c>
      <c r="V258" s="86">
        <f t="shared" si="320"/>
        <v>0</v>
      </c>
      <c r="W258" s="86">
        <f t="shared" si="320"/>
        <v>0</v>
      </c>
      <c r="X258" s="86">
        <f t="shared" si="320"/>
        <v>0</v>
      </c>
      <c r="Y258" s="86">
        <f t="shared" si="320"/>
        <v>0</v>
      </c>
      <c r="Z258" s="86">
        <f t="shared" si="320"/>
        <v>0</v>
      </c>
      <c r="AA258" s="86">
        <f t="shared" si="320"/>
        <v>0</v>
      </c>
      <c r="AB258" s="86">
        <f t="shared" si="320"/>
        <v>0</v>
      </c>
      <c r="AC258" s="86">
        <f t="shared" si="320"/>
        <v>0</v>
      </c>
      <c r="AD258" s="86">
        <f t="shared" si="320"/>
        <v>0</v>
      </c>
      <c r="AE258" s="86">
        <f t="shared" si="320"/>
        <v>0</v>
      </c>
      <c r="AF258" s="86">
        <f t="shared" si="320"/>
        <v>0</v>
      </c>
      <c r="AG258" s="86">
        <f t="shared" si="320"/>
        <v>0</v>
      </c>
      <c r="AH258" s="87">
        <f t="shared" si="320"/>
        <v>0</v>
      </c>
      <c r="AI258" s="87">
        <f t="shared" si="320"/>
        <v>0</v>
      </c>
      <c r="AJ258" s="87">
        <f t="shared" si="320"/>
        <v>0</v>
      </c>
      <c r="AK258" s="87">
        <f t="shared" ref="AK258:AL258" si="321">SUM(AK257)</f>
        <v>0</v>
      </c>
      <c r="AL258" s="87">
        <f t="shared" si="321"/>
        <v>0</v>
      </c>
      <c r="AM258" s="87">
        <f t="shared" si="320"/>
        <v>0</v>
      </c>
      <c r="AN258" s="87">
        <f t="shared" si="320"/>
        <v>0</v>
      </c>
      <c r="AO258" s="87">
        <f t="shared" si="320"/>
        <v>0</v>
      </c>
      <c r="AP258" s="87">
        <f t="shared" si="320"/>
        <v>0</v>
      </c>
      <c r="AQ258" s="88">
        <f t="shared" si="320"/>
        <v>0</v>
      </c>
      <c r="AR258" s="439">
        <f t="shared" si="320"/>
        <v>53583258</v>
      </c>
      <c r="AS258" s="86">
        <f t="shared" si="320"/>
        <v>39310602</v>
      </c>
      <c r="AT258" s="86">
        <f t="shared" si="320"/>
        <v>19500</v>
      </c>
      <c r="AU258" s="86">
        <f t="shared" si="320"/>
        <v>13293574</v>
      </c>
      <c r="AV258" s="86">
        <f t="shared" si="320"/>
        <v>786212</v>
      </c>
      <c r="AW258" s="86">
        <f t="shared" si="320"/>
        <v>173370</v>
      </c>
      <c r="AX258" s="87">
        <f t="shared" si="320"/>
        <v>72.986499999999992</v>
      </c>
      <c r="AY258" s="87">
        <f t="shared" si="320"/>
        <v>64.893199999999993</v>
      </c>
      <c r="AZ258" s="88">
        <f t="shared" si="320"/>
        <v>8.0932999999999993</v>
      </c>
    </row>
    <row r="259" spans="1:52" ht="14.1" customHeight="1" x14ac:dyDescent="0.2">
      <c r="A259" s="72">
        <v>53</v>
      </c>
      <c r="B259" s="69">
        <v>2431</v>
      </c>
      <c r="C259" s="70">
        <v>600079228</v>
      </c>
      <c r="D259" s="69">
        <v>46746234</v>
      </c>
      <c r="E259" s="71" t="s">
        <v>675</v>
      </c>
      <c r="F259" s="72">
        <v>3111</v>
      </c>
      <c r="G259" s="71" t="s">
        <v>312</v>
      </c>
      <c r="H259" s="73" t="s">
        <v>278</v>
      </c>
      <c r="I259" s="494">
        <v>7294253</v>
      </c>
      <c r="J259" s="674">
        <v>5330775</v>
      </c>
      <c r="K259" s="674">
        <v>7519</v>
      </c>
      <c r="L259" s="489">
        <v>1804343</v>
      </c>
      <c r="M259" s="489">
        <v>106616</v>
      </c>
      <c r="N259" s="489">
        <v>45000</v>
      </c>
      <c r="O259" s="490">
        <v>11.269699999999998</v>
      </c>
      <c r="P259" s="490">
        <v>8.4014999999999986</v>
      </c>
      <c r="Q259" s="500">
        <v>2.8681999999999999</v>
      </c>
      <c r="R259" s="502">
        <f t="shared" si="256"/>
        <v>0</v>
      </c>
      <c r="S259" s="492">
        <v>0</v>
      </c>
      <c r="T259" s="492">
        <v>0</v>
      </c>
      <c r="U259" s="492">
        <v>0</v>
      </c>
      <c r="V259" s="492">
        <f>SUM(R259:U259)</f>
        <v>0</v>
      </c>
      <c r="W259" s="492">
        <v>0</v>
      </c>
      <c r="X259" s="492">
        <v>0</v>
      </c>
      <c r="Y259" s="492">
        <v>0</v>
      </c>
      <c r="Z259" s="492">
        <f t="shared" si="262"/>
        <v>0</v>
      </c>
      <c r="AA259" s="492">
        <f t="shared" si="263"/>
        <v>0</v>
      </c>
      <c r="AB259" s="74">
        <f t="shared" si="264"/>
        <v>0</v>
      </c>
      <c r="AC259" s="74">
        <f t="shared" si="265"/>
        <v>0</v>
      </c>
      <c r="AD259" s="492">
        <v>0</v>
      </c>
      <c r="AE259" s="492">
        <v>0</v>
      </c>
      <c r="AF259" s="492">
        <f>SUM(AD259:AE259)</f>
        <v>0</v>
      </c>
      <c r="AG259" s="492">
        <f>AA259+AB259+AC259+AF259</f>
        <v>0</v>
      </c>
      <c r="AH259" s="493">
        <v>0</v>
      </c>
      <c r="AI259" s="493">
        <v>0</v>
      </c>
      <c r="AJ259" s="493">
        <v>0</v>
      </c>
      <c r="AK259" s="493">
        <v>0</v>
      </c>
      <c r="AL259" s="493">
        <v>0</v>
      </c>
      <c r="AM259" s="493">
        <v>0</v>
      </c>
      <c r="AN259" s="493">
        <v>0</v>
      </c>
      <c r="AO259" s="493">
        <f t="shared" si="257"/>
        <v>0</v>
      </c>
      <c r="AP259" s="493">
        <f t="shared" si="258"/>
        <v>0</v>
      </c>
      <c r="AQ259" s="495">
        <f t="shared" si="268"/>
        <v>0</v>
      </c>
      <c r="AR259" s="501">
        <f>I259+AG259</f>
        <v>7294253</v>
      </c>
      <c r="AS259" s="492">
        <f>J259+V259</f>
        <v>5330775</v>
      </c>
      <c r="AT259" s="492">
        <f t="shared" ref="AT259:AT261" si="322">K259+Z259</f>
        <v>7519</v>
      </c>
      <c r="AU259" s="492">
        <f t="shared" ref="AU259:AV261" si="323">L259+AB259</f>
        <v>1804343</v>
      </c>
      <c r="AV259" s="492">
        <f t="shared" si="323"/>
        <v>106616</v>
      </c>
      <c r="AW259" s="492">
        <f>N259+AF259</f>
        <v>45000</v>
      </c>
      <c r="AX259" s="493">
        <f>O259+AQ259</f>
        <v>11.269699999999998</v>
      </c>
      <c r="AY259" s="493">
        <f t="shared" ref="AY259:AZ261" si="324">P259+AO259</f>
        <v>8.4014999999999986</v>
      </c>
      <c r="AZ259" s="495">
        <f t="shared" si="324"/>
        <v>2.8681999999999999</v>
      </c>
    </row>
    <row r="260" spans="1:52" ht="14.1" customHeight="1" x14ac:dyDescent="0.2">
      <c r="A260" s="72">
        <v>53</v>
      </c>
      <c r="B260" s="69">
        <v>2431</v>
      </c>
      <c r="C260" s="70">
        <v>600079228</v>
      </c>
      <c r="D260" s="69">
        <v>46746234</v>
      </c>
      <c r="E260" s="71" t="s">
        <v>675</v>
      </c>
      <c r="F260" s="72">
        <v>3111</v>
      </c>
      <c r="G260" s="84" t="s">
        <v>313</v>
      </c>
      <c r="H260" s="73" t="s">
        <v>279</v>
      </c>
      <c r="I260" s="494">
        <v>31419</v>
      </c>
      <c r="J260" s="489">
        <v>23136</v>
      </c>
      <c r="K260" s="489">
        <v>0</v>
      </c>
      <c r="L260" s="489">
        <v>7820</v>
      </c>
      <c r="M260" s="489">
        <v>463</v>
      </c>
      <c r="N260" s="489">
        <v>0</v>
      </c>
      <c r="O260" s="490">
        <v>0.05</v>
      </c>
      <c r="P260" s="491">
        <v>0.05</v>
      </c>
      <c r="Q260" s="500">
        <v>0</v>
      </c>
      <c r="R260" s="502">
        <f t="shared" si="256"/>
        <v>0</v>
      </c>
      <c r="S260" s="489">
        <v>0</v>
      </c>
      <c r="T260" s="492">
        <v>0</v>
      </c>
      <c r="U260" s="492">
        <v>0</v>
      </c>
      <c r="V260" s="492">
        <f>SUM(R260:U260)</f>
        <v>0</v>
      </c>
      <c r="W260" s="492">
        <v>0</v>
      </c>
      <c r="X260" s="492">
        <v>0</v>
      </c>
      <c r="Y260" s="492">
        <v>0</v>
      </c>
      <c r="Z260" s="492">
        <f t="shared" si="262"/>
        <v>0</v>
      </c>
      <c r="AA260" s="492">
        <f t="shared" si="263"/>
        <v>0</v>
      </c>
      <c r="AB260" s="74">
        <f t="shared" si="264"/>
        <v>0</v>
      </c>
      <c r="AC260" s="74">
        <f t="shared" si="265"/>
        <v>0</v>
      </c>
      <c r="AD260" s="492">
        <v>0</v>
      </c>
      <c r="AE260" s="492">
        <v>0</v>
      </c>
      <c r="AF260" s="492">
        <f>SUM(AD260:AE260)</f>
        <v>0</v>
      </c>
      <c r="AG260" s="492">
        <f>AA260+AB260+AC260+AF260</f>
        <v>0</v>
      </c>
      <c r="AH260" s="493">
        <v>0</v>
      </c>
      <c r="AI260" s="493">
        <v>0</v>
      </c>
      <c r="AJ260" s="493">
        <v>0</v>
      </c>
      <c r="AK260" s="493">
        <v>0</v>
      </c>
      <c r="AL260" s="493">
        <v>0</v>
      </c>
      <c r="AM260" s="493">
        <v>0</v>
      </c>
      <c r="AN260" s="493">
        <v>0</v>
      </c>
      <c r="AO260" s="493">
        <f t="shared" si="257"/>
        <v>0</v>
      </c>
      <c r="AP260" s="493">
        <f t="shared" si="258"/>
        <v>0</v>
      </c>
      <c r="AQ260" s="495">
        <f t="shared" si="268"/>
        <v>0</v>
      </c>
      <c r="AR260" s="501">
        <f>I260+AG260</f>
        <v>31419</v>
      </c>
      <c r="AS260" s="492">
        <f>J260+V260</f>
        <v>23136</v>
      </c>
      <c r="AT260" s="492">
        <f t="shared" si="322"/>
        <v>0</v>
      </c>
      <c r="AU260" s="492">
        <f t="shared" si="323"/>
        <v>7820</v>
      </c>
      <c r="AV260" s="492">
        <f t="shared" si="323"/>
        <v>463</v>
      </c>
      <c r="AW260" s="492">
        <f>N260+AF260</f>
        <v>0</v>
      </c>
      <c r="AX260" s="493">
        <f>O260+AQ260</f>
        <v>0.05</v>
      </c>
      <c r="AY260" s="493">
        <f t="shared" si="324"/>
        <v>0.05</v>
      </c>
      <c r="AZ260" s="495">
        <f t="shared" si="324"/>
        <v>0</v>
      </c>
    </row>
    <row r="261" spans="1:52" ht="14.1" customHeight="1" x14ac:dyDescent="0.2">
      <c r="A261" s="72">
        <v>53</v>
      </c>
      <c r="B261" s="69">
        <v>2431</v>
      </c>
      <c r="C261" s="70">
        <v>600079228</v>
      </c>
      <c r="D261" s="69">
        <v>46746234</v>
      </c>
      <c r="E261" s="71" t="s">
        <v>675</v>
      </c>
      <c r="F261" s="72">
        <v>3141</v>
      </c>
      <c r="G261" s="71" t="s">
        <v>316</v>
      </c>
      <c r="H261" s="73" t="s">
        <v>279</v>
      </c>
      <c r="I261" s="494">
        <v>1105690</v>
      </c>
      <c r="J261" s="489">
        <v>803529</v>
      </c>
      <c r="K261" s="489">
        <v>6500</v>
      </c>
      <c r="L261" s="489">
        <v>273790</v>
      </c>
      <c r="M261" s="489">
        <v>16071</v>
      </c>
      <c r="N261" s="489">
        <v>5800</v>
      </c>
      <c r="O261" s="490">
        <v>2.5499999999999998</v>
      </c>
      <c r="P261" s="491">
        <v>0</v>
      </c>
      <c r="Q261" s="500">
        <v>2.5499999999999998</v>
      </c>
      <c r="R261" s="502">
        <f t="shared" si="256"/>
        <v>0</v>
      </c>
      <c r="S261" s="492">
        <v>0</v>
      </c>
      <c r="T261" s="492">
        <v>0</v>
      </c>
      <c r="U261" s="492">
        <v>0</v>
      </c>
      <c r="V261" s="492">
        <f>SUM(R261:U261)</f>
        <v>0</v>
      </c>
      <c r="W261" s="492">
        <v>0</v>
      </c>
      <c r="X261" s="492">
        <v>0</v>
      </c>
      <c r="Y261" s="492">
        <v>0</v>
      </c>
      <c r="Z261" s="492">
        <f t="shared" si="262"/>
        <v>0</v>
      </c>
      <c r="AA261" s="492">
        <f t="shared" si="263"/>
        <v>0</v>
      </c>
      <c r="AB261" s="74">
        <f t="shared" si="264"/>
        <v>0</v>
      </c>
      <c r="AC261" s="74">
        <f t="shared" si="265"/>
        <v>0</v>
      </c>
      <c r="AD261" s="492">
        <v>0</v>
      </c>
      <c r="AE261" s="492">
        <v>0</v>
      </c>
      <c r="AF261" s="492">
        <f>SUM(AD261:AE261)</f>
        <v>0</v>
      </c>
      <c r="AG261" s="492">
        <f>AA261+AB261+AC261+AF261</f>
        <v>0</v>
      </c>
      <c r="AH261" s="493">
        <v>0</v>
      </c>
      <c r="AI261" s="493">
        <v>0</v>
      </c>
      <c r="AJ261" s="493">
        <v>0</v>
      </c>
      <c r="AK261" s="493">
        <v>0</v>
      </c>
      <c r="AL261" s="493">
        <v>0</v>
      </c>
      <c r="AM261" s="493">
        <v>0</v>
      </c>
      <c r="AN261" s="493">
        <v>0</v>
      </c>
      <c r="AO261" s="493">
        <f t="shared" si="257"/>
        <v>0</v>
      </c>
      <c r="AP261" s="493">
        <f t="shared" si="258"/>
        <v>0</v>
      </c>
      <c r="AQ261" s="495">
        <f t="shared" si="268"/>
        <v>0</v>
      </c>
      <c r="AR261" s="501">
        <f>I261+AG261</f>
        <v>1105690</v>
      </c>
      <c r="AS261" s="492">
        <f>J261+V261</f>
        <v>803529</v>
      </c>
      <c r="AT261" s="492">
        <f t="shared" si="322"/>
        <v>6500</v>
      </c>
      <c r="AU261" s="492">
        <f t="shared" si="323"/>
        <v>273790</v>
      </c>
      <c r="AV261" s="492">
        <f t="shared" si="323"/>
        <v>16071</v>
      </c>
      <c r="AW261" s="492">
        <f>N261+AF261</f>
        <v>5800</v>
      </c>
      <c r="AX261" s="493">
        <f>O261+AQ261</f>
        <v>2.5499999999999998</v>
      </c>
      <c r="AY261" s="493">
        <f t="shared" si="324"/>
        <v>0</v>
      </c>
      <c r="AZ261" s="495">
        <f t="shared" si="324"/>
        <v>2.5499999999999998</v>
      </c>
    </row>
    <row r="262" spans="1:52" ht="14.1" customHeight="1" x14ac:dyDescent="0.2">
      <c r="A262" s="78">
        <v>53</v>
      </c>
      <c r="B262" s="75">
        <v>2431</v>
      </c>
      <c r="C262" s="76">
        <v>600079228</v>
      </c>
      <c r="D262" s="75">
        <v>46746234</v>
      </c>
      <c r="E262" s="77" t="s">
        <v>676</v>
      </c>
      <c r="F262" s="78"/>
      <c r="G262" s="77"/>
      <c r="H262" s="79"/>
      <c r="I262" s="80">
        <v>8431362</v>
      </c>
      <c r="J262" s="81">
        <v>6157440</v>
      </c>
      <c r="K262" s="81">
        <v>14019</v>
      </c>
      <c r="L262" s="81">
        <v>2085953</v>
      </c>
      <c r="M262" s="81">
        <v>123150</v>
      </c>
      <c r="N262" s="81">
        <v>50800</v>
      </c>
      <c r="O262" s="82">
        <v>13.869699999999998</v>
      </c>
      <c r="P262" s="82">
        <v>8.4514999999999993</v>
      </c>
      <c r="Q262" s="452">
        <v>5.4181999999999997</v>
      </c>
      <c r="R262" s="80">
        <f t="shared" ref="R262:AZ262" si="325">SUM(R259:R261)</f>
        <v>0</v>
      </c>
      <c r="S262" s="81">
        <f t="shared" si="325"/>
        <v>0</v>
      </c>
      <c r="T262" s="81">
        <f t="shared" si="325"/>
        <v>0</v>
      </c>
      <c r="U262" s="81">
        <f t="shared" si="325"/>
        <v>0</v>
      </c>
      <c r="V262" s="81">
        <f t="shared" si="325"/>
        <v>0</v>
      </c>
      <c r="W262" s="81">
        <f t="shared" si="325"/>
        <v>0</v>
      </c>
      <c r="X262" s="81">
        <f t="shared" si="325"/>
        <v>0</v>
      </c>
      <c r="Y262" s="81">
        <f t="shared" si="325"/>
        <v>0</v>
      </c>
      <c r="Z262" s="81">
        <f t="shared" si="325"/>
        <v>0</v>
      </c>
      <c r="AA262" s="81">
        <f t="shared" si="325"/>
        <v>0</v>
      </c>
      <c r="AB262" s="81">
        <f t="shared" si="325"/>
        <v>0</v>
      </c>
      <c r="AC262" s="81">
        <f t="shared" si="325"/>
        <v>0</v>
      </c>
      <c r="AD262" s="81">
        <f t="shared" si="325"/>
        <v>0</v>
      </c>
      <c r="AE262" s="81">
        <f t="shared" si="325"/>
        <v>0</v>
      </c>
      <c r="AF262" s="81">
        <f t="shared" si="325"/>
        <v>0</v>
      </c>
      <c r="AG262" s="81">
        <f t="shared" si="325"/>
        <v>0</v>
      </c>
      <c r="AH262" s="82">
        <f t="shared" si="325"/>
        <v>0</v>
      </c>
      <c r="AI262" s="82">
        <f t="shared" si="325"/>
        <v>0</v>
      </c>
      <c r="AJ262" s="82">
        <f t="shared" si="325"/>
        <v>0</v>
      </c>
      <c r="AK262" s="82">
        <f t="shared" ref="AK262:AL262" si="326">SUM(AK259:AK261)</f>
        <v>0</v>
      </c>
      <c r="AL262" s="82">
        <f t="shared" si="326"/>
        <v>0</v>
      </c>
      <c r="AM262" s="82">
        <f t="shared" si="325"/>
        <v>0</v>
      </c>
      <c r="AN262" s="82">
        <f t="shared" si="325"/>
        <v>0</v>
      </c>
      <c r="AO262" s="82">
        <f t="shared" si="325"/>
        <v>0</v>
      </c>
      <c r="AP262" s="82">
        <f t="shared" si="325"/>
        <v>0</v>
      </c>
      <c r="AQ262" s="83">
        <f t="shared" si="325"/>
        <v>0</v>
      </c>
      <c r="AR262" s="438">
        <f t="shared" si="325"/>
        <v>8431362</v>
      </c>
      <c r="AS262" s="81">
        <f t="shared" si="325"/>
        <v>6157440</v>
      </c>
      <c r="AT262" s="81">
        <f t="shared" si="325"/>
        <v>14019</v>
      </c>
      <c r="AU262" s="81">
        <f t="shared" si="325"/>
        <v>2085953</v>
      </c>
      <c r="AV262" s="81">
        <f t="shared" si="325"/>
        <v>123150</v>
      </c>
      <c r="AW262" s="81">
        <f t="shared" si="325"/>
        <v>50800</v>
      </c>
      <c r="AX262" s="82">
        <f t="shared" si="325"/>
        <v>13.869699999999998</v>
      </c>
      <c r="AY262" s="82">
        <f t="shared" si="325"/>
        <v>8.4514999999999993</v>
      </c>
      <c r="AZ262" s="83">
        <f t="shared" si="325"/>
        <v>5.4181999999999997</v>
      </c>
    </row>
    <row r="263" spans="1:52" ht="14.1" customHeight="1" x14ac:dyDescent="0.2">
      <c r="A263" s="72">
        <v>54</v>
      </c>
      <c r="B263" s="69">
        <v>2434</v>
      </c>
      <c r="C263" s="70">
        <v>600079317</v>
      </c>
      <c r="D263" s="69">
        <v>46746480</v>
      </c>
      <c r="E263" s="71" t="s">
        <v>677</v>
      </c>
      <c r="F263" s="72">
        <v>3111</v>
      </c>
      <c r="G263" s="71" t="s">
        <v>312</v>
      </c>
      <c r="H263" s="73" t="s">
        <v>278</v>
      </c>
      <c r="I263" s="494">
        <v>13829408</v>
      </c>
      <c r="J263" s="674">
        <v>10116750</v>
      </c>
      <c r="K263" s="674">
        <v>4680</v>
      </c>
      <c r="L263" s="489">
        <v>3421043</v>
      </c>
      <c r="M263" s="489">
        <v>202335</v>
      </c>
      <c r="N263" s="489">
        <v>84600</v>
      </c>
      <c r="O263" s="490">
        <v>22.6496</v>
      </c>
      <c r="P263" s="490">
        <v>16</v>
      </c>
      <c r="Q263" s="500">
        <v>6.6495999999999995</v>
      </c>
      <c r="R263" s="502">
        <f t="shared" si="256"/>
        <v>0</v>
      </c>
      <c r="S263" s="492">
        <v>0</v>
      </c>
      <c r="T263" s="492">
        <v>0</v>
      </c>
      <c r="U263" s="492">
        <v>0</v>
      </c>
      <c r="V263" s="492">
        <f>SUM(R263:U263)</f>
        <v>0</v>
      </c>
      <c r="W263" s="492">
        <v>0</v>
      </c>
      <c r="X263" s="492">
        <v>0</v>
      </c>
      <c r="Y263" s="492">
        <v>0</v>
      </c>
      <c r="Z263" s="492">
        <f t="shared" si="262"/>
        <v>0</v>
      </c>
      <c r="AA263" s="492">
        <f t="shared" si="263"/>
        <v>0</v>
      </c>
      <c r="AB263" s="74">
        <f t="shared" si="264"/>
        <v>0</v>
      </c>
      <c r="AC263" s="74">
        <f t="shared" si="265"/>
        <v>0</v>
      </c>
      <c r="AD263" s="492">
        <v>0</v>
      </c>
      <c r="AE263" s="492">
        <v>0</v>
      </c>
      <c r="AF263" s="492">
        <f>SUM(AD263:AE263)</f>
        <v>0</v>
      </c>
      <c r="AG263" s="492">
        <f>AA263+AB263+AC263+AF263</f>
        <v>0</v>
      </c>
      <c r="AH263" s="493">
        <v>0</v>
      </c>
      <c r="AI263" s="493">
        <v>0</v>
      </c>
      <c r="AJ263" s="493">
        <v>0</v>
      </c>
      <c r="AK263" s="493">
        <v>0</v>
      </c>
      <c r="AL263" s="493">
        <v>0</v>
      </c>
      <c r="AM263" s="493">
        <v>0</v>
      </c>
      <c r="AN263" s="493">
        <v>0</v>
      </c>
      <c r="AO263" s="493">
        <f t="shared" si="257"/>
        <v>0</v>
      </c>
      <c r="AP263" s="493">
        <f t="shared" si="258"/>
        <v>0</v>
      </c>
      <c r="AQ263" s="495">
        <f t="shared" si="268"/>
        <v>0</v>
      </c>
      <c r="AR263" s="501">
        <f>I263+AG263</f>
        <v>13829408</v>
      </c>
      <c r="AS263" s="492">
        <f>J263+V263</f>
        <v>10116750</v>
      </c>
      <c r="AT263" s="492">
        <f t="shared" ref="AT263:AT265" si="327">K263+Z263</f>
        <v>4680</v>
      </c>
      <c r="AU263" s="492">
        <f t="shared" ref="AU263:AV265" si="328">L263+AB263</f>
        <v>3421043</v>
      </c>
      <c r="AV263" s="492">
        <f t="shared" si="328"/>
        <v>202335</v>
      </c>
      <c r="AW263" s="492">
        <f>N263+AF263</f>
        <v>84600</v>
      </c>
      <c r="AX263" s="493">
        <f>O263+AQ263</f>
        <v>22.6496</v>
      </c>
      <c r="AY263" s="493">
        <f t="shared" ref="AY263:AZ265" si="329">P263+AO263</f>
        <v>16</v>
      </c>
      <c r="AZ263" s="495">
        <f t="shared" si="329"/>
        <v>6.6495999999999995</v>
      </c>
    </row>
    <row r="264" spans="1:52" ht="14.1" customHeight="1" x14ac:dyDescent="0.2">
      <c r="A264" s="72">
        <v>54</v>
      </c>
      <c r="B264" s="69">
        <v>2434</v>
      </c>
      <c r="C264" s="70">
        <v>600079317</v>
      </c>
      <c r="D264" s="69">
        <v>46746480</v>
      </c>
      <c r="E264" s="71" t="s">
        <v>677</v>
      </c>
      <c r="F264" s="72">
        <v>3111</v>
      </c>
      <c r="G264" s="84" t="s">
        <v>313</v>
      </c>
      <c r="H264" s="73" t="s">
        <v>279</v>
      </c>
      <c r="I264" s="494">
        <v>815460</v>
      </c>
      <c r="J264" s="489">
        <v>600486</v>
      </c>
      <c r="K264" s="489">
        <v>0</v>
      </c>
      <c r="L264" s="489">
        <v>202964</v>
      </c>
      <c r="M264" s="489">
        <v>12010</v>
      </c>
      <c r="N264" s="489">
        <v>0</v>
      </c>
      <c r="O264" s="490">
        <v>2</v>
      </c>
      <c r="P264" s="491">
        <v>2</v>
      </c>
      <c r="Q264" s="500">
        <v>0</v>
      </c>
      <c r="R264" s="502">
        <f t="shared" si="256"/>
        <v>0</v>
      </c>
      <c r="S264" s="489">
        <v>259832</v>
      </c>
      <c r="T264" s="492">
        <v>0</v>
      </c>
      <c r="U264" s="492">
        <v>0</v>
      </c>
      <c r="V264" s="492">
        <f>SUM(R264:U264)</f>
        <v>259832</v>
      </c>
      <c r="W264" s="492">
        <v>0</v>
      </c>
      <c r="X264" s="492">
        <v>0</v>
      </c>
      <c r="Y264" s="492">
        <v>0</v>
      </c>
      <c r="Z264" s="492">
        <f t="shared" si="262"/>
        <v>0</v>
      </c>
      <c r="AA264" s="492">
        <f t="shared" si="263"/>
        <v>259832</v>
      </c>
      <c r="AB264" s="74">
        <f t="shared" si="264"/>
        <v>87823</v>
      </c>
      <c r="AC264" s="74">
        <f t="shared" si="265"/>
        <v>5197</v>
      </c>
      <c r="AD264" s="492">
        <v>4000</v>
      </c>
      <c r="AE264" s="492">
        <v>0</v>
      </c>
      <c r="AF264" s="492">
        <f>SUM(AD264:AE264)</f>
        <v>4000</v>
      </c>
      <c r="AG264" s="492">
        <f>AA264+AB264+AC264+AF264</f>
        <v>356852</v>
      </c>
      <c r="AH264" s="493">
        <v>0</v>
      </c>
      <c r="AI264" s="493">
        <v>0</v>
      </c>
      <c r="AJ264" s="493">
        <v>0.75</v>
      </c>
      <c r="AK264" s="493">
        <v>0</v>
      </c>
      <c r="AL264" s="493">
        <v>0</v>
      </c>
      <c r="AM264" s="493">
        <v>0</v>
      </c>
      <c r="AN264" s="493">
        <v>0</v>
      </c>
      <c r="AO264" s="493">
        <f t="shared" si="257"/>
        <v>0.75</v>
      </c>
      <c r="AP264" s="493">
        <f t="shared" si="258"/>
        <v>0</v>
      </c>
      <c r="AQ264" s="495">
        <f t="shared" si="268"/>
        <v>0.75</v>
      </c>
      <c r="AR264" s="501">
        <f>I264+AG264</f>
        <v>1172312</v>
      </c>
      <c r="AS264" s="492">
        <f>J264+V264</f>
        <v>860318</v>
      </c>
      <c r="AT264" s="492">
        <f t="shared" si="327"/>
        <v>0</v>
      </c>
      <c r="AU264" s="492">
        <f t="shared" si="328"/>
        <v>290787</v>
      </c>
      <c r="AV264" s="492">
        <f t="shared" si="328"/>
        <v>17207</v>
      </c>
      <c r="AW264" s="492">
        <f>N264+AF264</f>
        <v>4000</v>
      </c>
      <c r="AX264" s="493">
        <f>O264+AQ264</f>
        <v>2.75</v>
      </c>
      <c r="AY264" s="493">
        <f t="shared" si="329"/>
        <v>2.75</v>
      </c>
      <c r="AZ264" s="495">
        <f t="shared" si="329"/>
        <v>0</v>
      </c>
    </row>
    <row r="265" spans="1:52" ht="14.1" customHeight="1" x14ac:dyDescent="0.2">
      <c r="A265" s="72">
        <v>54</v>
      </c>
      <c r="B265" s="69">
        <v>2434</v>
      </c>
      <c r="C265" s="70">
        <v>600079317</v>
      </c>
      <c r="D265" s="69">
        <v>46746480</v>
      </c>
      <c r="E265" s="71" t="s">
        <v>677</v>
      </c>
      <c r="F265" s="72">
        <v>3141</v>
      </c>
      <c r="G265" s="71" t="s">
        <v>316</v>
      </c>
      <c r="H265" s="73" t="s">
        <v>279</v>
      </c>
      <c r="I265" s="494">
        <v>2215117</v>
      </c>
      <c r="J265" s="489">
        <v>1623723</v>
      </c>
      <c r="K265" s="489">
        <v>0</v>
      </c>
      <c r="L265" s="489">
        <v>548818</v>
      </c>
      <c r="M265" s="489">
        <v>32474</v>
      </c>
      <c r="N265" s="489">
        <v>10102</v>
      </c>
      <c r="O265" s="490">
        <v>5.12</v>
      </c>
      <c r="P265" s="491">
        <v>0</v>
      </c>
      <c r="Q265" s="500">
        <v>5.12</v>
      </c>
      <c r="R265" s="502">
        <f t="shared" si="256"/>
        <v>0</v>
      </c>
      <c r="S265" s="492">
        <v>0</v>
      </c>
      <c r="T265" s="492">
        <v>0</v>
      </c>
      <c r="U265" s="492">
        <v>0</v>
      </c>
      <c r="V265" s="492">
        <f>SUM(R265:U265)</f>
        <v>0</v>
      </c>
      <c r="W265" s="492">
        <v>0</v>
      </c>
      <c r="X265" s="492">
        <v>0</v>
      </c>
      <c r="Y265" s="492">
        <v>0</v>
      </c>
      <c r="Z265" s="492">
        <f t="shared" si="262"/>
        <v>0</v>
      </c>
      <c r="AA265" s="492">
        <f t="shared" si="263"/>
        <v>0</v>
      </c>
      <c r="AB265" s="74">
        <f t="shared" si="264"/>
        <v>0</v>
      </c>
      <c r="AC265" s="74">
        <f t="shared" si="265"/>
        <v>0</v>
      </c>
      <c r="AD265" s="492">
        <v>0</v>
      </c>
      <c r="AE265" s="492">
        <v>0</v>
      </c>
      <c r="AF265" s="492">
        <f>SUM(AD265:AE265)</f>
        <v>0</v>
      </c>
      <c r="AG265" s="492">
        <f>AA265+AB265+AC265+AF265</f>
        <v>0</v>
      </c>
      <c r="AH265" s="493">
        <v>0</v>
      </c>
      <c r="AI265" s="493">
        <v>0</v>
      </c>
      <c r="AJ265" s="493">
        <v>0</v>
      </c>
      <c r="AK265" s="493">
        <v>0</v>
      </c>
      <c r="AL265" s="493">
        <v>0</v>
      </c>
      <c r="AM265" s="493">
        <v>0</v>
      </c>
      <c r="AN265" s="493">
        <v>0</v>
      </c>
      <c r="AO265" s="493">
        <f t="shared" si="257"/>
        <v>0</v>
      </c>
      <c r="AP265" s="493">
        <f t="shared" si="258"/>
        <v>0</v>
      </c>
      <c r="AQ265" s="495">
        <f t="shared" si="268"/>
        <v>0</v>
      </c>
      <c r="AR265" s="501">
        <f>I265+AG265</f>
        <v>2215117</v>
      </c>
      <c r="AS265" s="492">
        <f>J265+V265</f>
        <v>1623723</v>
      </c>
      <c r="AT265" s="492">
        <f t="shared" si="327"/>
        <v>0</v>
      </c>
      <c r="AU265" s="492">
        <f t="shared" si="328"/>
        <v>548818</v>
      </c>
      <c r="AV265" s="492">
        <f t="shared" si="328"/>
        <v>32474</v>
      </c>
      <c r="AW265" s="492">
        <f>N265+AF265</f>
        <v>10102</v>
      </c>
      <c r="AX265" s="493">
        <f>O265+AQ265</f>
        <v>5.12</v>
      </c>
      <c r="AY265" s="493">
        <f t="shared" si="329"/>
        <v>0</v>
      </c>
      <c r="AZ265" s="495">
        <f t="shared" si="329"/>
        <v>5.12</v>
      </c>
    </row>
    <row r="266" spans="1:52" ht="14.1" customHeight="1" x14ac:dyDescent="0.2">
      <c r="A266" s="78">
        <v>54</v>
      </c>
      <c r="B266" s="75">
        <v>2434</v>
      </c>
      <c r="C266" s="76">
        <v>600079317</v>
      </c>
      <c r="D266" s="75">
        <v>46746480</v>
      </c>
      <c r="E266" s="77" t="s">
        <v>678</v>
      </c>
      <c r="F266" s="78"/>
      <c r="G266" s="77"/>
      <c r="H266" s="79"/>
      <c r="I266" s="80">
        <v>16859985</v>
      </c>
      <c r="J266" s="81">
        <v>12340959</v>
      </c>
      <c r="K266" s="81">
        <v>4680</v>
      </c>
      <c r="L266" s="81">
        <v>4172825</v>
      </c>
      <c r="M266" s="81">
        <v>246819</v>
      </c>
      <c r="N266" s="81">
        <v>94702</v>
      </c>
      <c r="O266" s="82">
        <v>29.769600000000001</v>
      </c>
      <c r="P266" s="82">
        <v>18</v>
      </c>
      <c r="Q266" s="452">
        <v>11.769600000000001</v>
      </c>
      <c r="R266" s="80">
        <f t="shared" ref="R266:AZ266" si="330">SUM(R263:R265)</f>
        <v>0</v>
      </c>
      <c r="S266" s="81">
        <f t="shared" si="330"/>
        <v>259832</v>
      </c>
      <c r="T266" s="81">
        <f t="shared" si="330"/>
        <v>0</v>
      </c>
      <c r="U266" s="81">
        <f t="shared" si="330"/>
        <v>0</v>
      </c>
      <c r="V266" s="81">
        <f t="shared" si="330"/>
        <v>259832</v>
      </c>
      <c r="W266" s="81">
        <f t="shared" si="330"/>
        <v>0</v>
      </c>
      <c r="X266" s="81">
        <f t="shared" si="330"/>
        <v>0</v>
      </c>
      <c r="Y266" s="81">
        <f t="shared" si="330"/>
        <v>0</v>
      </c>
      <c r="Z266" s="81">
        <f t="shared" si="330"/>
        <v>0</v>
      </c>
      <c r="AA266" s="81">
        <f t="shared" si="330"/>
        <v>259832</v>
      </c>
      <c r="AB266" s="81">
        <f t="shared" si="330"/>
        <v>87823</v>
      </c>
      <c r="AC266" s="81">
        <f t="shared" si="330"/>
        <v>5197</v>
      </c>
      <c r="AD266" s="81">
        <f t="shared" si="330"/>
        <v>4000</v>
      </c>
      <c r="AE266" s="81">
        <f t="shared" si="330"/>
        <v>0</v>
      </c>
      <c r="AF266" s="81">
        <f t="shared" si="330"/>
        <v>4000</v>
      </c>
      <c r="AG266" s="81">
        <f t="shared" si="330"/>
        <v>356852</v>
      </c>
      <c r="AH266" s="82">
        <f t="shared" si="330"/>
        <v>0</v>
      </c>
      <c r="AI266" s="82">
        <f t="shared" si="330"/>
        <v>0</v>
      </c>
      <c r="AJ266" s="82">
        <f t="shared" si="330"/>
        <v>0.75</v>
      </c>
      <c r="AK266" s="82">
        <f t="shared" ref="AK266:AL266" si="331">SUM(AK263:AK265)</f>
        <v>0</v>
      </c>
      <c r="AL266" s="82">
        <f t="shared" si="331"/>
        <v>0</v>
      </c>
      <c r="AM266" s="82">
        <f t="shared" si="330"/>
        <v>0</v>
      </c>
      <c r="AN266" s="82">
        <f t="shared" si="330"/>
        <v>0</v>
      </c>
      <c r="AO266" s="82">
        <f t="shared" si="330"/>
        <v>0.75</v>
      </c>
      <c r="AP266" s="82">
        <f t="shared" si="330"/>
        <v>0</v>
      </c>
      <c r="AQ266" s="83">
        <f t="shared" si="330"/>
        <v>0.75</v>
      </c>
      <c r="AR266" s="438">
        <f t="shared" si="330"/>
        <v>17216837</v>
      </c>
      <c r="AS266" s="81">
        <f t="shared" si="330"/>
        <v>12600791</v>
      </c>
      <c r="AT266" s="81">
        <f t="shared" si="330"/>
        <v>4680</v>
      </c>
      <c r="AU266" s="81">
        <f t="shared" si="330"/>
        <v>4260648</v>
      </c>
      <c r="AV266" s="81">
        <f t="shared" si="330"/>
        <v>252016</v>
      </c>
      <c r="AW266" s="81">
        <f t="shared" si="330"/>
        <v>98702</v>
      </c>
      <c r="AX266" s="82">
        <f t="shared" si="330"/>
        <v>30.519600000000001</v>
      </c>
      <c r="AY266" s="82">
        <f t="shared" si="330"/>
        <v>18.75</v>
      </c>
      <c r="AZ266" s="83">
        <f t="shared" si="330"/>
        <v>11.769600000000001</v>
      </c>
    </row>
    <row r="267" spans="1:52" ht="14.1" customHeight="1" x14ac:dyDescent="0.2">
      <c r="A267" s="72">
        <v>55</v>
      </c>
      <c r="B267" s="69">
        <v>2484</v>
      </c>
      <c r="C267" s="70">
        <v>600079864</v>
      </c>
      <c r="D267" s="69">
        <v>46746145</v>
      </c>
      <c r="E267" s="71" t="s">
        <v>679</v>
      </c>
      <c r="F267" s="72">
        <v>3113</v>
      </c>
      <c r="G267" s="71" t="s">
        <v>315</v>
      </c>
      <c r="H267" s="73" t="s">
        <v>278</v>
      </c>
      <c r="I267" s="494">
        <v>42878422</v>
      </c>
      <c r="J267" s="489">
        <v>30506593</v>
      </c>
      <c r="K267" s="489">
        <v>260612</v>
      </c>
      <c r="L267" s="489">
        <v>10399316</v>
      </c>
      <c r="M267" s="489">
        <v>610131</v>
      </c>
      <c r="N267" s="489">
        <v>1101770</v>
      </c>
      <c r="O267" s="490">
        <v>54.578699999999998</v>
      </c>
      <c r="P267" s="490">
        <v>42.719200000000001</v>
      </c>
      <c r="Q267" s="500">
        <v>11.859499999999999</v>
      </c>
      <c r="R267" s="502">
        <f t="shared" si="256"/>
        <v>0</v>
      </c>
      <c r="S267" s="492">
        <v>0</v>
      </c>
      <c r="T267" s="492">
        <v>0</v>
      </c>
      <c r="U267" s="492">
        <v>0</v>
      </c>
      <c r="V267" s="492">
        <f>SUM(R267:U267)</f>
        <v>0</v>
      </c>
      <c r="W267" s="492">
        <v>0</v>
      </c>
      <c r="X267" s="492">
        <v>0</v>
      </c>
      <c r="Y267" s="492">
        <v>0</v>
      </c>
      <c r="Z267" s="492">
        <f t="shared" si="262"/>
        <v>0</v>
      </c>
      <c r="AA267" s="492">
        <f t="shared" si="263"/>
        <v>0</v>
      </c>
      <c r="AB267" s="74">
        <f t="shared" si="264"/>
        <v>0</v>
      </c>
      <c r="AC267" s="74">
        <f t="shared" si="265"/>
        <v>0</v>
      </c>
      <c r="AD267" s="492">
        <v>0</v>
      </c>
      <c r="AE267" s="492">
        <v>0</v>
      </c>
      <c r="AF267" s="492">
        <f>SUM(AD267:AE267)</f>
        <v>0</v>
      </c>
      <c r="AG267" s="492">
        <f>AA267+AB267+AC267+AF267</f>
        <v>0</v>
      </c>
      <c r="AH267" s="493">
        <v>0</v>
      </c>
      <c r="AI267" s="493">
        <v>0</v>
      </c>
      <c r="AJ267" s="493">
        <v>0</v>
      </c>
      <c r="AK267" s="493">
        <v>0</v>
      </c>
      <c r="AL267" s="493">
        <v>0</v>
      </c>
      <c r="AM267" s="493">
        <v>0</v>
      </c>
      <c r="AN267" s="493">
        <v>0</v>
      </c>
      <c r="AO267" s="493">
        <f t="shared" si="257"/>
        <v>0</v>
      </c>
      <c r="AP267" s="493">
        <f t="shared" si="258"/>
        <v>0</v>
      </c>
      <c r="AQ267" s="495">
        <f t="shared" si="268"/>
        <v>0</v>
      </c>
      <c r="AR267" s="501">
        <f>I267+AG267</f>
        <v>42878422</v>
      </c>
      <c r="AS267" s="492">
        <f>J267+V267</f>
        <v>30506593</v>
      </c>
      <c r="AT267" s="492">
        <f t="shared" ref="AT267:AT271" si="332">K267+Z267</f>
        <v>260612</v>
      </c>
      <c r="AU267" s="492">
        <f t="shared" ref="AU267:AV271" si="333">L267+AB267</f>
        <v>10399316</v>
      </c>
      <c r="AV267" s="492">
        <f t="shared" si="333"/>
        <v>610131</v>
      </c>
      <c r="AW267" s="492">
        <f>N267+AF267</f>
        <v>1101770</v>
      </c>
      <c r="AX267" s="493">
        <f>O267+AQ267</f>
        <v>54.578699999999998</v>
      </c>
      <c r="AY267" s="493">
        <f t="shared" ref="AY267:AZ271" si="334">P267+AO267</f>
        <v>42.719200000000001</v>
      </c>
      <c r="AZ267" s="495">
        <f t="shared" si="334"/>
        <v>11.859499999999999</v>
      </c>
    </row>
    <row r="268" spans="1:52" ht="14.1" customHeight="1" x14ac:dyDescent="0.2">
      <c r="A268" s="72">
        <v>55</v>
      </c>
      <c r="B268" s="69">
        <v>2484</v>
      </c>
      <c r="C268" s="70">
        <v>600079864</v>
      </c>
      <c r="D268" s="69">
        <v>46746145</v>
      </c>
      <c r="E268" s="71" t="s">
        <v>679</v>
      </c>
      <c r="F268" s="72">
        <v>3113</v>
      </c>
      <c r="G268" s="84" t="s">
        <v>313</v>
      </c>
      <c r="H268" s="73" t="s">
        <v>279</v>
      </c>
      <c r="I268" s="494">
        <v>3693471</v>
      </c>
      <c r="J268" s="489">
        <v>2718867</v>
      </c>
      <c r="K268" s="489">
        <v>0</v>
      </c>
      <c r="L268" s="489">
        <v>918977</v>
      </c>
      <c r="M268" s="489">
        <v>54377</v>
      </c>
      <c r="N268" s="489">
        <v>1250</v>
      </c>
      <c r="O268" s="490">
        <v>7.78</v>
      </c>
      <c r="P268" s="491">
        <v>7.78</v>
      </c>
      <c r="Q268" s="500">
        <v>0</v>
      </c>
      <c r="R268" s="502">
        <f t="shared" si="256"/>
        <v>0</v>
      </c>
      <c r="S268" s="489">
        <v>0</v>
      </c>
      <c r="T268" s="492">
        <v>0</v>
      </c>
      <c r="U268" s="492">
        <v>0</v>
      </c>
      <c r="V268" s="492">
        <f>SUM(R268:U268)</f>
        <v>0</v>
      </c>
      <c r="W268" s="492">
        <v>0</v>
      </c>
      <c r="X268" s="492">
        <v>0</v>
      </c>
      <c r="Y268" s="492">
        <v>0</v>
      </c>
      <c r="Z268" s="492">
        <f t="shared" si="262"/>
        <v>0</v>
      </c>
      <c r="AA268" s="492">
        <f t="shared" si="263"/>
        <v>0</v>
      </c>
      <c r="AB268" s="74">
        <f t="shared" si="264"/>
        <v>0</v>
      </c>
      <c r="AC268" s="74">
        <f t="shared" si="265"/>
        <v>0</v>
      </c>
      <c r="AD268" s="492">
        <v>0</v>
      </c>
      <c r="AE268" s="492">
        <v>0</v>
      </c>
      <c r="AF268" s="492">
        <f>SUM(AD268:AE268)</f>
        <v>0</v>
      </c>
      <c r="AG268" s="492">
        <f>AA268+AB268+AC268+AF268</f>
        <v>0</v>
      </c>
      <c r="AH268" s="493">
        <v>0</v>
      </c>
      <c r="AI268" s="493">
        <v>0</v>
      </c>
      <c r="AJ268" s="493">
        <v>0</v>
      </c>
      <c r="AK268" s="493">
        <v>0</v>
      </c>
      <c r="AL268" s="493">
        <v>0</v>
      </c>
      <c r="AM268" s="493">
        <v>0</v>
      </c>
      <c r="AN268" s="493">
        <v>0</v>
      </c>
      <c r="AO268" s="493">
        <f t="shared" si="257"/>
        <v>0</v>
      </c>
      <c r="AP268" s="493">
        <f t="shared" si="258"/>
        <v>0</v>
      </c>
      <c r="AQ268" s="495">
        <f t="shared" si="268"/>
        <v>0</v>
      </c>
      <c r="AR268" s="501">
        <f>I268+AG268</f>
        <v>3693471</v>
      </c>
      <c r="AS268" s="492">
        <f>J268+V268</f>
        <v>2718867</v>
      </c>
      <c r="AT268" s="492">
        <f t="shared" si="332"/>
        <v>0</v>
      </c>
      <c r="AU268" s="492">
        <f t="shared" si="333"/>
        <v>918977</v>
      </c>
      <c r="AV268" s="492">
        <f t="shared" si="333"/>
        <v>54377</v>
      </c>
      <c r="AW268" s="492">
        <f>N268+AF268</f>
        <v>1250</v>
      </c>
      <c r="AX268" s="493">
        <f>O268+AQ268</f>
        <v>7.78</v>
      </c>
      <c r="AY268" s="493">
        <f t="shared" si="334"/>
        <v>7.78</v>
      </c>
      <c r="AZ268" s="495">
        <f t="shared" si="334"/>
        <v>0</v>
      </c>
    </row>
    <row r="269" spans="1:52" ht="14.1" customHeight="1" x14ac:dyDescent="0.2">
      <c r="A269" s="72">
        <v>55</v>
      </c>
      <c r="B269" s="69">
        <v>2484</v>
      </c>
      <c r="C269" s="70">
        <v>600079864</v>
      </c>
      <c r="D269" s="69">
        <v>46746145</v>
      </c>
      <c r="E269" s="71" t="s">
        <v>679</v>
      </c>
      <c r="F269" s="72">
        <v>3141</v>
      </c>
      <c r="G269" s="71" t="s">
        <v>316</v>
      </c>
      <c r="H269" s="73" t="s">
        <v>279</v>
      </c>
      <c r="I269" s="494">
        <v>3872479</v>
      </c>
      <c r="J269" s="489">
        <v>2708694</v>
      </c>
      <c r="K269" s="489">
        <v>117000</v>
      </c>
      <c r="L269" s="489">
        <v>955085</v>
      </c>
      <c r="M269" s="489">
        <v>54174</v>
      </c>
      <c r="N269" s="489">
        <v>37526</v>
      </c>
      <c r="O269" s="490">
        <v>8.75</v>
      </c>
      <c r="P269" s="491">
        <v>0</v>
      </c>
      <c r="Q269" s="500">
        <v>8.75</v>
      </c>
      <c r="R269" s="502">
        <f t="shared" ref="R269:R331" si="335">W269*-1</f>
        <v>0</v>
      </c>
      <c r="S269" s="492">
        <v>0</v>
      </c>
      <c r="T269" s="492">
        <v>0</v>
      </c>
      <c r="U269" s="492">
        <v>0</v>
      </c>
      <c r="V269" s="492">
        <f>SUM(R269:U269)</f>
        <v>0</v>
      </c>
      <c r="W269" s="492">
        <v>0</v>
      </c>
      <c r="X269" s="492">
        <v>0</v>
      </c>
      <c r="Y269" s="492">
        <v>0</v>
      </c>
      <c r="Z269" s="492">
        <f t="shared" si="262"/>
        <v>0</v>
      </c>
      <c r="AA269" s="492">
        <f t="shared" si="263"/>
        <v>0</v>
      </c>
      <c r="AB269" s="74">
        <f t="shared" si="264"/>
        <v>0</v>
      </c>
      <c r="AC269" s="74">
        <f t="shared" si="265"/>
        <v>0</v>
      </c>
      <c r="AD269" s="492">
        <v>0</v>
      </c>
      <c r="AE269" s="492">
        <v>0</v>
      </c>
      <c r="AF269" s="492">
        <f>SUM(AD269:AE269)</f>
        <v>0</v>
      </c>
      <c r="AG269" s="492">
        <f>AA269+AB269+AC269+AF269</f>
        <v>0</v>
      </c>
      <c r="AH269" s="493">
        <v>0</v>
      </c>
      <c r="AI269" s="493">
        <v>0</v>
      </c>
      <c r="AJ269" s="493">
        <v>0</v>
      </c>
      <c r="AK269" s="493">
        <v>0</v>
      </c>
      <c r="AL269" s="493">
        <v>0</v>
      </c>
      <c r="AM269" s="493">
        <v>0</v>
      </c>
      <c r="AN269" s="493">
        <v>0</v>
      </c>
      <c r="AO269" s="493">
        <f t="shared" ref="AO269:AO331" si="336">AH269+AJ269+AK269+AM269</f>
        <v>0</v>
      </c>
      <c r="AP269" s="493">
        <f t="shared" ref="AP269:AP331" si="337">AI269+AL269+AN269</f>
        <v>0</v>
      </c>
      <c r="AQ269" s="495">
        <f t="shared" si="268"/>
        <v>0</v>
      </c>
      <c r="AR269" s="501">
        <f>I269+AG269</f>
        <v>3872479</v>
      </c>
      <c r="AS269" s="492">
        <f>J269+V269</f>
        <v>2708694</v>
      </c>
      <c r="AT269" s="492">
        <f t="shared" si="332"/>
        <v>117000</v>
      </c>
      <c r="AU269" s="492">
        <f t="shared" si="333"/>
        <v>955085</v>
      </c>
      <c r="AV269" s="492">
        <f t="shared" si="333"/>
        <v>54174</v>
      </c>
      <c r="AW269" s="492">
        <f>N269+AF269</f>
        <v>37526</v>
      </c>
      <c r="AX269" s="493">
        <f>O269+AQ269</f>
        <v>8.75</v>
      </c>
      <c r="AY269" s="493">
        <f t="shared" si="334"/>
        <v>0</v>
      </c>
      <c r="AZ269" s="495">
        <f t="shared" si="334"/>
        <v>8.75</v>
      </c>
    </row>
    <row r="270" spans="1:52" ht="14.1" customHeight="1" x14ac:dyDescent="0.2">
      <c r="A270" s="72">
        <v>55</v>
      </c>
      <c r="B270" s="69">
        <v>2484</v>
      </c>
      <c r="C270" s="70">
        <v>600079864</v>
      </c>
      <c r="D270" s="69">
        <v>46746145</v>
      </c>
      <c r="E270" s="71" t="s">
        <v>679</v>
      </c>
      <c r="F270" s="72">
        <v>3143</v>
      </c>
      <c r="G270" s="84" t="s">
        <v>629</v>
      </c>
      <c r="H270" s="73" t="s">
        <v>278</v>
      </c>
      <c r="I270" s="494">
        <v>4284679</v>
      </c>
      <c r="J270" s="489">
        <v>3078288</v>
      </c>
      <c r="K270" s="489">
        <v>78000</v>
      </c>
      <c r="L270" s="489">
        <v>1066825</v>
      </c>
      <c r="M270" s="489">
        <v>61566</v>
      </c>
      <c r="N270" s="489">
        <v>0</v>
      </c>
      <c r="O270" s="490">
        <v>6.4291</v>
      </c>
      <c r="P270" s="490">
        <v>6.4291</v>
      </c>
      <c r="Q270" s="500">
        <v>0</v>
      </c>
      <c r="R270" s="502">
        <f t="shared" si="335"/>
        <v>0</v>
      </c>
      <c r="S270" s="492">
        <v>0</v>
      </c>
      <c r="T270" s="492">
        <v>0</v>
      </c>
      <c r="U270" s="492">
        <v>0</v>
      </c>
      <c r="V270" s="492">
        <f>SUM(R270:U270)</f>
        <v>0</v>
      </c>
      <c r="W270" s="492">
        <v>0</v>
      </c>
      <c r="X270" s="492">
        <v>0</v>
      </c>
      <c r="Y270" s="492">
        <v>0</v>
      </c>
      <c r="Z270" s="492">
        <f t="shared" si="262"/>
        <v>0</v>
      </c>
      <c r="AA270" s="492">
        <f t="shared" si="263"/>
        <v>0</v>
      </c>
      <c r="AB270" s="74">
        <f t="shared" si="264"/>
        <v>0</v>
      </c>
      <c r="AC270" s="74">
        <f t="shared" si="265"/>
        <v>0</v>
      </c>
      <c r="AD270" s="492">
        <v>0</v>
      </c>
      <c r="AE270" s="492">
        <v>0</v>
      </c>
      <c r="AF270" s="492">
        <f>SUM(AD270:AE270)</f>
        <v>0</v>
      </c>
      <c r="AG270" s="492">
        <f>AA270+AB270+AC270+AF270</f>
        <v>0</v>
      </c>
      <c r="AH270" s="493">
        <v>0</v>
      </c>
      <c r="AI270" s="493">
        <v>0</v>
      </c>
      <c r="AJ270" s="493">
        <v>0</v>
      </c>
      <c r="AK270" s="493">
        <v>0</v>
      </c>
      <c r="AL270" s="493">
        <v>0</v>
      </c>
      <c r="AM270" s="493">
        <v>0</v>
      </c>
      <c r="AN270" s="493">
        <v>0</v>
      </c>
      <c r="AO270" s="493">
        <f t="shared" si="336"/>
        <v>0</v>
      </c>
      <c r="AP270" s="493">
        <f t="shared" si="337"/>
        <v>0</v>
      </c>
      <c r="AQ270" s="495">
        <f t="shared" si="268"/>
        <v>0</v>
      </c>
      <c r="AR270" s="501">
        <f>I270+AG270</f>
        <v>4284679</v>
      </c>
      <c r="AS270" s="492">
        <f>J270+V270</f>
        <v>3078288</v>
      </c>
      <c r="AT270" s="492">
        <f t="shared" si="332"/>
        <v>78000</v>
      </c>
      <c r="AU270" s="492">
        <f t="shared" si="333"/>
        <v>1066825</v>
      </c>
      <c r="AV270" s="492">
        <f t="shared" si="333"/>
        <v>61566</v>
      </c>
      <c r="AW270" s="492">
        <f>N270+AF270</f>
        <v>0</v>
      </c>
      <c r="AX270" s="493">
        <f>O270+AQ270</f>
        <v>6.4291</v>
      </c>
      <c r="AY270" s="493">
        <f t="shared" si="334"/>
        <v>6.4291</v>
      </c>
      <c r="AZ270" s="495">
        <f t="shared" si="334"/>
        <v>0</v>
      </c>
    </row>
    <row r="271" spans="1:52" ht="14.1" customHeight="1" x14ac:dyDescent="0.2">
      <c r="A271" s="72">
        <v>55</v>
      </c>
      <c r="B271" s="69">
        <v>2484</v>
      </c>
      <c r="C271" s="70">
        <v>600079864</v>
      </c>
      <c r="D271" s="69">
        <v>46746145</v>
      </c>
      <c r="E271" s="71" t="s">
        <v>679</v>
      </c>
      <c r="F271" s="72">
        <v>3143</v>
      </c>
      <c r="G271" s="84" t="s">
        <v>630</v>
      </c>
      <c r="H271" s="73" t="s">
        <v>279</v>
      </c>
      <c r="I271" s="494">
        <v>143641</v>
      </c>
      <c r="J271" s="489">
        <v>101576</v>
      </c>
      <c r="K271" s="489">
        <v>0</v>
      </c>
      <c r="L271" s="489">
        <v>34333</v>
      </c>
      <c r="M271" s="489">
        <v>2032</v>
      </c>
      <c r="N271" s="489">
        <v>5700</v>
      </c>
      <c r="O271" s="490">
        <v>0.39</v>
      </c>
      <c r="P271" s="491">
        <v>0</v>
      </c>
      <c r="Q271" s="500">
        <v>0.39</v>
      </c>
      <c r="R271" s="502">
        <f t="shared" si="335"/>
        <v>0</v>
      </c>
      <c r="S271" s="492">
        <v>0</v>
      </c>
      <c r="T271" s="492">
        <v>0</v>
      </c>
      <c r="U271" s="492">
        <v>0</v>
      </c>
      <c r="V271" s="492">
        <f>SUM(R271:U271)</f>
        <v>0</v>
      </c>
      <c r="W271" s="492">
        <v>0</v>
      </c>
      <c r="X271" s="492">
        <v>0</v>
      </c>
      <c r="Y271" s="492">
        <v>0</v>
      </c>
      <c r="Z271" s="492">
        <f t="shared" ref="Z271:Z334" si="338">SUM(W271:Y271)</f>
        <v>0</v>
      </c>
      <c r="AA271" s="492">
        <f t="shared" ref="AA271:AA334" si="339">V271+Z271</f>
        <v>0</v>
      </c>
      <c r="AB271" s="74">
        <f t="shared" ref="AB271:AB334" si="340">ROUND((V271+W271+X271)*33.8%,0)</f>
        <v>0</v>
      </c>
      <c r="AC271" s="74">
        <f t="shared" ref="AC271:AC334" si="341">ROUND(V271*2%,0)</f>
        <v>0</v>
      </c>
      <c r="AD271" s="492">
        <v>0</v>
      </c>
      <c r="AE271" s="492">
        <v>0</v>
      </c>
      <c r="AF271" s="492">
        <f>SUM(AD271:AE271)</f>
        <v>0</v>
      </c>
      <c r="AG271" s="492">
        <f>AA271+AB271+AC271+AF271</f>
        <v>0</v>
      </c>
      <c r="AH271" s="493">
        <v>0</v>
      </c>
      <c r="AI271" s="493">
        <v>0</v>
      </c>
      <c r="AJ271" s="493">
        <v>0</v>
      </c>
      <c r="AK271" s="493">
        <v>0</v>
      </c>
      <c r="AL271" s="493">
        <v>0</v>
      </c>
      <c r="AM271" s="493">
        <v>0</v>
      </c>
      <c r="AN271" s="493">
        <v>0</v>
      </c>
      <c r="AO271" s="493">
        <f t="shared" si="336"/>
        <v>0</v>
      </c>
      <c r="AP271" s="493">
        <f t="shared" si="337"/>
        <v>0</v>
      </c>
      <c r="AQ271" s="495">
        <f t="shared" ref="AQ271:AQ334" si="342">SUM(AO271:AP271)</f>
        <v>0</v>
      </c>
      <c r="AR271" s="501">
        <f>I271+AG271</f>
        <v>143641</v>
      </c>
      <c r="AS271" s="492">
        <f>J271+V271</f>
        <v>101576</v>
      </c>
      <c r="AT271" s="492">
        <f t="shared" si="332"/>
        <v>0</v>
      </c>
      <c r="AU271" s="492">
        <f t="shared" si="333"/>
        <v>34333</v>
      </c>
      <c r="AV271" s="492">
        <f t="shared" si="333"/>
        <v>2032</v>
      </c>
      <c r="AW271" s="492">
        <f>N271+AF271</f>
        <v>5700</v>
      </c>
      <c r="AX271" s="493">
        <f>O271+AQ271</f>
        <v>0.39</v>
      </c>
      <c r="AY271" s="493">
        <f t="shared" si="334"/>
        <v>0</v>
      </c>
      <c r="AZ271" s="495">
        <f t="shared" si="334"/>
        <v>0.39</v>
      </c>
    </row>
    <row r="272" spans="1:52" ht="14.1" customHeight="1" x14ac:dyDescent="0.2">
      <c r="A272" s="78">
        <v>55</v>
      </c>
      <c r="B272" s="75">
        <v>2484</v>
      </c>
      <c r="C272" s="76">
        <v>600079864</v>
      </c>
      <c r="D272" s="75">
        <v>46746145</v>
      </c>
      <c r="E272" s="77" t="s">
        <v>680</v>
      </c>
      <c r="F272" s="78"/>
      <c r="G272" s="77"/>
      <c r="H272" s="79"/>
      <c r="I272" s="80">
        <v>54872692</v>
      </c>
      <c r="J272" s="81">
        <v>39114018</v>
      </c>
      <c r="K272" s="81">
        <v>455612</v>
      </c>
      <c r="L272" s="81">
        <v>13374536</v>
      </c>
      <c r="M272" s="81">
        <v>782280</v>
      </c>
      <c r="N272" s="81">
        <v>1146246</v>
      </c>
      <c r="O272" s="82">
        <v>77.927800000000005</v>
      </c>
      <c r="P272" s="82">
        <v>56.9283</v>
      </c>
      <c r="Q272" s="452">
        <v>20.999499999999998</v>
      </c>
      <c r="R272" s="80">
        <f t="shared" ref="R272:AZ272" si="343">SUM(R267:R271)</f>
        <v>0</v>
      </c>
      <c r="S272" s="81">
        <f t="shared" si="343"/>
        <v>0</v>
      </c>
      <c r="T272" s="81">
        <f t="shared" si="343"/>
        <v>0</v>
      </c>
      <c r="U272" s="81">
        <f t="shared" si="343"/>
        <v>0</v>
      </c>
      <c r="V272" s="81">
        <f t="shared" si="343"/>
        <v>0</v>
      </c>
      <c r="W272" s="81">
        <f t="shared" si="343"/>
        <v>0</v>
      </c>
      <c r="X272" s="81">
        <f t="shared" si="343"/>
        <v>0</v>
      </c>
      <c r="Y272" s="81">
        <f t="shared" si="343"/>
        <v>0</v>
      </c>
      <c r="Z272" s="81">
        <f t="shared" si="343"/>
        <v>0</v>
      </c>
      <c r="AA272" s="81">
        <f t="shared" si="343"/>
        <v>0</v>
      </c>
      <c r="AB272" s="81">
        <f t="shared" si="343"/>
        <v>0</v>
      </c>
      <c r="AC272" s="81">
        <f t="shared" si="343"/>
        <v>0</v>
      </c>
      <c r="AD272" s="81">
        <f t="shared" si="343"/>
        <v>0</v>
      </c>
      <c r="AE272" s="81">
        <f t="shared" si="343"/>
        <v>0</v>
      </c>
      <c r="AF272" s="81">
        <f t="shared" si="343"/>
        <v>0</v>
      </c>
      <c r="AG272" s="81">
        <f t="shared" si="343"/>
        <v>0</v>
      </c>
      <c r="AH272" s="82">
        <f t="shared" si="343"/>
        <v>0</v>
      </c>
      <c r="AI272" s="82">
        <f t="shared" si="343"/>
        <v>0</v>
      </c>
      <c r="AJ272" s="82">
        <f t="shared" si="343"/>
        <v>0</v>
      </c>
      <c r="AK272" s="82">
        <f t="shared" ref="AK272:AL272" si="344">SUM(AK267:AK271)</f>
        <v>0</v>
      </c>
      <c r="AL272" s="82">
        <f t="shared" si="344"/>
        <v>0</v>
      </c>
      <c r="AM272" s="82">
        <f t="shared" si="343"/>
        <v>0</v>
      </c>
      <c r="AN272" s="82">
        <f t="shared" si="343"/>
        <v>0</v>
      </c>
      <c r="AO272" s="82">
        <f t="shared" si="343"/>
        <v>0</v>
      </c>
      <c r="AP272" s="82">
        <f t="shared" si="343"/>
        <v>0</v>
      </c>
      <c r="AQ272" s="83">
        <f t="shared" si="343"/>
        <v>0</v>
      </c>
      <c r="AR272" s="438">
        <f t="shared" si="343"/>
        <v>54872692</v>
      </c>
      <c r="AS272" s="81">
        <f t="shared" si="343"/>
        <v>39114018</v>
      </c>
      <c r="AT272" s="81">
        <f t="shared" si="343"/>
        <v>455612</v>
      </c>
      <c r="AU272" s="81">
        <f t="shared" si="343"/>
        <v>13374536</v>
      </c>
      <c r="AV272" s="81">
        <f t="shared" si="343"/>
        <v>782280</v>
      </c>
      <c r="AW272" s="81">
        <f t="shared" si="343"/>
        <v>1146246</v>
      </c>
      <c r="AX272" s="82">
        <f t="shared" si="343"/>
        <v>77.927800000000005</v>
      </c>
      <c r="AY272" s="82">
        <f t="shared" si="343"/>
        <v>56.9283</v>
      </c>
      <c r="AZ272" s="83">
        <f t="shared" si="343"/>
        <v>20.999499999999998</v>
      </c>
    </row>
    <row r="273" spans="1:52" ht="14.1" customHeight="1" x14ac:dyDescent="0.2">
      <c r="A273" s="72">
        <v>56</v>
      </c>
      <c r="B273" s="69">
        <v>2401</v>
      </c>
      <c r="C273" s="70">
        <v>600079597</v>
      </c>
      <c r="D273" s="69">
        <v>72741538</v>
      </c>
      <c r="E273" s="71" t="s">
        <v>681</v>
      </c>
      <c r="F273" s="72">
        <v>3111</v>
      </c>
      <c r="G273" s="71" t="s">
        <v>312</v>
      </c>
      <c r="H273" s="73" t="s">
        <v>278</v>
      </c>
      <c r="I273" s="494">
        <v>3435701</v>
      </c>
      <c r="J273" s="674">
        <v>2458084</v>
      </c>
      <c r="K273" s="674">
        <v>58500</v>
      </c>
      <c r="L273" s="489">
        <v>850605</v>
      </c>
      <c r="M273" s="489">
        <v>49162</v>
      </c>
      <c r="N273" s="489">
        <v>19350</v>
      </c>
      <c r="O273" s="490">
        <v>5.2997999999999994</v>
      </c>
      <c r="P273" s="490">
        <v>3.91</v>
      </c>
      <c r="Q273" s="500">
        <v>1.3897999999999999</v>
      </c>
      <c r="R273" s="502">
        <f t="shared" si="335"/>
        <v>0</v>
      </c>
      <c r="S273" s="492">
        <v>0</v>
      </c>
      <c r="T273" s="492">
        <v>0</v>
      </c>
      <c r="U273" s="492">
        <v>0</v>
      </c>
      <c r="V273" s="492">
        <f>SUM(R273:U273)</f>
        <v>0</v>
      </c>
      <c r="W273" s="492">
        <v>0</v>
      </c>
      <c r="X273" s="492">
        <v>0</v>
      </c>
      <c r="Y273" s="492">
        <v>0</v>
      </c>
      <c r="Z273" s="492">
        <f t="shared" si="338"/>
        <v>0</v>
      </c>
      <c r="AA273" s="492">
        <f t="shared" si="339"/>
        <v>0</v>
      </c>
      <c r="AB273" s="74">
        <f t="shared" si="340"/>
        <v>0</v>
      </c>
      <c r="AC273" s="74">
        <f t="shared" si="341"/>
        <v>0</v>
      </c>
      <c r="AD273" s="492">
        <v>0</v>
      </c>
      <c r="AE273" s="492">
        <v>0</v>
      </c>
      <c r="AF273" s="492">
        <f>SUM(AD273:AE273)</f>
        <v>0</v>
      </c>
      <c r="AG273" s="492">
        <f>AA273+AB273+AC273+AF273</f>
        <v>0</v>
      </c>
      <c r="AH273" s="493">
        <v>0</v>
      </c>
      <c r="AI273" s="493">
        <v>0</v>
      </c>
      <c r="AJ273" s="493">
        <v>0</v>
      </c>
      <c r="AK273" s="493">
        <v>0</v>
      </c>
      <c r="AL273" s="493">
        <v>0</v>
      </c>
      <c r="AM273" s="493">
        <v>0</v>
      </c>
      <c r="AN273" s="493">
        <v>0</v>
      </c>
      <c r="AO273" s="493">
        <f t="shared" si="336"/>
        <v>0</v>
      </c>
      <c r="AP273" s="493">
        <f t="shared" si="337"/>
        <v>0</v>
      </c>
      <c r="AQ273" s="495">
        <f t="shared" si="342"/>
        <v>0</v>
      </c>
      <c r="AR273" s="501">
        <f>I273+AG273</f>
        <v>3435701</v>
      </c>
      <c r="AS273" s="492">
        <f>J273+V273</f>
        <v>2458084</v>
      </c>
      <c r="AT273" s="492">
        <f t="shared" ref="AT273:AT275" si="345">K273+Z273</f>
        <v>58500</v>
      </c>
      <c r="AU273" s="492">
        <f t="shared" ref="AU273:AV275" si="346">L273+AB273</f>
        <v>850605</v>
      </c>
      <c r="AV273" s="492">
        <f t="shared" si="346"/>
        <v>49162</v>
      </c>
      <c r="AW273" s="492">
        <f>N273+AF273</f>
        <v>19350</v>
      </c>
      <c r="AX273" s="493">
        <f>O273+AQ273</f>
        <v>5.2997999999999994</v>
      </c>
      <c r="AY273" s="493">
        <f t="shared" ref="AY273:AZ275" si="347">P273+AO273</f>
        <v>3.91</v>
      </c>
      <c r="AZ273" s="495">
        <f t="shared" si="347"/>
        <v>1.3897999999999999</v>
      </c>
    </row>
    <row r="274" spans="1:52" ht="14.1" customHeight="1" x14ac:dyDescent="0.2">
      <c r="A274" s="72">
        <v>56</v>
      </c>
      <c r="B274" s="69">
        <v>2401</v>
      </c>
      <c r="C274" s="70">
        <v>600079597</v>
      </c>
      <c r="D274" s="69">
        <v>72741538</v>
      </c>
      <c r="E274" s="71" t="s">
        <v>681</v>
      </c>
      <c r="F274" s="72">
        <v>3111</v>
      </c>
      <c r="G274" s="71" t="s">
        <v>313</v>
      </c>
      <c r="H274" s="73" t="s">
        <v>279</v>
      </c>
      <c r="I274" s="494">
        <v>862799</v>
      </c>
      <c r="J274" s="489">
        <v>635345</v>
      </c>
      <c r="K274" s="489">
        <v>0</v>
      </c>
      <c r="L274" s="489">
        <v>214747</v>
      </c>
      <c r="M274" s="489">
        <v>12707</v>
      </c>
      <c r="N274" s="489">
        <v>0</v>
      </c>
      <c r="O274" s="490">
        <v>1.75</v>
      </c>
      <c r="P274" s="491">
        <v>1.75</v>
      </c>
      <c r="Q274" s="500">
        <v>0</v>
      </c>
      <c r="R274" s="502">
        <f t="shared" si="335"/>
        <v>0</v>
      </c>
      <c r="S274" s="489">
        <v>0</v>
      </c>
      <c r="T274" s="492">
        <v>0</v>
      </c>
      <c r="U274" s="492">
        <v>0</v>
      </c>
      <c r="V274" s="492">
        <f>SUM(R274:U274)</f>
        <v>0</v>
      </c>
      <c r="W274" s="492">
        <v>0</v>
      </c>
      <c r="X274" s="492">
        <v>0</v>
      </c>
      <c r="Y274" s="492">
        <v>0</v>
      </c>
      <c r="Z274" s="492">
        <f t="shared" si="338"/>
        <v>0</v>
      </c>
      <c r="AA274" s="492">
        <f t="shared" si="339"/>
        <v>0</v>
      </c>
      <c r="AB274" s="74">
        <f t="shared" si="340"/>
        <v>0</v>
      </c>
      <c r="AC274" s="74">
        <f t="shared" si="341"/>
        <v>0</v>
      </c>
      <c r="AD274" s="492">
        <v>0</v>
      </c>
      <c r="AE274" s="492">
        <v>0</v>
      </c>
      <c r="AF274" s="492">
        <f>SUM(AD274:AE274)</f>
        <v>0</v>
      </c>
      <c r="AG274" s="492">
        <f>AA274+AB274+AC274+AF274</f>
        <v>0</v>
      </c>
      <c r="AH274" s="493">
        <v>0</v>
      </c>
      <c r="AI274" s="493">
        <v>0</v>
      </c>
      <c r="AJ274" s="493">
        <v>0</v>
      </c>
      <c r="AK274" s="493">
        <v>0</v>
      </c>
      <c r="AL274" s="493">
        <v>0</v>
      </c>
      <c r="AM274" s="493">
        <v>0</v>
      </c>
      <c r="AN274" s="493">
        <v>0</v>
      </c>
      <c r="AO274" s="493">
        <f t="shared" si="336"/>
        <v>0</v>
      </c>
      <c r="AP274" s="493">
        <f t="shared" si="337"/>
        <v>0</v>
      </c>
      <c r="AQ274" s="495">
        <f t="shared" si="342"/>
        <v>0</v>
      </c>
      <c r="AR274" s="501">
        <f>I274+AG274</f>
        <v>862799</v>
      </c>
      <c r="AS274" s="492">
        <f>J274+V274</f>
        <v>635345</v>
      </c>
      <c r="AT274" s="492">
        <f t="shared" si="345"/>
        <v>0</v>
      </c>
      <c r="AU274" s="492">
        <f t="shared" si="346"/>
        <v>214747</v>
      </c>
      <c r="AV274" s="492">
        <f t="shared" si="346"/>
        <v>12707</v>
      </c>
      <c r="AW274" s="492">
        <f>N274+AF274</f>
        <v>0</v>
      </c>
      <c r="AX274" s="493">
        <f>O274+AQ274</f>
        <v>1.75</v>
      </c>
      <c r="AY274" s="493">
        <f t="shared" si="347"/>
        <v>1.75</v>
      </c>
      <c r="AZ274" s="495">
        <f t="shared" si="347"/>
        <v>0</v>
      </c>
    </row>
    <row r="275" spans="1:52" ht="14.1" customHeight="1" x14ac:dyDescent="0.2">
      <c r="A275" s="72">
        <v>56</v>
      </c>
      <c r="B275" s="69">
        <v>2401</v>
      </c>
      <c r="C275" s="70">
        <v>600079597</v>
      </c>
      <c r="D275" s="69">
        <v>72741538</v>
      </c>
      <c r="E275" s="71" t="s">
        <v>681</v>
      </c>
      <c r="F275" s="72">
        <v>3141</v>
      </c>
      <c r="G275" s="71" t="s">
        <v>316</v>
      </c>
      <c r="H275" s="73" t="s">
        <v>279</v>
      </c>
      <c r="I275" s="494">
        <v>619801</v>
      </c>
      <c r="J275" s="489">
        <v>454571</v>
      </c>
      <c r="K275" s="489">
        <v>0</v>
      </c>
      <c r="L275" s="489">
        <v>153645</v>
      </c>
      <c r="M275" s="489">
        <v>9091</v>
      </c>
      <c r="N275" s="489">
        <v>2494</v>
      </c>
      <c r="O275" s="490">
        <v>1.43</v>
      </c>
      <c r="P275" s="491">
        <v>0</v>
      </c>
      <c r="Q275" s="500">
        <v>1.43</v>
      </c>
      <c r="R275" s="502">
        <f t="shared" si="335"/>
        <v>0</v>
      </c>
      <c r="S275" s="492">
        <v>0</v>
      </c>
      <c r="T275" s="492">
        <v>0</v>
      </c>
      <c r="U275" s="492">
        <v>0</v>
      </c>
      <c r="V275" s="492">
        <f>SUM(R275:U275)</f>
        <v>0</v>
      </c>
      <c r="W275" s="492">
        <v>0</v>
      </c>
      <c r="X275" s="492">
        <v>0</v>
      </c>
      <c r="Y275" s="492">
        <v>0</v>
      </c>
      <c r="Z275" s="492">
        <f t="shared" si="338"/>
        <v>0</v>
      </c>
      <c r="AA275" s="492">
        <f t="shared" si="339"/>
        <v>0</v>
      </c>
      <c r="AB275" s="74">
        <f t="shared" si="340"/>
        <v>0</v>
      </c>
      <c r="AC275" s="74">
        <f t="shared" si="341"/>
        <v>0</v>
      </c>
      <c r="AD275" s="492">
        <v>0</v>
      </c>
      <c r="AE275" s="492">
        <v>0</v>
      </c>
      <c r="AF275" s="492">
        <f>SUM(AD275:AE275)</f>
        <v>0</v>
      </c>
      <c r="AG275" s="492">
        <f>AA275+AB275+AC275+AF275</f>
        <v>0</v>
      </c>
      <c r="AH275" s="493">
        <v>0</v>
      </c>
      <c r="AI275" s="493">
        <v>0</v>
      </c>
      <c r="AJ275" s="493">
        <v>0</v>
      </c>
      <c r="AK275" s="493">
        <v>0</v>
      </c>
      <c r="AL275" s="493">
        <v>0</v>
      </c>
      <c r="AM275" s="493">
        <v>0</v>
      </c>
      <c r="AN275" s="493">
        <v>0</v>
      </c>
      <c r="AO275" s="493">
        <f t="shared" si="336"/>
        <v>0</v>
      </c>
      <c r="AP275" s="493">
        <f t="shared" si="337"/>
        <v>0</v>
      </c>
      <c r="AQ275" s="495">
        <f t="shared" si="342"/>
        <v>0</v>
      </c>
      <c r="AR275" s="501">
        <f>I275+AG275</f>
        <v>619801</v>
      </c>
      <c r="AS275" s="492">
        <f>J275+V275</f>
        <v>454571</v>
      </c>
      <c r="AT275" s="492">
        <f t="shared" si="345"/>
        <v>0</v>
      </c>
      <c r="AU275" s="492">
        <f t="shared" si="346"/>
        <v>153645</v>
      </c>
      <c r="AV275" s="492">
        <f t="shared" si="346"/>
        <v>9091</v>
      </c>
      <c r="AW275" s="492">
        <f>N275+AF275</f>
        <v>2494</v>
      </c>
      <c r="AX275" s="493">
        <f>O275+AQ275</f>
        <v>1.43</v>
      </c>
      <c r="AY275" s="493">
        <f t="shared" si="347"/>
        <v>0</v>
      </c>
      <c r="AZ275" s="495">
        <f t="shared" si="347"/>
        <v>1.43</v>
      </c>
    </row>
    <row r="276" spans="1:52" ht="14.1" customHeight="1" x14ac:dyDescent="0.2">
      <c r="A276" s="78">
        <v>56</v>
      </c>
      <c r="B276" s="75">
        <v>2401</v>
      </c>
      <c r="C276" s="76">
        <v>600079597</v>
      </c>
      <c r="D276" s="75">
        <v>72741538</v>
      </c>
      <c r="E276" s="77" t="s">
        <v>682</v>
      </c>
      <c r="F276" s="78"/>
      <c r="G276" s="77"/>
      <c r="H276" s="79"/>
      <c r="I276" s="80">
        <v>4918301</v>
      </c>
      <c r="J276" s="81">
        <v>3548000</v>
      </c>
      <c r="K276" s="81">
        <v>58500</v>
      </c>
      <c r="L276" s="81">
        <v>1218997</v>
      </c>
      <c r="M276" s="81">
        <v>70960</v>
      </c>
      <c r="N276" s="81">
        <v>21844</v>
      </c>
      <c r="O276" s="82">
        <v>8.4797999999999991</v>
      </c>
      <c r="P276" s="82">
        <v>5.66</v>
      </c>
      <c r="Q276" s="452">
        <v>2.8197999999999999</v>
      </c>
      <c r="R276" s="80">
        <f t="shared" ref="R276:AZ276" si="348">SUM(R273:R275)</f>
        <v>0</v>
      </c>
      <c r="S276" s="81">
        <f t="shared" si="348"/>
        <v>0</v>
      </c>
      <c r="T276" s="81">
        <f t="shared" si="348"/>
        <v>0</v>
      </c>
      <c r="U276" s="81">
        <f t="shared" si="348"/>
        <v>0</v>
      </c>
      <c r="V276" s="81">
        <f t="shared" si="348"/>
        <v>0</v>
      </c>
      <c r="W276" s="81">
        <f t="shared" si="348"/>
        <v>0</v>
      </c>
      <c r="X276" s="81">
        <f t="shared" si="348"/>
        <v>0</v>
      </c>
      <c r="Y276" s="81">
        <f t="shared" si="348"/>
        <v>0</v>
      </c>
      <c r="Z276" s="81">
        <f t="shared" si="348"/>
        <v>0</v>
      </c>
      <c r="AA276" s="81">
        <f t="shared" si="348"/>
        <v>0</v>
      </c>
      <c r="AB276" s="81">
        <f t="shared" si="348"/>
        <v>0</v>
      </c>
      <c r="AC276" s="81">
        <f t="shared" si="348"/>
        <v>0</v>
      </c>
      <c r="AD276" s="81">
        <f t="shared" si="348"/>
        <v>0</v>
      </c>
      <c r="AE276" s="81">
        <f t="shared" si="348"/>
        <v>0</v>
      </c>
      <c r="AF276" s="81">
        <f t="shared" si="348"/>
        <v>0</v>
      </c>
      <c r="AG276" s="81">
        <f t="shared" si="348"/>
        <v>0</v>
      </c>
      <c r="AH276" s="82">
        <f t="shared" si="348"/>
        <v>0</v>
      </c>
      <c r="AI276" s="82">
        <f t="shared" si="348"/>
        <v>0</v>
      </c>
      <c r="AJ276" s="82">
        <f t="shared" si="348"/>
        <v>0</v>
      </c>
      <c r="AK276" s="82">
        <f t="shared" ref="AK276:AL276" si="349">SUM(AK273:AK275)</f>
        <v>0</v>
      </c>
      <c r="AL276" s="82">
        <f t="shared" si="349"/>
        <v>0</v>
      </c>
      <c r="AM276" s="82">
        <f t="shared" si="348"/>
        <v>0</v>
      </c>
      <c r="AN276" s="82">
        <f t="shared" si="348"/>
        <v>0</v>
      </c>
      <c r="AO276" s="82">
        <f t="shared" si="348"/>
        <v>0</v>
      </c>
      <c r="AP276" s="82">
        <f t="shared" si="348"/>
        <v>0</v>
      </c>
      <c r="AQ276" s="83">
        <f t="shared" si="348"/>
        <v>0</v>
      </c>
      <c r="AR276" s="438">
        <f t="shared" si="348"/>
        <v>4918301</v>
      </c>
      <c r="AS276" s="81">
        <f t="shared" si="348"/>
        <v>3548000</v>
      </c>
      <c r="AT276" s="81">
        <f t="shared" si="348"/>
        <v>58500</v>
      </c>
      <c r="AU276" s="81">
        <f t="shared" si="348"/>
        <v>1218997</v>
      </c>
      <c r="AV276" s="81">
        <f t="shared" si="348"/>
        <v>70960</v>
      </c>
      <c r="AW276" s="81">
        <f t="shared" si="348"/>
        <v>21844</v>
      </c>
      <c r="AX276" s="82">
        <f t="shared" si="348"/>
        <v>8.4797999999999991</v>
      </c>
      <c r="AY276" s="82">
        <f t="shared" si="348"/>
        <v>5.66</v>
      </c>
      <c r="AZ276" s="83">
        <f t="shared" si="348"/>
        <v>2.8197999999999999</v>
      </c>
    </row>
    <row r="277" spans="1:52" ht="14.1" customHeight="1" x14ac:dyDescent="0.2">
      <c r="A277" s="72">
        <v>57</v>
      </c>
      <c r="B277" s="69">
        <v>2449</v>
      </c>
      <c r="C277" s="70">
        <v>650029348</v>
      </c>
      <c r="D277" s="69">
        <v>72742071</v>
      </c>
      <c r="E277" s="71" t="s">
        <v>683</v>
      </c>
      <c r="F277" s="72">
        <v>3111</v>
      </c>
      <c r="G277" s="71" t="s">
        <v>312</v>
      </c>
      <c r="H277" s="73" t="s">
        <v>278</v>
      </c>
      <c r="I277" s="494">
        <v>3213821</v>
      </c>
      <c r="J277" s="489">
        <v>2350016</v>
      </c>
      <c r="K277" s="489">
        <v>0</v>
      </c>
      <c r="L277" s="489">
        <v>794305</v>
      </c>
      <c r="M277" s="489">
        <v>47000</v>
      </c>
      <c r="N277" s="489">
        <v>22500</v>
      </c>
      <c r="O277" s="490">
        <v>5.0217999999999998</v>
      </c>
      <c r="P277" s="490">
        <v>4</v>
      </c>
      <c r="Q277" s="500">
        <v>1.0218</v>
      </c>
      <c r="R277" s="502">
        <f t="shared" si="335"/>
        <v>0</v>
      </c>
      <c r="S277" s="492">
        <v>0</v>
      </c>
      <c r="T277" s="492">
        <v>0</v>
      </c>
      <c r="U277" s="492">
        <v>0</v>
      </c>
      <c r="V277" s="492">
        <f t="shared" ref="V277:V282" si="350">SUM(R277:U277)</f>
        <v>0</v>
      </c>
      <c r="W277" s="492">
        <v>0</v>
      </c>
      <c r="X277" s="492">
        <v>0</v>
      </c>
      <c r="Y277" s="492">
        <v>0</v>
      </c>
      <c r="Z277" s="492">
        <f t="shared" si="338"/>
        <v>0</v>
      </c>
      <c r="AA277" s="492">
        <f t="shared" si="339"/>
        <v>0</v>
      </c>
      <c r="AB277" s="74">
        <f t="shared" si="340"/>
        <v>0</v>
      </c>
      <c r="AC277" s="74">
        <f t="shared" si="341"/>
        <v>0</v>
      </c>
      <c r="AD277" s="492">
        <v>0</v>
      </c>
      <c r="AE277" s="492">
        <v>0</v>
      </c>
      <c r="AF277" s="492">
        <f t="shared" ref="AF277:AF282" si="351">SUM(AD277:AE277)</f>
        <v>0</v>
      </c>
      <c r="AG277" s="492">
        <f t="shared" ref="AG277:AG282" si="352">AA277+AB277+AC277+AF277</f>
        <v>0</v>
      </c>
      <c r="AH277" s="493">
        <v>0</v>
      </c>
      <c r="AI277" s="493">
        <v>0</v>
      </c>
      <c r="AJ277" s="493">
        <v>0</v>
      </c>
      <c r="AK277" s="493">
        <v>0</v>
      </c>
      <c r="AL277" s="493">
        <v>0</v>
      </c>
      <c r="AM277" s="493">
        <v>0</v>
      </c>
      <c r="AN277" s="493">
        <v>0</v>
      </c>
      <c r="AO277" s="493">
        <f t="shared" si="336"/>
        <v>0</v>
      </c>
      <c r="AP277" s="493">
        <f t="shared" si="337"/>
        <v>0</v>
      </c>
      <c r="AQ277" s="495">
        <f t="shared" si="342"/>
        <v>0</v>
      </c>
      <c r="AR277" s="501">
        <f t="shared" ref="AR277:AR282" si="353">I277+AG277</f>
        <v>3213821</v>
      </c>
      <c r="AS277" s="492">
        <f t="shared" ref="AS277:AS282" si="354">J277+V277</f>
        <v>2350016</v>
      </c>
      <c r="AT277" s="492">
        <f t="shared" ref="AT277:AT282" si="355">K277+Z277</f>
        <v>0</v>
      </c>
      <c r="AU277" s="492">
        <f t="shared" ref="AU277:AV282" si="356">L277+AB277</f>
        <v>794305</v>
      </c>
      <c r="AV277" s="492">
        <f t="shared" si="356"/>
        <v>47000</v>
      </c>
      <c r="AW277" s="492">
        <f t="shared" ref="AW277:AW282" si="357">N277+AF277</f>
        <v>22500</v>
      </c>
      <c r="AX277" s="493">
        <f t="shared" ref="AX277:AX282" si="358">O277+AQ277</f>
        <v>5.0217999999999998</v>
      </c>
      <c r="AY277" s="493">
        <f t="shared" ref="AY277:AZ282" si="359">P277+AO277</f>
        <v>4</v>
      </c>
      <c r="AZ277" s="495">
        <f t="shared" si="359"/>
        <v>1.0218</v>
      </c>
    </row>
    <row r="278" spans="1:52" ht="14.1" customHeight="1" x14ac:dyDescent="0.2">
      <c r="A278" s="72">
        <v>57</v>
      </c>
      <c r="B278" s="69">
        <v>2449</v>
      </c>
      <c r="C278" s="70">
        <v>650029348</v>
      </c>
      <c r="D278" s="69">
        <v>72742071</v>
      </c>
      <c r="E278" s="71" t="s">
        <v>683</v>
      </c>
      <c r="F278" s="72">
        <v>3117</v>
      </c>
      <c r="G278" s="71" t="s">
        <v>315</v>
      </c>
      <c r="H278" s="73" t="s">
        <v>278</v>
      </c>
      <c r="I278" s="494">
        <v>4319263</v>
      </c>
      <c r="J278" s="489">
        <v>3121423</v>
      </c>
      <c r="K278" s="489">
        <v>0</v>
      </c>
      <c r="L278" s="489">
        <v>1055041</v>
      </c>
      <c r="M278" s="489">
        <v>62429</v>
      </c>
      <c r="N278" s="489">
        <v>80370</v>
      </c>
      <c r="O278" s="490">
        <v>6.2304999999999993</v>
      </c>
      <c r="P278" s="490">
        <v>4</v>
      </c>
      <c r="Q278" s="500">
        <v>2.2304999999999997</v>
      </c>
      <c r="R278" s="502">
        <f t="shared" si="335"/>
        <v>0</v>
      </c>
      <c r="S278" s="492">
        <v>0</v>
      </c>
      <c r="T278" s="492">
        <v>0</v>
      </c>
      <c r="U278" s="492">
        <v>0</v>
      </c>
      <c r="V278" s="492">
        <f t="shared" si="350"/>
        <v>0</v>
      </c>
      <c r="W278" s="492">
        <v>0</v>
      </c>
      <c r="X278" s="492">
        <v>0</v>
      </c>
      <c r="Y278" s="492">
        <v>0</v>
      </c>
      <c r="Z278" s="492">
        <f t="shared" si="338"/>
        <v>0</v>
      </c>
      <c r="AA278" s="492">
        <f t="shared" si="339"/>
        <v>0</v>
      </c>
      <c r="AB278" s="74">
        <f t="shared" si="340"/>
        <v>0</v>
      </c>
      <c r="AC278" s="74">
        <f t="shared" si="341"/>
        <v>0</v>
      </c>
      <c r="AD278" s="492">
        <v>0</v>
      </c>
      <c r="AE278" s="492">
        <v>0</v>
      </c>
      <c r="AF278" s="492">
        <f t="shared" si="351"/>
        <v>0</v>
      </c>
      <c r="AG278" s="492">
        <f t="shared" si="352"/>
        <v>0</v>
      </c>
      <c r="AH278" s="493">
        <v>0</v>
      </c>
      <c r="AI278" s="493">
        <v>0</v>
      </c>
      <c r="AJ278" s="493">
        <v>0</v>
      </c>
      <c r="AK278" s="493">
        <v>0</v>
      </c>
      <c r="AL278" s="493">
        <v>0</v>
      </c>
      <c r="AM278" s="493">
        <v>0</v>
      </c>
      <c r="AN278" s="493">
        <v>0</v>
      </c>
      <c r="AO278" s="493">
        <f t="shared" si="336"/>
        <v>0</v>
      </c>
      <c r="AP278" s="493">
        <f t="shared" si="337"/>
        <v>0</v>
      </c>
      <c r="AQ278" s="495">
        <f t="shared" si="342"/>
        <v>0</v>
      </c>
      <c r="AR278" s="501">
        <f t="shared" si="353"/>
        <v>4319263</v>
      </c>
      <c r="AS278" s="492">
        <f t="shared" si="354"/>
        <v>3121423</v>
      </c>
      <c r="AT278" s="492">
        <f t="shared" si="355"/>
        <v>0</v>
      </c>
      <c r="AU278" s="492">
        <f t="shared" si="356"/>
        <v>1055041</v>
      </c>
      <c r="AV278" s="492">
        <f t="shared" si="356"/>
        <v>62429</v>
      </c>
      <c r="AW278" s="492">
        <f t="shared" si="357"/>
        <v>80370</v>
      </c>
      <c r="AX278" s="493">
        <f t="shared" si="358"/>
        <v>6.2304999999999993</v>
      </c>
      <c r="AY278" s="493">
        <f t="shared" si="359"/>
        <v>4</v>
      </c>
      <c r="AZ278" s="495">
        <f t="shared" si="359"/>
        <v>2.2304999999999997</v>
      </c>
    </row>
    <row r="279" spans="1:52" ht="14.1" customHeight="1" x14ac:dyDescent="0.2">
      <c r="A279" s="72">
        <v>57</v>
      </c>
      <c r="B279" s="69">
        <v>2449</v>
      </c>
      <c r="C279" s="70">
        <v>650029348</v>
      </c>
      <c r="D279" s="69">
        <v>72742071</v>
      </c>
      <c r="E279" s="71" t="s">
        <v>683</v>
      </c>
      <c r="F279" s="72">
        <v>3117</v>
      </c>
      <c r="G279" s="84" t="s">
        <v>313</v>
      </c>
      <c r="H279" s="73" t="s">
        <v>279</v>
      </c>
      <c r="I279" s="494">
        <v>700615</v>
      </c>
      <c r="J279" s="489">
        <v>515917</v>
      </c>
      <c r="K279" s="489">
        <v>0</v>
      </c>
      <c r="L279" s="489">
        <v>174380</v>
      </c>
      <c r="M279" s="489">
        <v>10318</v>
      </c>
      <c r="N279" s="489">
        <v>0</v>
      </c>
      <c r="O279" s="490">
        <v>1.6400000000000001</v>
      </c>
      <c r="P279" s="491">
        <v>1.6400000000000001</v>
      </c>
      <c r="Q279" s="500">
        <v>0</v>
      </c>
      <c r="R279" s="502">
        <f t="shared" si="335"/>
        <v>0</v>
      </c>
      <c r="S279" s="489">
        <v>259832</v>
      </c>
      <c r="T279" s="492">
        <v>0</v>
      </c>
      <c r="U279" s="492">
        <v>0</v>
      </c>
      <c r="V279" s="492">
        <f t="shared" si="350"/>
        <v>259832</v>
      </c>
      <c r="W279" s="492">
        <v>0</v>
      </c>
      <c r="X279" s="492">
        <v>0</v>
      </c>
      <c r="Y279" s="492">
        <v>0</v>
      </c>
      <c r="Z279" s="492">
        <f t="shared" si="338"/>
        <v>0</v>
      </c>
      <c r="AA279" s="492">
        <f t="shared" si="339"/>
        <v>259832</v>
      </c>
      <c r="AB279" s="74">
        <f t="shared" si="340"/>
        <v>87823</v>
      </c>
      <c r="AC279" s="74">
        <f t="shared" si="341"/>
        <v>5197</v>
      </c>
      <c r="AD279" s="492">
        <v>0</v>
      </c>
      <c r="AE279" s="492">
        <v>0</v>
      </c>
      <c r="AF279" s="492">
        <f t="shared" si="351"/>
        <v>0</v>
      </c>
      <c r="AG279" s="492">
        <f t="shared" si="352"/>
        <v>352852</v>
      </c>
      <c r="AH279" s="493">
        <v>0</v>
      </c>
      <c r="AI279" s="493">
        <v>0</v>
      </c>
      <c r="AJ279" s="493">
        <v>0.75</v>
      </c>
      <c r="AK279" s="493">
        <v>0</v>
      </c>
      <c r="AL279" s="493">
        <v>0</v>
      </c>
      <c r="AM279" s="493">
        <v>0</v>
      </c>
      <c r="AN279" s="493">
        <v>0</v>
      </c>
      <c r="AO279" s="493">
        <f t="shared" si="336"/>
        <v>0.75</v>
      </c>
      <c r="AP279" s="493">
        <f t="shared" si="337"/>
        <v>0</v>
      </c>
      <c r="AQ279" s="495">
        <f t="shared" si="342"/>
        <v>0.75</v>
      </c>
      <c r="AR279" s="501">
        <f t="shared" si="353"/>
        <v>1053467</v>
      </c>
      <c r="AS279" s="492">
        <f t="shared" si="354"/>
        <v>775749</v>
      </c>
      <c r="AT279" s="492">
        <f t="shared" si="355"/>
        <v>0</v>
      </c>
      <c r="AU279" s="492">
        <f t="shared" si="356"/>
        <v>262203</v>
      </c>
      <c r="AV279" s="492">
        <f t="shared" si="356"/>
        <v>15515</v>
      </c>
      <c r="AW279" s="492">
        <f t="shared" si="357"/>
        <v>0</v>
      </c>
      <c r="AX279" s="493">
        <f t="shared" si="358"/>
        <v>2.39</v>
      </c>
      <c r="AY279" s="493">
        <f t="shared" si="359"/>
        <v>2.39</v>
      </c>
      <c r="AZ279" s="495">
        <f t="shared" si="359"/>
        <v>0</v>
      </c>
    </row>
    <row r="280" spans="1:52" ht="14.1" customHeight="1" x14ac:dyDescent="0.2">
      <c r="A280" s="72">
        <v>57</v>
      </c>
      <c r="B280" s="69">
        <v>2449</v>
      </c>
      <c r="C280" s="70">
        <v>650029348</v>
      </c>
      <c r="D280" s="69">
        <v>72742071</v>
      </c>
      <c r="E280" s="71" t="s">
        <v>683</v>
      </c>
      <c r="F280" s="72">
        <v>3141</v>
      </c>
      <c r="G280" s="71" t="s">
        <v>316</v>
      </c>
      <c r="H280" s="73" t="s">
        <v>279</v>
      </c>
      <c r="I280" s="494">
        <v>1227938</v>
      </c>
      <c r="J280" s="489">
        <v>899912</v>
      </c>
      <c r="K280" s="489">
        <v>0</v>
      </c>
      <c r="L280" s="489">
        <v>304170</v>
      </c>
      <c r="M280" s="489">
        <v>17998</v>
      </c>
      <c r="N280" s="489">
        <v>5858</v>
      </c>
      <c r="O280" s="490">
        <v>2.83</v>
      </c>
      <c r="P280" s="491">
        <v>0</v>
      </c>
      <c r="Q280" s="500">
        <v>2.83</v>
      </c>
      <c r="R280" s="502">
        <f t="shared" si="335"/>
        <v>0</v>
      </c>
      <c r="S280" s="492">
        <v>0</v>
      </c>
      <c r="T280" s="492">
        <v>0</v>
      </c>
      <c r="U280" s="492">
        <v>0</v>
      </c>
      <c r="V280" s="492">
        <f t="shared" si="350"/>
        <v>0</v>
      </c>
      <c r="W280" s="492">
        <v>0</v>
      </c>
      <c r="X280" s="492">
        <v>0</v>
      </c>
      <c r="Y280" s="492">
        <v>0</v>
      </c>
      <c r="Z280" s="492">
        <f t="shared" si="338"/>
        <v>0</v>
      </c>
      <c r="AA280" s="492">
        <f t="shared" si="339"/>
        <v>0</v>
      </c>
      <c r="AB280" s="74">
        <f t="shared" si="340"/>
        <v>0</v>
      </c>
      <c r="AC280" s="74">
        <f t="shared" si="341"/>
        <v>0</v>
      </c>
      <c r="AD280" s="492">
        <v>0</v>
      </c>
      <c r="AE280" s="492">
        <v>0</v>
      </c>
      <c r="AF280" s="492">
        <f t="shared" si="351"/>
        <v>0</v>
      </c>
      <c r="AG280" s="492">
        <f t="shared" si="352"/>
        <v>0</v>
      </c>
      <c r="AH280" s="493">
        <v>0</v>
      </c>
      <c r="AI280" s="493">
        <v>0</v>
      </c>
      <c r="AJ280" s="493">
        <v>0</v>
      </c>
      <c r="AK280" s="493">
        <v>0</v>
      </c>
      <c r="AL280" s="493">
        <v>0</v>
      </c>
      <c r="AM280" s="493">
        <v>0</v>
      </c>
      <c r="AN280" s="493">
        <v>0</v>
      </c>
      <c r="AO280" s="493">
        <f t="shared" si="336"/>
        <v>0</v>
      </c>
      <c r="AP280" s="493">
        <f t="shared" si="337"/>
        <v>0</v>
      </c>
      <c r="AQ280" s="495">
        <f t="shared" si="342"/>
        <v>0</v>
      </c>
      <c r="AR280" s="501">
        <f t="shared" si="353"/>
        <v>1227938</v>
      </c>
      <c r="AS280" s="492">
        <f t="shared" si="354"/>
        <v>899912</v>
      </c>
      <c r="AT280" s="492">
        <f t="shared" si="355"/>
        <v>0</v>
      </c>
      <c r="AU280" s="492">
        <f t="shared" si="356"/>
        <v>304170</v>
      </c>
      <c r="AV280" s="492">
        <f t="shared" si="356"/>
        <v>17998</v>
      </c>
      <c r="AW280" s="492">
        <f t="shared" si="357"/>
        <v>5858</v>
      </c>
      <c r="AX280" s="493">
        <f t="shared" si="358"/>
        <v>2.83</v>
      </c>
      <c r="AY280" s="493">
        <f t="shared" si="359"/>
        <v>0</v>
      </c>
      <c r="AZ280" s="495">
        <f t="shared" si="359"/>
        <v>2.83</v>
      </c>
    </row>
    <row r="281" spans="1:52" ht="14.1" customHeight="1" x14ac:dyDescent="0.2">
      <c r="A281" s="72">
        <v>57</v>
      </c>
      <c r="B281" s="69">
        <v>2449</v>
      </c>
      <c r="C281" s="70">
        <v>650029348</v>
      </c>
      <c r="D281" s="69">
        <v>72742071</v>
      </c>
      <c r="E281" s="71" t="s">
        <v>683</v>
      </c>
      <c r="F281" s="72">
        <v>3143</v>
      </c>
      <c r="G281" s="84" t="s">
        <v>629</v>
      </c>
      <c r="H281" s="73" t="s">
        <v>278</v>
      </c>
      <c r="I281" s="494">
        <v>725570</v>
      </c>
      <c r="J281" s="489">
        <v>534293</v>
      </c>
      <c r="K281" s="489">
        <v>0</v>
      </c>
      <c r="L281" s="489">
        <v>180591</v>
      </c>
      <c r="M281" s="489">
        <v>10686</v>
      </c>
      <c r="N281" s="489">
        <v>0</v>
      </c>
      <c r="O281" s="490">
        <v>1</v>
      </c>
      <c r="P281" s="490">
        <v>1</v>
      </c>
      <c r="Q281" s="500">
        <v>0</v>
      </c>
      <c r="R281" s="502">
        <f t="shared" si="335"/>
        <v>0</v>
      </c>
      <c r="S281" s="492">
        <v>0</v>
      </c>
      <c r="T281" s="492">
        <v>0</v>
      </c>
      <c r="U281" s="492">
        <v>0</v>
      </c>
      <c r="V281" s="492">
        <f t="shared" si="350"/>
        <v>0</v>
      </c>
      <c r="W281" s="492">
        <v>0</v>
      </c>
      <c r="X281" s="492">
        <v>0</v>
      </c>
      <c r="Y281" s="492">
        <v>0</v>
      </c>
      <c r="Z281" s="492">
        <f t="shared" si="338"/>
        <v>0</v>
      </c>
      <c r="AA281" s="492">
        <f t="shared" si="339"/>
        <v>0</v>
      </c>
      <c r="AB281" s="74">
        <f t="shared" si="340"/>
        <v>0</v>
      </c>
      <c r="AC281" s="74">
        <f t="shared" si="341"/>
        <v>0</v>
      </c>
      <c r="AD281" s="492">
        <v>0</v>
      </c>
      <c r="AE281" s="492">
        <v>0</v>
      </c>
      <c r="AF281" s="492">
        <f t="shared" si="351"/>
        <v>0</v>
      </c>
      <c r="AG281" s="492">
        <f t="shared" si="352"/>
        <v>0</v>
      </c>
      <c r="AH281" s="493">
        <v>0</v>
      </c>
      <c r="AI281" s="493">
        <v>0</v>
      </c>
      <c r="AJ281" s="493">
        <v>0</v>
      </c>
      <c r="AK281" s="493">
        <v>0</v>
      </c>
      <c r="AL281" s="493">
        <v>0</v>
      </c>
      <c r="AM281" s="493">
        <v>0</v>
      </c>
      <c r="AN281" s="493">
        <v>0</v>
      </c>
      <c r="AO281" s="493">
        <f t="shared" si="336"/>
        <v>0</v>
      </c>
      <c r="AP281" s="493">
        <f t="shared" si="337"/>
        <v>0</v>
      </c>
      <c r="AQ281" s="495">
        <f t="shared" si="342"/>
        <v>0</v>
      </c>
      <c r="AR281" s="501">
        <f t="shared" si="353"/>
        <v>725570</v>
      </c>
      <c r="AS281" s="492">
        <f t="shared" si="354"/>
        <v>534293</v>
      </c>
      <c r="AT281" s="492">
        <f t="shared" si="355"/>
        <v>0</v>
      </c>
      <c r="AU281" s="492">
        <f t="shared" si="356"/>
        <v>180591</v>
      </c>
      <c r="AV281" s="492">
        <f t="shared" si="356"/>
        <v>10686</v>
      </c>
      <c r="AW281" s="492">
        <f t="shared" si="357"/>
        <v>0</v>
      </c>
      <c r="AX281" s="493">
        <f t="shared" si="358"/>
        <v>1</v>
      </c>
      <c r="AY281" s="493">
        <f t="shared" si="359"/>
        <v>1</v>
      </c>
      <c r="AZ281" s="495">
        <f t="shared" si="359"/>
        <v>0</v>
      </c>
    </row>
    <row r="282" spans="1:52" ht="14.1" customHeight="1" x14ac:dyDescent="0.2">
      <c r="A282" s="72">
        <v>57</v>
      </c>
      <c r="B282" s="69">
        <v>2449</v>
      </c>
      <c r="C282" s="70">
        <v>650029348</v>
      </c>
      <c r="D282" s="69">
        <v>72742071</v>
      </c>
      <c r="E282" s="71" t="s">
        <v>683</v>
      </c>
      <c r="F282" s="72">
        <v>3143</v>
      </c>
      <c r="G282" s="84" t="s">
        <v>630</v>
      </c>
      <c r="H282" s="73" t="s">
        <v>279</v>
      </c>
      <c r="I282" s="494">
        <v>22680</v>
      </c>
      <c r="J282" s="489">
        <v>16038</v>
      </c>
      <c r="K282" s="489">
        <v>0</v>
      </c>
      <c r="L282" s="489">
        <v>5421</v>
      </c>
      <c r="M282" s="489">
        <v>321</v>
      </c>
      <c r="N282" s="489">
        <v>900</v>
      </c>
      <c r="O282" s="490">
        <v>0.06</v>
      </c>
      <c r="P282" s="491">
        <v>0</v>
      </c>
      <c r="Q282" s="500">
        <v>0.06</v>
      </c>
      <c r="R282" s="502">
        <f t="shared" si="335"/>
        <v>0</v>
      </c>
      <c r="S282" s="492">
        <v>0</v>
      </c>
      <c r="T282" s="492">
        <v>0</v>
      </c>
      <c r="U282" s="492">
        <v>0</v>
      </c>
      <c r="V282" s="492">
        <f t="shared" si="350"/>
        <v>0</v>
      </c>
      <c r="W282" s="492">
        <v>0</v>
      </c>
      <c r="X282" s="492">
        <v>0</v>
      </c>
      <c r="Y282" s="492">
        <v>0</v>
      </c>
      <c r="Z282" s="492">
        <f t="shared" si="338"/>
        <v>0</v>
      </c>
      <c r="AA282" s="492">
        <f t="shared" si="339"/>
        <v>0</v>
      </c>
      <c r="AB282" s="74">
        <f t="shared" si="340"/>
        <v>0</v>
      </c>
      <c r="AC282" s="74">
        <f t="shared" si="341"/>
        <v>0</v>
      </c>
      <c r="AD282" s="492">
        <v>0</v>
      </c>
      <c r="AE282" s="492">
        <v>0</v>
      </c>
      <c r="AF282" s="492">
        <f t="shared" si="351"/>
        <v>0</v>
      </c>
      <c r="AG282" s="492">
        <f t="shared" si="352"/>
        <v>0</v>
      </c>
      <c r="AH282" s="493">
        <v>0</v>
      </c>
      <c r="AI282" s="493">
        <v>0</v>
      </c>
      <c r="AJ282" s="493">
        <v>0</v>
      </c>
      <c r="AK282" s="493">
        <v>0</v>
      </c>
      <c r="AL282" s="493">
        <v>0</v>
      </c>
      <c r="AM282" s="493">
        <v>0</v>
      </c>
      <c r="AN282" s="493">
        <v>0</v>
      </c>
      <c r="AO282" s="493">
        <f t="shared" si="336"/>
        <v>0</v>
      </c>
      <c r="AP282" s="493">
        <f t="shared" si="337"/>
        <v>0</v>
      </c>
      <c r="AQ282" s="495">
        <f t="shared" si="342"/>
        <v>0</v>
      </c>
      <c r="AR282" s="501">
        <f t="shared" si="353"/>
        <v>22680</v>
      </c>
      <c r="AS282" s="492">
        <f t="shared" si="354"/>
        <v>16038</v>
      </c>
      <c r="AT282" s="492">
        <f t="shared" si="355"/>
        <v>0</v>
      </c>
      <c r="AU282" s="492">
        <f t="shared" si="356"/>
        <v>5421</v>
      </c>
      <c r="AV282" s="492">
        <f t="shared" si="356"/>
        <v>321</v>
      </c>
      <c r="AW282" s="492">
        <f t="shared" si="357"/>
        <v>900</v>
      </c>
      <c r="AX282" s="493">
        <f t="shared" si="358"/>
        <v>0.06</v>
      </c>
      <c r="AY282" s="493">
        <f t="shared" si="359"/>
        <v>0</v>
      </c>
      <c r="AZ282" s="495">
        <f t="shared" si="359"/>
        <v>0.06</v>
      </c>
    </row>
    <row r="283" spans="1:52" ht="14.1" customHeight="1" x14ac:dyDescent="0.2">
      <c r="A283" s="78">
        <v>57</v>
      </c>
      <c r="B283" s="75">
        <v>2449</v>
      </c>
      <c r="C283" s="76">
        <v>650029348</v>
      </c>
      <c r="D283" s="75">
        <v>72742071</v>
      </c>
      <c r="E283" s="77" t="s">
        <v>684</v>
      </c>
      <c r="F283" s="78"/>
      <c r="G283" s="77"/>
      <c r="H283" s="79"/>
      <c r="I283" s="80">
        <v>10209887</v>
      </c>
      <c r="J283" s="81">
        <v>7437599</v>
      </c>
      <c r="K283" s="81">
        <v>0</v>
      </c>
      <c r="L283" s="81">
        <v>2513908</v>
      </c>
      <c r="M283" s="81">
        <v>148752</v>
      </c>
      <c r="N283" s="81">
        <v>109628</v>
      </c>
      <c r="O283" s="82">
        <v>16.782299999999996</v>
      </c>
      <c r="P283" s="82">
        <v>10.64</v>
      </c>
      <c r="Q283" s="452">
        <v>6.1422999999999996</v>
      </c>
      <c r="R283" s="80">
        <f t="shared" ref="R283:AZ283" si="360">SUM(R277:R282)</f>
        <v>0</v>
      </c>
      <c r="S283" s="81">
        <f t="shared" si="360"/>
        <v>259832</v>
      </c>
      <c r="T283" s="81">
        <f t="shared" si="360"/>
        <v>0</v>
      </c>
      <c r="U283" s="81">
        <f t="shared" si="360"/>
        <v>0</v>
      </c>
      <c r="V283" s="81">
        <f t="shared" si="360"/>
        <v>259832</v>
      </c>
      <c r="W283" s="81">
        <f t="shared" si="360"/>
        <v>0</v>
      </c>
      <c r="X283" s="81">
        <f t="shared" si="360"/>
        <v>0</v>
      </c>
      <c r="Y283" s="81">
        <f t="shared" si="360"/>
        <v>0</v>
      </c>
      <c r="Z283" s="81">
        <f t="shared" si="360"/>
        <v>0</v>
      </c>
      <c r="AA283" s="81">
        <f t="shared" si="360"/>
        <v>259832</v>
      </c>
      <c r="AB283" s="81">
        <f t="shared" si="360"/>
        <v>87823</v>
      </c>
      <c r="AC283" s="81">
        <f t="shared" si="360"/>
        <v>5197</v>
      </c>
      <c r="AD283" s="81">
        <f t="shared" si="360"/>
        <v>0</v>
      </c>
      <c r="AE283" s="81">
        <f t="shared" si="360"/>
        <v>0</v>
      </c>
      <c r="AF283" s="81">
        <f t="shared" si="360"/>
        <v>0</v>
      </c>
      <c r="AG283" s="81">
        <f t="shared" si="360"/>
        <v>352852</v>
      </c>
      <c r="AH283" s="82">
        <f t="shared" si="360"/>
        <v>0</v>
      </c>
      <c r="AI283" s="82">
        <f t="shared" si="360"/>
        <v>0</v>
      </c>
      <c r="AJ283" s="82">
        <f t="shared" si="360"/>
        <v>0.75</v>
      </c>
      <c r="AK283" s="82">
        <f t="shared" ref="AK283:AL283" si="361">SUM(AK277:AK282)</f>
        <v>0</v>
      </c>
      <c r="AL283" s="82">
        <f t="shared" si="361"/>
        <v>0</v>
      </c>
      <c r="AM283" s="82">
        <f t="shared" si="360"/>
        <v>0</v>
      </c>
      <c r="AN283" s="82">
        <f t="shared" si="360"/>
        <v>0</v>
      </c>
      <c r="AO283" s="82">
        <f t="shared" si="360"/>
        <v>0.75</v>
      </c>
      <c r="AP283" s="82">
        <f t="shared" si="360"/>
        <v>0</v>
      </c>
      <c r="AQ283" s="83">
        <f t="shared" si="360"/>
        <v>0.75</v>
      </c>
      <c r="AR283" s="438">
        <f t="shared" si="360"/>
        <v>10562739</v>
      </c>
      <c r="AS283" s="81">
        <f t="shared" si="360"/>
        <v>7697431</v>
      </c>
      <c r="AT283" s="81">
        <f t="shared" si="360"/>
        <v>0</v>
      </c>
      <c r="AU283" s="81">
        <f t="shared" si="360"/>
        <v>2601731</v>
      </c>
      <c r="AV283" s="81">
        <f t="shared" si="360"/>
        <v>153949</v>
      </c>
      <c r="AW283" s="81">
        <f t="shared" si="360"/>
        <v>109628</v>
      </c>
      <c r="AX283" s="82">
        <f t="shared" si="360"/>
        <v>17.532299999999996</v>
      </c>
      <c r="AY283" s="82">
        <f t="shared" si="360"/>
        <v>11.39</v>
      </c>
      <c r="AZ283" s="83">
        <f t="shared" si="360"/>
        <v>6.1422999999999996</v>
      </c>
    </row>
    <row r="284" spans="1:52" ht="14.1" customHeight="1" x14ac:dyDescent="0.2">
      <c r="A284" s="72">
        <v>58</v>
      </c>
      <c r="B284" s="69">
        <v>2318</v>
      </c>
      <c r="C284" s="70">
        <v>600079546</v>
      </c>
      <c r="D284" s="69">
        <v>70695253</v>
      </c>
      <c r="E284" s="71" t="s">
        <v>685</v>
      </c>
      <c r="F284" s="72">
        <v>3111</v>
      </c>
      <c r="G284" s="71" t="s">
        <v>312</v>
      </c>
      <c r="H284" s="73" t="s">
        <v>278</v>
      </c>
      <c r="I284" s="494">
        <v>7633089</v>
      </c>
      <c r="J284" s="674">
        <v>5571688</v>
      </c>
      <c r="K284" s="674">
        <v>9818</v>
      </c>
      <c r="L284" s="489">
        <v>1886549</v>
      </c>
      <c r="M284" s="489">
        <v>111434</v>
      </c>
      <c r="N284" s="489">
        <v>53600</v>
      </c>
      <c r="O284" s="490">
        <v>12.609200000000001</v>
      </c>
      <c r="P284" s="490">
        <v>8.99</v>
      </c>
      <c r="Q284" s="500">
        <v>3.6192000000000006</v>
      </c>
      <c r="R284" s="502">
        <f t="shared" si="335"/>
        <v>0</v>
      </c>
      <c r="S284" s="492">
        <v>0</v>
      </c>
      <c r="T284" s="492">
        <v>0</v>
      </c>
      <c r="U284" s="492">
        <v>0</v>
      </c>
      <c r="V284" s="492">
        <f>SUM(R284:U284)</f>
        <v>0</v>
      </c>
      <c r="W284" s="492">
        <v>0</v>
      </c>
      <c r="X284" s="492">
        <v>0</v>
      </c>
      <c r="Y284" s="492">
        <v>0</v>
      </c>
      <c r="Z284" s="492">
        <f t="shared" si="338"/>
        <v>0</v>
      </c>
      <c r="AA284" s="492">
        <f t="shared" si="339"/>
        <v>0</v>
      </c>
      <c r="AB284" s="74">
        <f t="shared" si="340"/>
        <v>0</v>
      </c>
      <c r="AC284" s="74">
        <f t="shared" si="341"/>
        <v>0</v>
      </c>
      <c r="AD284" s="492">
        <v>0</v>
      </c>
      <c r="AE284" s="492">
        <v>0</v>
      </c>
      <c r="AF284" s="492">
        <f>SUM(AD284:AE284)</f>
        <v>0</v>
      </c>
      <c r="AG284" s="492">
        <f>AA284+AB284+AC284+AF284</f>
        <v>0</v>
      </c>
      <c r="AH284" s="493">
        <v>0</v>
      </c>
      <c r="AI284" s="493">
        <v>0</v>
      </c>
      <c r="AJ284" s="493">
        <v>0</v>
      </c>
      <c r="AK284" s="493">
        <v>0</v>
      </c>
      <c r="AL284" s="493">
        <v>0</v>
      </c>
      <c r="AM284" s="493">
        <v>0</v>
      </c>
      <c r="AN284" s="493">
        <v>0</v>
      </c>
      <c r="AO284" s="493">
        <f t="shared" si="336"/>
        <v>0</v>
      </c>
      <c r="AP284" s="493">
        <f t="shared" si="337"/>
        <v>0</v>
      </c>
      <c r="AQ284" s="495">
        <f t="shared" si="342"/>
        <v>0</v>
      </c>
      <c r="AR284" s="501">
        <f>I284+AG284</f>
        <v>7633089</v>
      </c>
      <c r="AS284" s="492">
        <f>J284+V284</f>
        <v>5571688</v>
      </c>
      <c r="AT284" s="492">
        <f t="shared" ref="AT284:AT287" si="362">K284+Z284</f>
        <v>9818</v>
      </c>
      <c r="AU284" s="492">
        <f t="shared" ref="AU284:AV287" si="363">L284+AB284</f>
        <v>1886549</v>
      </c>
      <c r="AV284" s="492">
        <f t="shared" si="363"/>
        <v>111434</v>
      </c>
      <c r="AW284" s="492">
        <f>N284+AF284</f>
        <v>53600</v>
      </c>
      <c r="AX284" s="493">
        <f>O284+AQ284</f>
        <v>12.609200000000001</v>
      </c>
      <c r="AY284" s="493">
        <f t="shared" ref="AY284:AZ287" si="364">P284+AO284</f>
        <v>8.99</v>
      </c>
      <c r="AZ284" s="495">
        <f t="shared" si="364"/>
        <v>3.6192000000000006</v>
      </c>
    </row>
    <row r="285" spans="1:52" ht="14.1" customHeight="1" x14ac:dyDescent="0.2">
      <c r="A285" s="72">
        <v>58</v>
      </c>
      <c r="B285" s="69">
        <v>2318</v>
      </c>
      <c r="C285" s="70">
        <v>600079546</v>
      </c>
      <c r="D285" s="69">
        <v>70695253</v>
      </c>
      <c r="E285" s="71" t="s">
        <v>685</v>
      </c>
      <c r="F285" s="72">
        <v>3111</v>
      </c>
      <c r="G285" s="48" t="s">
        <v>314</v>
      </c>
      <c r="H285" s="73" t="s">
        <v>278</v>
      </c>
      <c r="I285" s="494">
        <v>457087</v>
      </c>
      <c r="J285" s="489">
        <v>336588</v>
      </c>
      <c r="K285" s="489">
        <v>0</v>
      </c>
      <c r="L285" s="489">
        <v>113767</v>
      </c>
      <c r="M285" s="489">
        <v>6732</v>
      </c>
      <c r="N285" s="489">
        <v>0</v>
      </c>
      <c r="O285" s="490">
        <v>1</v>
      </c>
      <c r="P285" s="490">
        <v>1</v>
      </c>
      <c r="Q285" s="500">
        <v>0</v>
      </c>
      <c r="R285" s="502">
        <f t="shared" si="335"/>
        <v>0</v>
      </c>
      <c r="S285" s="492">
        <v>0</v>
      </c>
      <c r="T285" s="492">
        <v>0</v>
      </c>
      <c r="U285" s="492">
        <v>0</v>
      </c>
      <c r="V285" s="492">
        <f>SUM(R285:U285)</f>
        <v>0</v>
      </c>
      <c r="W285" s="492">
        <v>0</v>
      </c>
      <c r="X285" s="492">
        <v>0</v>
      </c>
      <c r="Y285" s="492">
        <v>0</v>
      </c>
      <c r="Z285" s="492">
        <f t="shared" si="338"/>
        <v>0</v>
      </c>
      <c r="AA285" s="492">
        <f t="shared" si="339"/>
        <v>0</v>
      </c>
      <c r="AB285" s="74">
        <f t="shared" si="340"/>
        <v>0</v>
      </c>
      <c r="AC285" s="74">
        <f t="shared" si="341"/>
        <v>0</v>
      </c>
      <c r="AD285" s="492">
        <v>0</v>
      </c>
      <c r="AE285" s="492">
        <v>0</v>
      </c>
      <c r="AF285" s="492">
        <f>SUM(AD285:AE285)</f>
        <v>0</v>
      </c>
      <c r="AG285" s="492">
        <f>AA285+AB285+AC285+AF285</f>
        <v>0</v>
      </c>
      <c r="AH285" s="493">
        <v>0</v>
      </c>
      <c r="AI285" s="493">
        <v>0</v>
      </c>
      <c r="AJ285" s="493">
        <v>0</v>
      </c>
      <c r="AK285" s="493">
        <v>0</v>
      </c>
      <c r="AL285" s="493">
        <v>0</v>
      </c>
      <c r="AM285" s="493">
        <v>0</v>
      </c>
      <c r="AN285" s="493">
        <v>0</v>
      </c>
      <c r="AO285" s="493">
        <f t="shared" si="336"/>
        <v>0</v>
      </c>
      <c r="AP285" s="493">
        <f t="shared" si="337"/>
        <v>0</v>
      </c>
      <c r="AQ285" s="495">
        <f t="shared" si="342"/>
        <v>0</v>
      </c>
      <c r="AR285" s="501">
        <f>I285+AG285</f>
        <v>457087</v>
      </c>
      <c r="AS285" s="492">
        <f>J285+V285</f>
        <v>336588</v>
      </c>
      <c r="AT285" s="492">
        <f t="shared" si="362"/>
        <v>0</v>
      </c>
      <c r="AU285" s="492">
        <f t="shared" si="363"/>
        <v>113767</v>
      </c>
      <c r="AV285" s="492">
        <f t="shared" si="363"/>
        <v>6732</v>
      </c>
      <c r="AW285" s="492">
        <f>N285+AF285</f>
        <v>0</v>
      </c>
      <c r="AX285" s="493">
        <f>O285+AQ285</f>
        <v>1</v>
      </c>
      <c r="AY285" s="493">
        <f t="shared" si="364"/>
        <v>1</v>
      </c>
      <c r="AZ285" s="495">
        <f t="shared" si="364"/>
        <v>0</v>
      </c>
    </row>
    <row r="286" spans="1:52" ht="14.1" customHeight="1" x14ac:dyDescent="0.2">
      <c r="A286" s="72">
        <v>58</v>
      </c>
      <c r="B286" s="69">
        <v>2318</v>
      </c>
      <c r="C286" s="70">
        <v>600079546</v>
      </c>
      <c r="D286" s="69">
        <v>70695253</v>
      </c>
      <c r="E286" s="71" t="s">
        <v>685</v>
      </c>
      <c r="F286" s="72">
        <v>3111</v>
      </c>
      <c r="G286" s="84" t="s">
        <v>313</v>
      </c>
      <c r="H286" s="73" t="s">
        <v>279</v>
      </c>
      <c r="I286" s="494">
        <v>470470</v>
      </c>
      <c r="J286" s="489">
        <v>346443</v>
      </c>
      <c r="K286" s="489">
        <v>0</v>
      </c>
      <c r="L286" s="489">
        <v>117098</v>
      </c>
      <c r="M286" s="489">
        <v>6929</v>
      </c>
      <c r="N286" s="489">
        <v>0</v>
      </c>
      <c r="O286" s="490">
        <v>1</v>
      </c>
      <c r="P286" s="491">
        <v>1</v>
      </c>
      <c r="Q286" s="500">
        <v>0</v>
      </c>
      <c r="R286" s="502">
        <f t="shared" si="335"/>
        <v>0</v>
      </c>
      <c r="S286" s="489">
        <v>0</v>
      </c>
      <c r="T286" s="492">
        <v>0</v>
      </c>
      <c r="U286" s="492">
        <v>0</v>
      </c>
      <c r="V286" s="492">
        <f>SUM(R286:U286)</f>
        <v>0</v>
      </c>
      <c r="W286" s="492">
        <v>0</v>
      </c>
      <c r="X286" s="492">
        <v>0</v>
      </c>
      <c r="Y286" s="492">
        <v>0</v>
      </c>
      <c r="Z286" s="492">
        <f t="shared" si="338"/>
        <v>0</v>
      </c>
      <c r="AA286" s="492">
        <f t="shared" si="339"/>
        <v>0</v>
      </c>
      <c r="AB286" s="74">
        <f t="shared" si="340"/>
        <v>0</v>
      </c>
      <c r="AC286" s="74">
        <f t="shared" si="341"/>
        <v>0</v>
      </c>
      <c r="AD286" s="492">
        <v>0</v>
      </c>
      <c r="AE286" s="492">
        <v>0</v>
      </c>
      <c r="AF286" s="492">
        <f>SUM(AD286:AE286)</f>
        <v>0</v>
      </c>
      <c r="AG286" s="492">
        <f>AA286+AB286+AC286+AF286</f>
        <v>0</v>
      </c>
      <c r="AH286" s="493">
        <v>0</v>
      </c>
      <c r="AI286" s="493">
        <v>0</v>
      </c>
      <c r="AJ286" s="493">
        <v>0</v>
      </c>
      <c r="AK286" s="493">
        <v>0</v>
      </c>
      <c r="AL286" s="493">
        <v>0</v>
      </c>
      <c r="AM286" s="493">
        <v>0</v>
      </c>
      <c r="AN286" s="493">
        <v>0</v>
      </c>
      <c r="AO286" s="493">
        <f t="shared" si="336"/>
        <v>0</v>
      </c>
      <c r="AP286" s="493">
        <f t="shared" si="337"/>
        <v>0</v>
      </c>
      <c r="AQ286" s="495">
        <f t="shared" si="342"/>
        <v>0</v>
      </c>
      <c r="AR286" s="501">
        <f>I286+AG286</f>
        <v>470470</v>
      </c>
      <c r="AS286" s="492">
        <f>J286+V286</f>
        <v>346443</v>
      </c>
      <c r="AT286" s="492">
        <f t="shared" si="362"/>
        <v>0</v>
      </c>
      <c r="AU286" s="492">
        <f t="shared" si="363"/>
        <v>117098</v>
      </c>
      <c r="AV286" s="492">
        <f t="shared" si="363"/>
        <v>6929</v>
      </c>
      <c r="AW286" s="492">
        <f>N286+AF286</f>
        <v>0</v>
      </c>
      <c r="AX286" s="493">
        <f>O286+AQ286</f>
        <v>1</v>
      </c>
      <c r="AY286" s="493">
        <f t="shared" si="364"/>
        <v>1</v>
      </c>
      <c r="AZ286" s="495">
        <f t="shared" si="364"/>
        <v>0</v>
      </c>
    </row>
    <row r="287" spans="1:52" ht="14.1" customHeight="1" x14ac:dyDescent="0.2">
      <c r="A287" s="72">
        <v>58</v>
      </c>
      <c r="B287" s="69">
        <v>2318</v>
      </c>
      <c r="C287" s="70">
        <v>600079546</v>
      </c>
      <c r="D287" s="69">
        <v>70695253</v>
      </c>
      <c r="E287" s="71" t="s">
        <v>685</v>
      </c>
      <c r="F287" s="72">
        <v>3141</v>
      </c>
      <c r="G287" s="71" t="s">
        <v>316</v>
      </c>
      <c r="H287" s="73" t="s">
        <v>279</v>
      </c>
      <c r="I287" s="494">
        <v>1121851</v>
      </c>
      <c r="J287" s="489">
        <v>820958</v>
      </c>
      <c r="K287" s="489">
        <v>803</v>
      </c>
      <c r="L287" s="489">
        <v>277755</v>
      </c>
      <c r="M287" s="489">
        <v>16419</v>
      </c>
      <c r="N287" s="489">
        <v>5916</v>
      </c>
      <c r="O287" s="490">
        <v>2.59</v>
      </c>
      <c r="P287" s="491">
        <v>0</v>
      </c>
      <c r="Q287" s="500">
        <v>2.59</v>
      </c>
      <c r="R287" s="502">
        <f t="shared" si="335"/>
        <v>0</v>
      </c>
      <c r="S287" s="492">
        <v>0</v>
      </c>
      <c r="T287" s="492">
        <v>0</v>
      </c>
      <c r="U287" s="492">
        <v>0</v>
      </c>
      <c r="V287" s="492">
        <f>SUM(R287:U287)</f>
        <v>0</v>
      </c>
      <c r="W287" s="492">
        <v>0</v>
      </c>
      <c r="X287" s="492">
        <v>0</v>
      </c>
      <c r="Y287" s="492">
        <v>0</v>
      </c>
      <c r="Z287" s="492">
        <f t="shared" si="338"/>
        <v>0</v>
      </c>
      <c r="AA287" s="492">
        <f t="shared" si="339"/>
        <v>0</v>
      </c>
      <c r="AB287" s="74">
        <f t="shared" si="340"/>
        <v>0</v>
      </c>
      <c r="AC287" s="74">
        <f t="shared" si="341"/>
        <v>0</v>
      </c>
      <c r="AD287" s="492">
        <v>0</v>
      </c>
      <c r="AE287" s="492">
        <v>0</v>
      </c>
      <c r="AF287" s="492">
        <f>SUM(AD287:AE287)</f>
        <v>0</v>
      </c>
      <c r="AG287" s="492">
        <f>AA287+AB287+AC287+AF287</f>
        <v>0</v>
      </c>
      <c r="AH287" s="493">
        <v>0</v>
      </c>
      <c r="AI287" s="493">
        <v>0</v>
      </c>
      <c r="AJ287" s="493">
        <v>0</v>
      </c>
      <c r="AK287" s="493">
        <v>0</v>
      </c>
      <c r="AL287" s="493">
        <v>0</v>
      </c>
      <c r="AM287" s="493">
        <v>0</v>
      </c>
      <c r="AN287" s="493">
        <v>0</v>
      </c>
      <c r="AO287" s="493">
        <f t="shared" si="336"/>
        <v>0</v>
      </c>
      <c r="AP287" s="493">
        <f t="shared" si="337"/>
        <v>0</v>
      </c>
      <c r="AQ287" s="495">
        <f t="shared" si="342"/>
        <v>0</v>
      </c>
      <c r="AR287" s="501">
        <f>I287+AG287</f>
        <v>1121851</v>
      </c>
      <c r="AS287" s="492">
        <f>J287+V287</f>
        <v>820958</v>
      </c>
      <c r="AT287" s="492">
        <f t="shared" si="362"/>
        <v>803</v>
      </c>
      <c r="AU287" s="492">
        <f t="shared" si="363"/>
        <v>277755</v>
      </c>
      <c r="AV287" s="492">
        <f t="shared" si="363"/>
        <v>16419</v>
      </c>
      <c r="AW287" s="492">
        <f>N287+AF287</f>
        <v>5916</v>
      </c>
      <c r="AX287" s="493">
        <f>O287+AQ287</f>
        <v>2.59</v>
      </c>
      <c r="AY287" s="493">
        <f t="shared" si="364"/>
        <v>0</v>
      </c>
      <c r="AZ287" s="495">
        <f t="shared" si="364"/>
        <v>2.59</v>
      </c>
    </row>
    <row r="288" spans="1:52" ht="14.1" customHeight="1" x14ac:dyDescent="0.2">
      <c r="A288" s="78">
        <v>58</v>
      </c>
      <c r="B288" s="75">
        <v>2318</v>
      </c>
      <c r="C288" s="76">
        <v>600079546</v>
      </c>
      <c r="D288" s="75">
        <v>70695253</v>
      </c>
      <c r="E288" s="77" t="s">
        <v>686</v>
      </c>
      <c r="F288" s="78"/>
      <c r="G288" s="77"/>
      <c r="H288" s="79"/>
      <c r="I288" s="80">
        <v>9682497</v>
      </c>
      <c r="J288" s="81">
        <v>7075677</v>
      </c>
      <c r="K288" s="81">
        <v>10621</v>
      </c>
      <c r="L288" s="81">
        <v>2395169</v>
      </c>
      <c r="M288" s="81">
        <v>141514</v>
      </c>
      <c r="N288" s="81">
        <v>59516</v>
      </c>
      <c r="O288" s="82">
        <v>17.199200000000001</v>
      </c>
      <c r="P288" s="82">
        <v>10.99</v>
      </c>
      <c r="Q288" s="452">
        <v>6.2092000000000009</v>
      </c>
      <c r="R288" s="80">
        <f t="shared" ref="R288:AZ288" si="365">SUM(R284:R287)</f>
        <v>0</v>
      </c>
      <c r="S288" s="81">
        <f t="shared" si="365"/>
        <v>0</v>
      </c>
      <c r="T288" s="81">
        <f t="shared" si="365"/>
        <v>0</v>
      </c>
      <c r="U288" s="81">
        <f t="shared" si="365"/>
        <v>0</v>
      </c>
      <c r="V288" s="81">
        <f t="shared" si="365"/>
        <v>0</v>
      </c>
      <c r="W288" s="81">
        <f t="shared" si="365"/>
        <v>0</v>
      </c>
      <c r="X288" s="81">
        <f t="shared" si="365"/>
        <v>0</v>
      </c>
      <c r="Y288" s="81">
        <f t="shared" si="365"/>
        <v>0</v>
      </c>
      <c r="Z288" s="81">
        <f t="shared" si="365"/>
        <v>0</v>
      </c>
      <c r="AA288" s="81">
        <f t="shared" si="365"/>
        <v>0</v>
      </c>
      <c r="AB288" s="81">
        <f t="shared" si="365"/>
        <v>0</v>
      </c>
      <c r="AC288" s="81">
        <f t="shared" si="365"/>
        <v>0</v>
      </c>
      <c r="AD288" s="81">
        <f t="shared" si="365"/>
        <v>0</v>
      </c>
      <c r="AE288" s="81">
        <f t="shared" si="365"/>
        <v>0</v>
      </c>
      <c r="AF288" s="81">
        <f t="shared" si="365"/>
        <v>0</v>
      </c>
      <c r="AG288" s="81">
        <f t="shared" si="365"/>
        <v>0</v>
      </c>
      <c r="AH288" s="82">
        <f t="shared" si="365"/>
        <v>0</v>
      </c>
      <c r="AI288" s="82">
        <f t="shared" si="365"/>
        <v>0</v>
      </c>
      <c r="AJ288" s="82">
        <f t="shared" si="365"/>
        <v>0</v>
      </c>
      <c r="AK288" s="82">
        <f t="shared" ref="AK288:AL288" si="366">SUM(AK284:AK287)</f>
        <v>0</v>
      </c>
      <c r="AL288" s="82">
        <f t="shared" si="366"/>
        <v>0</v>
      </c>
      <c r="AM288" s="82">
        <f t="shared" si="365"/>
        <v>0</v>
      </c>
      <c r="AN288" s="82">
        <f t="shared" si="365"/>
        <v>0</v>
      </c>
      <c r="AO288" s="82">
        <f t="shared" si="365"/>
        <v>0</v>
      </c>
      <c r="AP288" s="82">
        <f t="shared" si="365"/>
        <v>0</v>
      </c>
      <c r="AQ288" s="83">
        <f t="shared" si="365"/>
        <v>0</v>
      </c>
      <c r="AR288" s="438">
        <f t="shared" si="365"/>
        <v>9682497</v>
      </c>
      <c r="AS288" s="81">
        <f t="shared" si="365"/>
        <v>7075677</v>
      </c>
      <c r="AT288" s="81">
        <f t="shared" si="365"/>
        <v>10621</v>
      </c>
      <c r="AU288" s="81">
        <f t="shared" si="365"/>
        <v>2395169</v>
      </c>
      <c r="AV288" s="81">
        <f t="shared" si="365"/>
        <v>141514</v>
      </c>
      <c r="AW288" s="81">
        <f t="shared" si="365"/>
        <v>59516</v>
      </c>
      <c r="AX288" s="82">
        <f t="shared" si="365"/>
        <v>17.199200000000001</v>
      </c>
      <c r="AY288" s="82">
        <f t="shared" si="365"/>
        <v>10.99</v>
      </c>
      <c r="AZ288" s="83">
        <f t="shared" si="365"/>
        <v>6.2092000000000009</v>
      </c>
    </row>
    <row r="289" spans="1:52" ht="14.1" customHeight="1" x14ac:dyDescent="0.2">
      <c r="A289" s="72">
        <v>59</v>
      </c>
      <c r="B289" s="69">
        <v>2452</v>
      </c>
      <c r="C289" s="70">
        <v>600079660</v>
      </c>
      <c r="D289" s="69">
        <v>70695261</v>
      </c>
      <c r="E289" s="71" t="s">
        <v>687</v>
      </c>
      <c r="F289" s="72">
        <v>3113</v>
      </c>
      <c r="G289" s="71" t="s">
        <v>315</v>
      </c>
      <c r="H289" s="73" t="s">
        <v>278</v>
      </c>
      <c r="I289" s="494">
        <v>33258219</v>
      </c>
      <c r="J289" s="489">
        <v>23956698</v>
      </c>
      <c r="K289" s="489">
        <v>39000</v>
      </c>
      <c r="L289" s="489">
        <v>8110546</v>
      </c>
      <c r="M289" s="489">
        <v>479135</v>
      </c>
      <c r="N289" s="489">
        <v>672840</v>
      </c>
      <c r="O289" s="490">
        <v>42.354799999999997</v>
      </c>
      <c r="P289" s="490">
        <v>33.430900000000001</v>
      </c>
      <c r="Q289" s="500">
        <v>8.9238999999999997</v>
      </c>
      <c r="R289" s="502">
        <f t="shared" si="335"/>
        <v>0</v>
      </c>
      <c r="S289" s="492">
        <v>0</v>
      </c>
      <c r="T289" s="492">
        <v>0</v>
      </c>
      <c r="U289" s="492">
        <v>0</v>
      </c>
      <c r="V289" s="492">
        <f t="shared" ref="V289:V295" si="367">SUM(R289:U289)</f>
        <v>0</v>
      </c>
      <c r="W289" s="492">
        <v>0</v>
      </c>
      <c r="X289" s="492">
        <v>0</v>
      </c>
      <c r="Y289" s="492">
        <v>0</v>
      </c>
      <c r="Z289" s="492">
        <f t="shared" si="338"/>
        <v>0</v>
      </c>
      <c r="AA289" s="492">
        <f t="shared" si="339"/>
        <v>0</v>
      </c>
      <c r="AB289" s="74">
        <f t="shared" si="340"/>
        <v>0</v>
      </c>
      <c r="AC289" s="74">
        <f t="shared" si="341"/>
        <v>0</v>
      </c>
      <c r="AD289" s="492">
        <v>0</v>
      </c>
      <c r="AE289" s="492">
        <v>0</v>
      </c>
      <c r="AF289" s="492">
        <f t="shared" ref="AF289:AF295" si="368">SUM(AD289:AE289)</f>
        <v>0</v>
      </c>
      <c r="AG289" s="492">
        <f t="shared" ref="AG289:AG295" si="369">AA289+AB289+AC289+AF289</f>
        <v>0</v>
      </c>
      <c r="AH289" s="493">
        <v>0</v>
      </c>
      <c r="AI289" s="493">
        <v>0</v>
      </c>
      <c r="AJ289" s="493">
        <v>0</v>
      </c>
      <c r="AK289" s="493">
        <v>0</v>
      </c>
      <c r="AL289" s="493">
        <v>0</v>
      </c>
      <c r="AM289" s="493">
        <v>0</v>
      </c>
      <c r="AN289" s="493">
        <v>0</v>
      </c>
      <c r="AO289" s="493">
        <f t="shared" si="336"/>
        <v>0</v>
      </c>
      <c r="AP289" s="493">
        <f t="shared" si="337"/>
        <v>0</v>
      </c>
      <c r="AQ289" s="495">
        <f t="shared" si="342"/>
        <v>0</v>
      </c>
      <c r="AR289" s="501">
        <f t="shared" ref="AR289:AR295" si="370">I289+AG289</f>
        <v>33258219</v>
      </c>
      <c r="AS289" s="492">
        <f t="shared" ref="AS289:AS295" si="371">J289+V289</f>
        <v>23956698</v>
      </c>
      <c r="AT289" s="492">
        <f t="shared" ref="AT289:AT295" si="372">K289+Z289</f>
        <v>39000</v>
      </c>
      <c r="AU289" s="492">
        <f t="shared" ref="AU289:AV295" si="373">L289+AB289</f>
        <v>8110546</v>
      </c>
      <c r="AV289" s="492">
        <f t="shared" si="373"/>
        <v>479135</v>
      </c>
      <c r="AW289" s="492">
        <f t="shared" ref="AW289:AW295" si="374">N289+AF289</f>
        <v>672840</v>
      </c>
      <c r="AX289" s="493">
        <f t="shared" ref="AX289:AX295" si="375">O289+AQ289</f>
        <v>42.354799999999997</v>
      </c>
      <c r="AY289" s="493">
        <f t="shared" ref="AY289:AZ295" si="376">P289+AO289</f>
        <v>33.430900000000001</v>
      </c>
      <c r="AZ289" s="495">
        <f t="shared" si="376"/>
        <v>8.9238999999999997</v>
      </c>
    </row>
    <row r="290" spans="1:52" ht="14.1" customHeight="1" x14ac:dyDescent="0.2">
      <c r="A290" s="72">
        <v>59</v>
      </c>
      <c r="B290" s="69">
        <v>2452</v>
      </c>
      <c r="C290" s="70">
        <v>600079660</v>
      </c>
      <c r="D290" s="69">
        <v>70695261</v>
      </c>
      <c r="E290" s="71" t="s">
        <v>687</v>
      </c>
      <c r="F290" s="72">
        <v>3113</v>
      </c>
      <c r="G290" s="48" t="s">
        <v>314</v>
      </c>
      <c r="H290" s="73" t="s">
        <v>278</v>
      </c>
      <c r="I290" s="494">
        <v>1314568</v>
      </c>
      <c r="J290" s="489">
        <v>968018</v>
      </c>
      <c r="K290" s="489">
        <v>0</v>
      </c>
      <c r="L290" s="489">
        <v>327190</v>
      </c>
      <c r="M290" s="489">
        <v>19360</v>
      </c>
      <c r="N290" s="489">
        <v>0</v>
      </c>
      <c r="O290" s="490">
        <v>2.6389</v>
      </c>
      <c r="P290" s="490">
        <v>2.6389</v>
      </c>
      <c r="Q290" s="500">
        <v>0</v>
      </c>
      <c r="R290" s="502">
        <f t="shared" si="335"/>
        <v>0</v>
      </c>
      <c r="S290" s="492">
        <v>0</v>
      </c>
      <c r="T290" s="492">
        <v>0</v>
      </c>
      <c r="U290" s="492">
        <v>0</v>
      </c>
      <c r="V290" s="492">
        <f t="shared" si="367"/>
        <v>0</v>
      </c>
      <c r="W290" s="492">
        <v>0</v>
      </c>
      <c r="X290" s="492">
        <v>0</v>
      </c>
      <c r="Y290" s="492">
        <v>0</v>
      </c>
      <c r="Z290" s="492">
        <f t="shared" si="338"/>
        <v>0</v>
      </c>
      <c r="AA290" s="492">
        <f t="shared" si="339"/>
        <v>0</v>
      </c>
      <c r="AB290" s="74">
        <f t="shared" si="340"/>
        <v>0</v>
      </c>
      <c r="AC290" s="74">
        <f t="shared" si="341"/>
        <v>0</v>
      </c>
      <c r="AD290" s="492">
        <v>0</v>
      </c>
      <c r="AE290" s="492">
        <v>0</v>
      </c>
      <c r="AF290" s="492">
        <f t="shared" si="368"/>
        <v>0</v>
      </c>
      <c r="AG290" s="492">
        <f t="shared" si="369"/>
        <v>0</v>
      </c>
      <c r="AH290" s="493">
        <v>0</v>
      </c>
      <c r="AI290" s="493">
        <v>0</v>
      </c>
      <c r="AJ290" s="493">
        <v>0</v>
      </c>
      <c r="AK290" s="493">
        <v>0</v>
      </c>
      <c r="AL290" s="493">
        <v>0</v>
      </c>
      <c r="AM290" s="493">
        <v>0</v>
      </c>
      <c r="AN290" s="493">
        <v>0</v>
      </c>
      <c r="AO290" s="493">
        <f t="shared" si="336"/>
        <v>0</v>
      </c>
      <c r="AP290" s="493">
        <f t="shared" si="337"/>
        <v>0</v>
      </c>
      <c r="AQ290" s="495">
        <f t="shared" si="342"/>
        <v>0</v>
      </c>
      <c r="AR290" s="501">
        <f t="shared" si="370"/>
        <v>1314568</v>
      </c>
      <c r="AS290" s="492">
        <f t="shared" si="371"/>
        <v>968018</v>
      </c>
      <c r="AT290" s="492">
        <f t="shared" si="372"/>
        <v>0</v>
      </c>
      <c r="AU290" s="492">
        <f t="shared" si="373"/>
        <v>327190</v>
      </c>
      <c r="AV290" s="492">
        <f t="shared" si="373"/>
        <v>19360</v>
      </c>
      <c r="AW290" s="492">
        <f t="shared" si="374"/>
        <v>0</v>
      </c>
      <c r="AX290" s="493">
        <f t="shared" si="375"/>
        <v>2.6389</v>
      </c>
      <c r="AY290" s="493">
        <f t="shared" si="376"/>
        <v>2.6389</v>
      </c>
      <c r="AZ290" s="495">
        <f t="shared" si="376"/>
        <v>0</v>
      </c>
    </row>
    <row r="291" spans="1:52" ht="14.1" customHeight="1" x14ac:dyDescent="0.2">
      <c r="A291" s="72">
        <v>59</v>
      </c>
      <c r="B291" s="69">
        <v>2452</v>
      </c>
      <c r="C291" s="70">
        <v>600079660</v>
      </c>
      <c r="D291" s="69">
        <v>70695261</v>
      </c>
      <c r="E291" s="71" t="s">
        <v>687</v>
      </c>
      <c r="F291" s="72">
        <v>3113</v>
      </c>
      <c r="G291" s="84" t="s">
        <v>313</v>
      </c>
      <c r="H291" s="73" t="s">
        <v>279</v>
      </c>
      <c r="I291" s="494">
        <v>4472549</v>
      </c>
      <c r="J291" s="489">
        <v>3293482</v>
      </c>
      <c r="K291" s="489">
        <v>0</v>
      </c>
      <c r="L291" s="489">
        <v>1113197</v>
      </c>
      <c r="M291" s="489">
        <v>65870</v>
      </c>
      <c r="N291" s="489">
        <v>0</v>
      </c>
      <c r="O291" s="490">
        <v>9.3800000000000008</v>
      </c>
      <c r="P291" s="491">
        <v>9.3800000000000008</v>
      </c>
      <c r="Q291" s="500">
        <v>0</v>
      </c>
      <c r="R291" s="502">
        <f t="shared" si="335"/>
        <v>0</v>
      </c>
      <c r="S291" s="489">
        <v>0</v>
      </c>
      <c r="T291" s="492">
        <v>0</v>
      </c>
      <c r="U291" s="492">
        <v>0</v>
      </c>
      <c r="V291" s="492">
        <f t="shared" si="367"/>
        <v>0</v>
      </c>
      <c r="W291" s="492">
        <v>0</v>
      </c>
      <c r="X291" s="492">
        <v>0</v>
      </c>
      <c r="Y291" s="492">
        <v>0</v>
      </c>
      <c r="Z291" s="492">
        <f t="shared" si="338"/>
        <v>0</v>
      </c>
      <c r="AA291" s="492">
        <f t="shared" si="339"/>
        <v>0</v>
      </c>
      <c r="AB291" s="74">
        <f t="shared" si="340"/>
        <v>0</v>
      </c>
      <c r="AC291" s="74">
        <f t="shared" si="341"/>
        <v>0</v>
      </c>
      <c r="AD291" s="492">
        <v>0</v>
      </c>
      <c r="AE291" s="492">
        <v>0</v>
      </c>
      <c r="AF291" s="492">
        <f t="shared" si="368"/>
        <v>0</v>
      </c>
      <c r="AG291" s="492">
        <f t="shared" si="369"/>
        <v>0</v>
      </c>
      <c r="AH291" s="493">
        <v>0</v>
      </c>
      <c r="AI291" s="493">
        <v>0</v>
      </c>
      <c r="AJ291" s="493">
        <v>0</v>
      </c>
      <c r="AK291" s="493">
        <v>0</v>
      </c>
      <c r="AL291" s="493">
        <v>0</v>
      </c>
      <c r="AM291" s="493">
        <v>0</v>
      </c>
      <c r="AN291" s="493">
        <v>0</v>
      </c>
      <c r="AO291" s="493">
        <f t="shared" si="336"/>
        <v>0</v>
      </c>
      <c r="AP291" s="493">
        <f t="shared" si="337"/>
        <v>0</v>
      </c>
      <c r="AQ291" s="495">
        <f t="shared" si="342"/>
        <v>0</v>
      </c>
      <c r="AR291" s="501">
        <f t="shared" si="370"/>
        <v>4472549</v>
      </c>
      <c r="AS291" s="492">
        <f t="shared" si="371"/>
        <v>3293482</v>
      </c>
      <c r="AT291" s="492">
        <f t="shared" si="372"/>
        <v>0</v>
      </c>
      <c r="AU291" s="492">
        <f t="shared" si="373"/>
        <v>1113197</v>
      </c>
      <c r="AV291" s="492">
        <f t="shared" si="373"/>
        <v>65870</v>
      </c>
      <c r="AW291" s="492">
        <f t="shared" si="374"/>
        <v>0</v>
      </c>
      <c r="AX291" s="493">
        <f t="shared" si="375"/>
        <v>9.3800000000000008</v>
      </c>
      <c r="AY291" s="493">
        <f t="shared" si="376"/>
        <v>9.3800000000000008</v>
      </c>
      <c r="AZ291" s="495">
        <f t="shared" si="376"/>
        <v>0</v>
      </c>
    </row>
    <row r="292" spans="1:52" ht="14.1" customHeight="1" x14ac:dyDescent="0.2">
      <c r="A292" s="72">
        <v>59</v>
      </c>
      <c r="B292" s="69">
        <v>2452</v>
      </c>
      <c r="C292" s="70">
        <v>600079660</v>
      </c>
      <c r="D292" s="69">
        <v>70695261</v>
      </c>
      <c r="E292" s="71" t="s">
        <v>687</v>
      </c>
      <c r="F292" s="72">
        <v>3141</v>
      </c>
      <c r="G292" s="71" t="s">
        <v>316</v>
      </c>
      <c r="H292" s="73" t="s">
        <v>279</v>
      </c>
      <c r="I292" s="494">
        <v>2494442</v>
      </c>
      <c r="J292" s="489">
        <v>1820876</v>
      </c>
      <c r="K292" s="489">
        <v>0</v>
      </c>
      <c r="L292" s="489">
        <v>615456</v>
      </c>
      <c r="M292" s="489">
        <v>36418</v>
      </c>
      <c r="N292" s="489">
        <v>21692</v>
      </c>
      <c r="O292" s="490">
        <v>5.73</v>
      </c>
      <c r="P292" s="491">
        <v>0</v>
      </c>
      <c r="Q292" s="500">
        <v>5.73</v>
      </c>
      <c r="R292" s="502">
        <f t="shared" si="335"/>
        <v>0</v>
      </c>
      <c r="S292" s="492">
        <v>0</v>
      </c>
      <c r="T292" s="492">
        <v>0</v>
      </c>
      <c r="U292" s="492">
        <v>0</v>
      </c>
      <c r="V292" s="492">
        <f t="shared" si="367"/>
        <v>0</v>
      </c>
      <c r="W292" s="492">
        <v>0</v>
      </c>
      <c r="X292" s="492">
        <v>0</v>
      </c>
      <c r="Y292" s="492">
        <v>0</v>
      </c>
      <c r="Z292" s="492">
        <f t="shared" si="338"/>
        <v>0</v>
      </c>
      <c r="AA292" s="492">
        <f t="shared" si="339"/>
        <v>0</v>
      </c>
      <c r="AB292" s="74">
        <f t="shared" si="340"/>
        <v>0</v>
      </c>
      <c r="AC292" s="74">
        <f t="shared" si="341"/>
        <v>0</v>
      </c>
      <c r="AD292" s="492">
        <v>0</v>
      </c>
      <c r="AE292" s="492">
        <v>0</v>
      </c>
      <c r="AF292" s="492">
        <f t="shared" si="368"/>
        <v>0</v>
      </c>
      <c r="AG292" s="492">
        <f t="shared" si="369"/>
        <v>0</v>
      </c>
      <c r="AH292" s="493">
        <v>0</v>
      </c>
      <c r="AI292" s="493">
        <v>0</v>
      </c>
      <c r="AJ292" s="493">
        <v>0</v>
      </c>
      <c r="AK292" s="493">
        <v>0</v>
      </c>
      <c r="AL292" s="493">
        <v>0</v>
      </c>
      <c r="AM292" s="493">
        <v>0</v>
      </c>
      <c r="AN292" s="493">
        <v>0</v>
      </c>
      <c r="AO292" s="493">
        <f t="shared" si="336"/>
        <v>0</v>
      </c>
      <c r="AP292" s="493">
        <f t="shared" si="337"/>
        <v>0</v>
      </c>
      <c r="AQ292" s="495">
        <f t="shared" si="342"/>
        <v>0</v>
      </c>
      <c r="AR292" s="501">
        <f t="shared" si="370"/>
        <v>2494442</v>
      </c>
      <c r="AS292" s="492">
        <f t="shared" si="371"/>
        <v>1820876</v>
      </c>
      <c r="AT292" s="492">
        <f t="shared" si="372"/>
        <v>0</v>
      </c>
      <c r="AU292" s="492">
        <f t="shared" si="373"/>
        <v>615456</v>
      </c>
      <c r="AV292" s="492">
        <f t="shared" si="373"/>
        <v>36418</v>
      </c>
      <c r="AW292" s="492">
        <f t="shared" si="374"/>
        <v>21692</v>
      </c>
      <c r="AX292" s="493">
        <f t="shared" si="375"/>
        <v>5.73</v>
      </c>
      <c r="AY292" s="493">
        <f t="shared" si="376"/>
        <v>0</v>
      </c>
      <c r="AZ292" s="495">
        <f t="shared" si="376"/>
        <v>5.73</v>
      </c>
    </row>
    <row r="293" spans="1:52" ht="14.1" customHeight="1" x14ac:dyDescent="0.2">
      <c r="A293" s="72">
        <v>59</v>
      </c>
      <c r="B293" s="69">
        <v>2452</v>
      </c>
      <c r="C293" s="70">
        <v>600079660</v>
      </c>
      <c r="D293" s="69">
        <v>70695261</v>
      </c>
      <c r="E293" s="71" t="s">
        <v>687</v>
      </c>
      <c r="F293" s="72">
        <v>3143</v>
      </c>
      <c r="G293" s="84" t="s">
        <v>629</v>
      </c>
      <c r="H293" s="73" t="s">
        <v>278</v>
      </c>
      <c r="I293" s="494">
        <v>2809995</v>
      </c>
      <c r="J293" s="489">
        <v>2069216</v>
      </c>
      <c r="K293" s="489">
        <v>0</v>
      </c>
      <c r="L293" s="489">
        <v>699395</v>
      </c>
      <c r="M293" s="489">
        <v>41384</v>
      </c>
      <c r="N293" s="489">
        <v>0</v>
      </c>
      <c r="O293" s="490">
        <v>4.6428000000000003</v>
      </c>
      <c r="P293" s="490">
        <v>4.6428000000000003</v>
      </c>
      <c r="Q293" s="500">
        <v>0</v>
      </c>
      <c r="R293" s="502">
        <f t="shared" si="335"/>
        <v>0</v>
      </c>
      <c r="S293" s="492">
        <v>0</v>
      </c>
      <c r="T293" s="492">
        <v>0</v>
      </c>
      <c r="U293" s="492">
        <v>0</v>
      </c>
      <c r="V293" s="492">
        <f t="shared" si="367"/>
        <v>0</v>
      </c>
      <c r="W293" s="492">
        <v>0</v>
      </c>
      <c r="X293" s="492">
        <v>0</v>
      </c>
      <c r="Y293" s="492">
        <v>0</v>
      </c>
      <c r="Z293" s="492">
        <f t="shared" si="338"/>
        <v>0</v>
      </c>
      <c r="AA293" s="492">
        <f t="shared" si="339"/>
        <v>0</v>
      </c>
      <c r="AB293" s="74">
        <f t="shared" si="340"/>
        <v>0</v>
      </c>
      <c r="AC293" s="74">
        <f t="shared" si="341"/>
        <v>0</v>
      </c>
      <c r="AD293" s="492">
        <v>0</v>
      </c>
      <c r="AE293" s="492">
        <v>0</v>
      </c>
      <c r="AF293" s="492">
        <f t="shared" si="368"/>
        <v>0</v>
      </c>
      <c r="AG293" s="492">
        <f t="shared" si="369"/>
        <v>0</v>
      </c>
      <c r="AH293" s="493">
        <v>0</v>
      </c>
      <c r="AI293" s="493">
        <v>0</v>
      </c>
      <c r="AJ293" s="493">
        <v>0</v>
      </c>
      <c r="AK293" s="493">
        <v>0</v>
      </c>
      <c r="AL293" s="493">
        <v>0</v>
      </c>
      <c r="AM293" s="493">
        <v>0</v>
      </c>
      <c r="AN293" s="493">
        <v>0</v>
      </c>
      <c r="AO293" s="493">
        <f t="shared" si="336"/>
        <v>0</v>
      </c>
      <c r="AP293" s="493">
        <f t="shared" si="337"/>
        <v>0</v>
      </c>
      <c r="AQ293" s="495">
        <f t="shared" si="342"/>
        <v>0</v>
      </c>
      <c r="AR293" s="501">
        <f t="shared" si="370"/>
        <v>2809995</v>
      </c>
      <c r="AS293" s="492">
        <f t="shared" si="371"/>
        <v>2069216</v>
      </c>
      <c r="AT293" s="492">
        <f t="shared" si="372"/>
        <v>0</v>
      </c>
      <c r="AU293" s="492">
        <f t="shared" si="373"/>
        <v>699395</v>
      </c>
      <c r="AV293" s="492">
        <f t="shared" si="373"/>
        <v>41384</v>
      </c>
      <c r="AW293" s="492">
        <f t="shared" si="374"/>
        <v>0</v>
      </c>
      <c r="AX293" s="493">
        <f t="shared" si="375"/>
        <v>4.6428000000000003</v>
      </c>
      <c r="AY293" s="493">
        <f t="shared" si="376"/>
        <v>4.6428000000000003</v>
      </c>
      <c r="AZ293" s="495">
        <f t="shared" si="376"/>
        <v>0</v>
      </c>
    </row>
    <row r="294" spans="1:52" ht="14.1" customHeight="1" x14ac:dyDescent="0.2">
      <c r="A294" s="72">
        <v>59</v>
      </c>
      <c r="B294" s="69">
        <v>2452</v>
      </c>
      <c r="C294" s="70">
        <v>600079660</v>
      </c>
      <c r="D294" s="69">
        <v>70695261</v>
      </c>
      <c r="E294" s="71" t="s">
        <v>687</v>
      </c>
      <c r="F294" s="72">
        <v>3143</v>
      </c>
      <c r="G294" s="84" t="s">
        <v>318</v>
      </c>
      <c r="H294" s="73" t="s">
        <v>279</v>
      </c>
      <c r="I294" s="494">
        <v>548521</v>
      </c>
      <c r="J294" s="489">
        <v>402887</v>
      </c>
      <c r="K294" s="489">
        <v>0</v>
      </c>
      <c r="L294" s="489">
        <v>136176</v>
      </c>
      <c r="M294" s="489">
        <v>8058</v>
      </c>
      <c r="N294" s="489">
        <v>1400</v>
      </c>
      <c r="O294" s="490">
        <v>0.9</v>
      </c>
      <c r="P294" s="490">
        <v>0.75</v>
      </c>
      <c r="Q294" s="500">
        <v>0.15</v>
      </c>
      <c r="R294" s="502">
        <f t="shared" si="335"/>
        <v>0</v>
      </c>
      <c r="S294" s="492">
        <v>0</v>
      </c>
      <c r="T294" s="492">
        <v>0</v>
      </c>
      <c r="U294" s="492">
        <v>0</v>
      </c>
      <c r="V294" s="492">
        <f t="shared" si="367"/>
        <v>0</v>
      </c>
      <c r="W294" s="492">
        <v>0</v>
      </c>
      <c r="X294" s="492">
        <v>0</v>
      </c>
      <c r="Y294" s="492">
        <v>0</v>
      </c>
      <c r="Z294" s="492">
        <f t="shared" si="338"/>
        <v>0</v>
      </c>
      <c r="AA294" s="492">
        <f t="shared" si="339"/>
        <v>0</v>
      </c>
      <c r="AB294" s="74">
        <f t="shared" si="340"/>
        <v>0</v>
      </c>
      <c r="AC294" s="74">
        <f t="shared" si="341"/>
        <v>0</v>
      </c>
      <c r="AD294" s="492">
        <v>0</v>
      </c>
      <c r="AE294" s="492">
        <v>0</v>
      </c>
      <c r="AF294" s="492">
        <f t="shared" si="368"/>
        <v>0</v>
      </c>
      <c r="AG294" s="492">
        <f t="shared" si="369"/>
        <v>0</v>
      </c>
      <c r="AH294" s="493">
        <v>0</v>
      </c>
      <c r="AI294" s="493">
        <v>0</v>
      </c>
      <c r="AJ294" s="493">
        <v>0</v>
      </c>
      <c r="AK294" s="493">
        <v>0</v>
      </c>
      <c r="AL294" s="493">
        <v>0</v>
      </c>
      <c r="AM294" s="493">
        <v>0</v>
      </c>
      <c r="AN294" s="493">
        <v>0</v>
      </c>
      <c r="AO294" s="493">
        <f t="shared" si="336"/>
        <v>0</v>
      </c>
      <c r="AP294" s="493">
        <f t="shared" si="337"/>
        <v>0</v>
      </c>
      <c r="AQ294" s="495">
        <f t="shared" si="342"/>
        <v>0</v>
      </c>
      <c r="AR294" s="501">
        <f t="shared" si="370"/>
        <v>548521</v>
      </c>
      <c r="AS294" s="492">
        <f t="shared" si="371"/>
        <v>402887</v>
      </c>
      <c r="AT294" s="492">
        <f t="shared" si="372"/>
        <v>0</v>
      </c>
      <c r="AU294" s="492">
        <f t="shared" si="373"/>
        <v>136176</v>
      </c>
      <c r="AV294" s="492">
        <f t="shared" si="373"/>
        <v>8058</v>
      </c>
      <c r="AW294" s="492">
        <f t="shared" si="374"/>
        <v>1400</v>
      </c>
      <c r="AX294" s="493">
        <f t="shared" si="375"/>
        <v>0.9</v>
      </c>
      <c r="AY294" s="493">
        <f t="shared" si="376"/>
        <v>0.75</v>
      </c>
      <c r="AZ294" s="495">
        <f t="shared" si="376"/>
        <v>0.15</v>
      </c>
    </row>
    <row r="295" spans="1:52" ht="14.1" customHeight="1" x14ac:dyDescent="0.2">
      <c r="A295" s="72">
        <v>59</v>
      </c>
      <c r="B295" s="69">
        <v>2452</v>
      </c>
      <c r="C295" s="70">
        <v>600079660</v>
      </c>
      <c r="D295" s="69">
        <v>70695261</v>
      </c>
      <c r="E295" s="71" t="s">
        <v>687</v>
      </c>
      <c r="F295" s="72">
        <v>3143</v>
      </c>
      <c r="G295" s="84" t="s">
        <v>630</v>
      </c>
      <c r="H295" s="73" t="s">
        <v>279</v>
      </c>
      <c r="I295" s="494">
        <v>98280</v>
      </c>
      <c r="J295" s="489">
        <v>69499</v>
      </c>
      <c r="K295" s="489">
        <v>0</v>
      </c>
      <c r="L295" s="489">
        <v>23491</v>
      </c>
      <c r="M295" s="489">
        <v>1390</v>
      </c>
      <c r="N295" s="489">
        <v>3900</v>
      </c>
      <c r="O295" s="490">
        <v>0.27</v>
      </c>
      <c r="P295" s="491">
        <v>0</v>
      </c>
      <c r="Q295" s="500">
        <v>0.27</v>
      </c>
      <c r="R295" s="502">
        <f t="shared" si="335"/>
        <v>0</v>
      </c>
      <c r="S295" s="492">
        <v>0</v>
      </c>
      <c r="T295" s="492">
        <v>0</v>
      </c>
      <c r="U295" s="492">
        <v>0</v>
      </c>
      <c r="V295" s="492">
        <f t="shared" si="367"/>
        <v>0</v>
      </c>
      <c r="W295" s="492">
        <v>0</v>
      </c>
      <c r="X295" s="492">
        <v>0</v>
      </c>
      <c r="Y295" s="492">
        <v>0</v>
      </c>
      <c r="Z295" s="492">
        <f t="shared" si="338"/>
        <v>0</v>
      </c>
      <c r="AA295" s="492">
        <f t="shared" si="339"/>
        <v>0</v>
      </c>
      <c r="AB295" s="74">
        <f t="shared" si="340"/>
        <v>0</v>
      </c>
      <c r="AC295" s="74">
        <f t="shared" si="341"/>
        <v>0</v>
      </c>
      <c r="AD295" s="492">
        <v>0</v>
      </c>
      <c r="AE295" s="492">
        <v>0</v>
      </c>
      <c r="AF295" s="492">
        <f t="shared" si="368"/>
        <v>0</v>
      </c>
      <c r="AG295" s="492">
        <f t="shared" si="369"/>
        <v>0</v>
      </c>
      <c r="AH295" s="493">
        <v>0</v>
      </c>
      <c r="AI295" s="493">
        <v>0</v>
      </c>
      <c r="AJ295" s="493">
        <v>0</v>
      </c>
      <c r="AK295" s="493">
        <v>0</v>
      </c>
      <c r="AL295" s="493">
        <v>0</v>
      </c>
      <c r="AM295" s="493">
        <v>0</v>
      </c>
      <c r="AN295" s="493">
        <v>0</v>
      </c>
      <c r="AO295" s="493">
        <f t="shared" si="336"/>
        <v>0</v>
      </c>
      <c r="AP295" s="493">
        <f t="shared" si="337"/>
        <v>0</v>
      </c>
      <c r="AQ295" s="495">
        <f t="shared" si="342"/>
        <v>0</v>
      </c>
      <c r="AR295" s="501">
        <f t="shared" si="370"/>
        <v>98280</v>
      </c>
      <c r="AS295" s="492">
        <f t="shared" si="371"/>
        <v>69499</v>
      </c>
      <c r="AT295" s="492">
        <f t="shared" si="372"/>
        <v>0</v>
      </c>
      <c r="AU295" s="492">
        <f t="shared" si="373"/>
        <v>23491</v>
      </c>
      <c r="AV295" s="492">
        <f t="shared" si="373"/>
        <v>1390</v>
      </c>
      <c r="AW295" s="492">
        <f t="shared" si="374"/>
        <v>3900</v>
      </c>
      <c r="AX295" s="493">
        <f t="shared" si="375"/>
        <v>0.27</v>
      </c>
      <c r="AY295" s="493">
        <f t="shared" si="376"/>
        <v>0</v>
      </c>
      <c r="AZ295" s="495">
        <f t="shared" si="376"/>
        <v>0.27</v>
      </c>
    </row>
    <row r="296" spans="1:52" ht="14.1" customHeight="1" x14ac:dyDescent="0.2">
      <c r="A296" s="78">
        <v>59</v>
      </c>
      <c r="B296" s="75">
        <v>2452</v>
      </c>
      <c r="C296" s="76">
        <v>600079660</v>
      </c>
      <c r="D296" s="75">
        <v>70695261</v>
      </c>
      <c r="E296" s="77" t="s">
        <v>688</v>
      </c>
      <c r="F296" s="78"/>
      <c r="G296" s="77"/>
      <c r="H296" s="79"/>
      <c r="I296" s="80">
        <v>44996574</v>
      </c>
      <c r="J296" s="81">
        <v>32580676</v>
      </c>
      <c r="K296" s="81">
        <v>39000</v>
      </c>
      <c r="L296" s="81">
        <v>11025451</v>
      </c>
      <c r="M296" s="81">
        <v>651615</v>
      </c>
      <c r="N296" s="81">
        <v>699832</v>
      </c>
      <c r="O296" s="82">
        <v>65.916499999999999</v>
      </c>
      <c r="P296" s="82">
        <v>50.842600000000004</v>
      </c>
      <c r="Q296" s="452">
        <v>15.0739</v>
      </c>
      <c r="R296" s="80">
        <f t="shared" ref="R296:AZ296" si="377">SUM(R289:R295)</f>
        <v>0</v>
      </c>
      <c r="S296" s="81">
        <f t="shared" si="377"/>
        <v>0</v>
      </c>
      <c r="T296" s="81">
        <f t="shared" si="377"/>
        <v>0</v>
      </c>
      <c r="U296" s="81">
        <f t="shared" si="377"/>
        <v>0</v>
      </c>
      <c r="V296" s="81">
        <f t="shared" si="377"/>
        <v>0</v>
      </c>
      <c r="W296" s="81">
        <f t="shared" si="377"/>
        <v>0</v>
      </c>
      <c r="X296" s="81">
        <f t="shared" si="377"/>
        <v>0</v>
      </c>
      <c r="Y296" s="81">
        <f t="shared" si="377"/>
        <v>0</v>
      </c>
      <c r="Z296" s="81">
        <f t="shared" si="377"/>
        <v>0</v>
      </c>
      <c r="AA296" s="81">
        <f t="shared" si="377"/>
        <v>0</v>
      </c>
      <c r="AB296" s="81">
        <f t="shared" si="377"/>
        <v>0</v>
      </c>
      <c r="AC296" s="81">
        <f t="shared" si="377"/>
        <v>0</v>
      </c>
      <c r="AD296" s="81">
        <f t="shared" si="377"/>
        <v>0</v>
      </c>
      <c r="AE296" s="81">
        <f t="shared" si="377"/>
        <v>0</v>
      </c>
      <c r="AF296" s="81">
        <f t="shared" si="377"/>
        <v>0</v>
      </c>
      <c r="AG296" s="81">
        <f t="shared" si="377"/>
        <v>0</v>
      </c>
      <c r="AH296" s="82">
        <f t="shared" si="377"/>
        <v>0</v>
      </c>
      <c r="AI296" s="82">
        <f t="shared" si="377"/>
        <v>0</v>
      </c>
      <c r="AJ296" s="82">
        <f t="shared" si="377"/>
        <v>0</v>
      </c>
      <c r="AK296" s="82">
        <f t="shared" ref="AK296:AL296" si="378">SUM(AK289:AK295)</f>
        <v>0</v>
      </c>
      <c r="AL296" s="82">
        <f t="shared" si="378"/>
        <v>0</v>
      </c>
      <c r="AM296" s="82">
        <f t="shared" si="377"/>
        <v>0</v>
      </c>
      <c r="AN296" s="82">
        <f t="shared" si="377"/>
        <v>0</v>
      </c>
      <c r="AO296" s="82">
        <f t="shared" si="377"/>
        <v>0</v>
      </c>
      <c r="AP296" s="82">
        <f t="shared" si="377"/>
        <v>0</v>
      </c>
      <c r="AQ296" s="83">
        <f t="shared" si="377"/>
        <v>0</v>
      </c>
      <c r="AR296" s="438">
        <f t="shared" si="377"/>
        <v>44996574</v>
      </c>
      <c r="AS296" s="81">
        <f t="shared" si="377"/>
        <v>32580676</v>
      </c>
      <c r="AT296" s="81">
        <f t="shared" si="377"/>
        <v>39000</v>
      </c>
      <c r="AU296" s="81">
        <f t="shared" si="377"/>
        <v>11025451</v>
      </c>
      <c r="AV296" s="81">
        <f t="shared" si="377"/>
        <v>651615</v>
      </c>
      <c r="AW296" s="81">
        <f t="shared" si="377"/>
        <v>699832</v>
      </c>
      <c r="AX296" s="82">
        <f t="shared" si="377"/>
        <v>65.916499999999999</v>
      </c>
      <c r="AY296" s="82">
        <f t="shared" si="377"/>
        <v>50.842600000000004</v>
      </c>
      <c r="AZ296" s="83">
        <f t="shared" si="377"/>
        <v>15.0739</v>
      </c>
    </row>
    <row r="297" spans="1:52" ht="14.1" customHeight="1" x14ac:dyDescent="0.2">
      <c r="A297" s="72">
        <v>60</v>
      </c>
      <c r="B297" s="69">
        <v>2319</v>
      </c>
      <c r="C297" s="70">
        <v>600080218</v>
      </c>
      <c r="D297" s="69">
        <v>70695245</v>
      </c>
      <c r="E297" s="71" t="s">
        <v>689</v>
      </c>
      <c r="F297" s="72">
        <v>3231</v>
      </c>
      <c r="G297" s="71" t="s">
        <v>317</v>
      </c>
      <c r="H297" s="73" t="s">
        <v>278</v>
      </c>
      <c r="I297" s="494">
        <v>7042052</v>
      </c>
      <c r="J297" s="489">
        <v>5170701</v>
      </c>
      <c r="K297" s="489">
        <v>0</v>
      </c>
      <c r="L297" s="489">
        <v>1747697</v>
      </c>
      <c r="M297" s="489">
        <v>103414</v>
      </c>
      <c r="N297" s="489">
        <v>20240</v>
      </c>
      <c r="O297" s="490">
        <v>9.5840999999999994</v>
      </c>
      <c r="P297" s="491">
        <v>8.5632999999999999</v>
      </c>
      <c r="Q297" s="500">
        <v>1.0207999999999999</v>
      </c>
      <c r="R297" s="502">
        <f t="shared" si="335"/>
        <v>0</v>
      </c>
      <c r="S297" s="492">
        <v>0</v>
      </c>
      <c r="T297" s="492">
        <v>0</v>
      </c>
      <c r="U297" s="492">
        <v>0</v>
      </c>
      <c r="V297" s="492">
        <f>SUM(R297:U297)</f>
        <v>0</v>
      </c>
      <c r="W297" s="492">
        <v>0</v>
      </c>
      <c r="X297" s="492">
        <v>0</v>
      </c>
      <c r="Y297" s="492">
        <v>0</v>
      </c>
      <c r="Z297" s="492">
        <f t="shared" si="338"/>
        <v>0</v>
      </c>
      <c r="AA297" s="492">
        <f t="shared" si="339"/>
        <v>0</v>
      </c>
      <c r="AB297" s="74">
        <f t="shared" si="340"/>
        <v>0</v>
      </c>
      <c r="AC297" s="74">
        <f t="shared" si="341"/>
        <v>0</v>
      </c>
      <c r="AD297" s="492">
        <v>0</v>
      </c>
      <c r="AE297" s="492">
        <v>0</v>
      </c>
      <c r="AF297" s="492">
        <f>SUM(AD297:AE297)</f>
        <v>0</v>
      </c>
      <c r="AG297" s="492">
        <f>AA297+AB297+AC297+AF297</f>
        <v>0</v>
      </c>
      <c r="AH297" s="493">
        <v>0</v>
      </c>
      <c r="AI297" s="493">
        <v>0</v>
      </c>
      <c r="AJ297" s="493">
        <v>0</v>
      </c>
      <c r="AK297" s="493">
        <v>0</v>
      </c>
      <c r="AL297" s="493">
        <v>0</v>
      </c>
      <c r="AM297" s="493">
        <v>0</v>
      </c>
      <c r="AN297" s="493">
        <v>0</v>
      </c>
      <c r="AO297" s="493">
        <f t="shared" si="336"/>
        <v>0</v>
      </c>
      <c r="AP297" s="493">
        <f t="shared" si="337"/>
        <v>0</v>
      </c>
      <c r="AQ297" s="495">
        <f t="shared" si="342"/>
        <v>0</v>
      </c>
      <c r="AR297" s="501">
        <f>I297+AG297</f>
        <v>7042052</v>
      </c>
      <c r="AS297" s="492">
        <f>J297+V297</f>
        <v>5170701</v>
      </c>
      <c r="AT297" s="492">
        <f>K297+Z297</f>
        <v>0</v>
      </c>
      <c r="AU297" s="492">
        <f>L297+AB297</f>
        <v>1747697</v>
      </c>
      <c r="AV297" s="492">
        <f>M297+AC297</f>
        <v>103414</v>
      </c>
      <c r="AW297" s="492">
        <f>N297+AF297</f>
        <v>20240</v>
      </c>
      <c r="AX297" s="493">
        <f>O297+AQ297</f>
        <v>9.5840999999999994</v>
      </c>
      <c r="AY297" s="493">
        <f>P297+AO297</f>
        <v>8.5632999999999999</v>
      </c>
      <c r="AZ297" s="495">
        <f>Q297+AP297</f>
        <v>1.0207999999999999</v>
      </c>
    </row>
    <row r="298" spans="1:52" ht="14.1" customHeight="1" x14ac:dyDescent="0.2">
      <c r="A298" s="78">
        <v>60</v>
      </c>
      <c r="B298" s="75">
        <v>2319</v>
      </c>
      <c r="C298" s="76">
        <v>600080218</v>
      </c>
      <c r="D298" s="75">
        <v>70695245</v>
      </c>
      <c r="E298" s="77" t="s">
        <v>690</v>
      </c>
      <c r="F298" s="78"/>
      <c r="G298" s="77"/>
      <c r="H298" s="79"/>
      <c r="I298" s="85">
        <v>7042052</v>
      </c>
      <c r="J298" s="86">
        <v>5170701</v>
      </c>
      <c r="K298" s="86">
        <v>0</v>
      </c>
      <c r="L298" s="86">
        <v>1747697</v>
      </c>
      <c r="M298" s="86">
        <v>103414</v>
      </c>
      <c r="N298" s="86">
        <v>20240</v>
      </c>
      <c r="O298" s="87">
        <v>9.5840999999999994</v>
      </c>
      <c r="P298" s="87">
        <v>8.5632999999999999</v>
      </c>
      <c r="Q298" s="453">
        <v>1.0207999999999999</v>
      </c>
      <c r="R298" s="85">
        <f t="shared" ref="R298:AZ298" si="379">SUM(R297)</f>
        <v>0</v>
      </c>
      <c r="S298" s="86">
        <f t="shared" si="379"/>
        <v>0</v>
      </c>
      <c r="T298" s="86">
        <f t="shared" si="379"/>
        <v>0</v>
      </c>
      <c r="U298" s="86">
        <f t="shared" si="379"/>
        <v>0</v>
      </c>
      <c r="V298" s="86">
        <f t="shared" si="379"/>
        <v>0</v>
      </c>
      <c r="W298" s="86">
        <f t="shared" si="379"/>
        <v>0</v>
      </c>
      <c r="X298" s="86">
        <f t="shared" si="379"/>
        <v>0</v>
      </c>
      <c r="Y298" s="86">
        <f t="shared" si="379"/>
        <v>0</v>
      </c>
      <c r="Z298" s="86">
        <f t="shared" si="379"/>
        <v>0</v>
      </c>
      <c r="AA298" s="86">
        <f t="shared" si="379"/>
        <v>0</v>
      </c>
      <c r="AB298" s="86">
        <f t="shared" si="379"/>
        <v>0</v>
      </c>
      <c r="AC298" s="86">
        <f t="shared" si="379"/>
        <v>0</v>
      </c>
      <c r="AD298" s="86">
        <f t="shared" si="379"/>
        <v>0</v>
      </c>
      <c r="AE298" s="86">
        <f t="shared" si="379"/>
        <v>0</v>
      </c>
      <c r="AF298" s="86">
        <f t="shared" si="379"/>
        <v>0</v>
      </c>
      <c r="AG298" s="86">
        <f t="shared" si="379"/>
        <v>0</v>
      </c>
      <c r="AH298" s="87">
        <f t="shared" si="379"/>
        <v>0</v>
      </c>
      <c r="AI298" s="87">
        <f t="shared" si="379"/>
        <v>0</v>
      </c>
      <c r="AJ298" s="87">
        <f t="shared" si="379"/>
        <v>0</v>
      </c>
      <c r="AK298" s="87">
        <f t="shared" ref="AK298:AL298" si="380">SUM(AK297)</f>
        <v>0</v>
      </c>
      <c r="AL298" s="87">
        <f t="shared" si="380"/>
        <v>0</v>
      </c>
      <c r="AM298" s="87">
        <f t="shared" si="379"/>
        <v>0</v>
      </c>
      <c r="AN298" s="87">
        <f t="shared" si="379"/>
        <v>0</v>
      </c>
      <c r="AO298" s="87">
        <f t="shared" si="379"/>
        <v>0</v>
      </c>
      <c r="AP298" s="87">
        <f t="shared" si="379"/>
        <v>0</v>
      </c>
      <c r="AQ298" s="88">
        <f t="shared" si="379"/>
        <v>0</v>
      </c>
      <c r="AR298" s="439">
        <f t="shared" si="379"/>
        <v>7042052</v>
      </c>
      <c r="AS298" s="86">
        <f t="shared" si="379"/>
        <v>5170701</v>
      </c>
      <c r="AT298" s="86">
        <f t="shared" si="379"/>
        <v>0</v>
      </c>
      <c r="AU298" s="86">
        <f t="shared" si="379"/>
        <v>1747697</v>
      </c>
      <c r="AV298" s="86">
        <f t="shared" si="379"/>
        <v>103414</v>
      </c>
      <c r="AW298" s="86">
        <f t="shared" si="379"/>
        <v>20240</v>
      </c>
      <c r="AX298" s="87">
        <f t="shared" si="379"/>
        <v>9.5840999999999994</v>
      </c>
      <c r="AY298" s="87">
        <f t="shared" si="379"/>
        <v>8.5632999999999999</v>
      </c>
      <c r="AZ298" s="88">
        <f t="shared" si="379"/>
        <v>1.0207999999999999</v>
      </c>
    </row>
    <row r="299" spans="1:52" ht="14.1" customHeight="1" x14ac:dyDescent="0.2">
      <c r="A299" s="72">
        <v>61</v>
      </c>
      <c r="B299" s="69">
        <v>2444</v>
      </c>
      <c r="C299" s="70">
        <v>600079848</v>
      </c>
      <c r="D299" s="69">
        <v>72742836</v>
      </c>
      <c r="E299" s="71" t="s">
        <v>691</v>
      </c>
      <c r="F299" s="72">
        <v>3111</v>
      </c>
      <c r="G299" s="71" t="s">
        <v>312</v>
      </c>
      <c r="H299" s="73" t="s">
        <v>278</v>
      </c>
      <c r="I299" s="494">
        <v>4291711</v>
      </c>
      <c r="J299" s="489">
        <v>3114267</v>
      </c>
      <c r="K299" s="489">
        <v>29250</v>
      </c>
      <c r="L299" s="489">
        <v>1062509</v>
      </c>
      <c r="M299" s="489">
        <v>62285</v>
      </c>
      <c r="N299" s="489">
        <v>23400</v>
      </c>
      <c r="O299" s="490">
        <v>7.2827999999999999</v>
      </c>
      <c r="P299" s="490">
        <v>5.9</v>
      </c>
      <c r="Q299" s="500">
        <v>1.3828</v>
      </c>
      <c r="R299" s="502">
        <f t="shared" si="335"/>
        <v>0</v>
      </c>
      <c r="S299" s="492">
        <v>0</v>
      </c>
      <c r="T299" s="492">
        <v>0</v>
      </c>
      <c r="U299" s="492">
        <v>0</v>
      </c>
      <c r="V299" s="492">
        <f t="shared" ref="V299:V304" si="381">SUM(R299:U299)</f>
        <v>0</v>
      </c>
      <c r="W299" s="492">
        <v>0</v>
      </c>
      <c r="X299" s="492">
        <v>0</v>
      </c>
      <c r="Y299" s="492">
        <v>0</v>
      </c>
      <c r="Z299" s="492">
        <f t="shared" si="338"/>
        <v>0</v>
      </c>
      <c r="AA299" s="492">
        <f t="shared" si="339"/>
        <v>0</v>
      </c>
      <c r="AB299" s="74">
        <f t="shared" si="340"/>
        <v>0</v>
      </c>
      <c r="AC299" s="74">
        <f t="shared" si="341"/>
        <v>0</v>
      </c>
      <c r="AD299" s="492">
        <v>0</v>
      </c>
      <c r="AE299" s="492">
        <v>0</v>
      </c>
      <c r="AF299" s="492">
        <f t="shared" ref="AF299:AF304" si="382">SUM(AD299:AE299)</f>
        <v>0</v>
      </c>
      <c r="AG299" s="492">
        <f t="shared" ref="AG299:AG304" si="383">AA299+AB299+AC299+AF299</f>
        <v>0</v>
      </c>
      <c r="AH299" s="493">
        <v>0</v>
      </c>
      <c r="AI299" s="493">
        <v>0</v>
      </c>
      <c r="AJ299" s="493">
        <v>0</v>
      </c>
      <c r="AK299" s="493">
        <v>0</v>
      </c>
      <c r="AL299" s="493">
        <v>0</v>
      </c>
      <c r="AM299" s="493">
        <v>0</v>
      </c>
      <c r="AN299" s="493">
        <v>0</v>
      </c>
      <c r="AO299" s="493">
        <f t="shared" si="336"/>
        <v>0</v>
      </c>
      <c r="AP299" s="493">
        <f t="shared" si="337"/>
        <v>0</v>
      </c>
      <c r="AQ299" s="495">
        <f t="shared" si="342"/>
        <v>0</v>
      </c>
      <c r="AR299" s="501">
        <f t="shared" ref="AR299:AR304" si="384">I299+AG299</f>
        <v>4291711</v>
      </c>
      <c r="AS299" s="492">
        <f t="shared" ref="AS299:AS304" si="385">J299+V299</f>
        <v>3114267</v>
      </c>
      <c r="AT299" s="492">
        <f t="shared" ref="AT299:AT304" si="386">K299+Z299</f>
        <v>29250</v>
      </c>
      <c r="AU299" s="492">
        <f t="shared" ref="AU299:AV304" si="387">L299+AB299</f>
        <v>1062509</v>
      </c>
      <c r="AV299" s="492">
        <f t="shared" si="387"/>
        <v>62285</v>
      </c>
      <c r="AW299" s="492">
        <f t="shared" ref="AW299:AW304" si="388">N299+AF299</f>
        <v>23400</v>
      </c>
      <c r="AX299" s="493">
        <f t="shared" ref="AX299:AX304" si="389">O299+AQ299</f>
        <v>7.2827999999999999</v>
      </c>
      <c r="AY299" s="493">
        <f t="shared" ref="AY299:AZ304" si="390">P299+AO299</f>
        <v>5.9</v>
      </c>
      <c r="AZ299" s="495">
        <f t="shared" si="390"/>
        <v>1.3828</v>
      </c>
    </row>
    <row r="300" spans="1:52" ht="14.1" customHeight="1" x14ac:dyDescent="0.2">
      <c r="A300" s="72">
        <v>61</v>
      </c>
      <c r="B300" s="69">
        <v>2444</v>
      </c>
      <c r="C300" s="70">
        <v>600079848</v>
      </c>
      <c r="D300" s="69">
        <v>72742836</v>
      </c>
      <c r="E300" s="71" t="s">
        <v>691</v>
      </c>
      <c r="F300" s="72">
        <v>3117</v>
      </c>
      <c r="G300" s="89" t="s">
        <v>315</v>
      </c>
      <c r="H300" s="73" t="s">
        <v>278</v>
      </c>
      <c r="I300" s="494">
        <v>4461591</v>
      </c>
      <c r="J300" s="489">
        <v>3198909</v>
      </c>
      <c r="K300" s="489">
        <v>14950</v>
      </c>
      <c r="L300" s="489">
        <v>1086284</v>
      </c>
      <c r="M300" s="489">
        <v>63978</v>
      </c>
      <c r="N300" s="489">
        <v>97470</v>
      </c>
      <c r="O300" s="490">
        <v>6.2030000000000003</v>
      </c>
      <c r="P300" s="490">
        <v>3.97</v>
      </c>
      <c r="Q300" s="500">
        <v>2.2330000000000001</v>
      </c>
      <c r="R300" s="502">
        <f t="shared" si="335"/>
        <v>0</v>
      </c>
      <c r="S300" s="492">
        <v>0</v>
      </c>
      <c r="T300" s="492">
        <v>0</v>
      </c>
      <c r="U300" s="492">
        <v>0</v>
      </c>
      <c r="V300" s="492">
        <f t="shared" si="381"/>
        <v>0</v>
      </c>
      <c r="W300" s="492">
        <v>0</v>
      </c>
      <c r="X300" s="492">
        <v>0</v>
      </c>
      <c r="Y300" s="492">
        <v>0</v>
      </c>
      <c r="Z300" s="492">
        <f t="shared" si="338"/>
        <v>0</v>
      </c>
      <c r="AA300" s="492">
        <f t="shared" si="339"/>
        <v>0</v>
      </c>
      <c r="AB300" s="74">
        <f t="shared" si="340"/>
        <v>0</v>
      </c>
      <c r="AC300" s="74">
        <f t="shared" si="341"/>
        <v>0</v>
      </c>
      <c r="AD300" s="492">
        <v>0</v>
      </c>
      <c r="AE300" s="492">
        <v>0</v>
      </c>
      <c r="AF300" s="492">
        <f t="shared" si="382"/>
        <v>0</v>
      </c>
      <c r="AG300" s="492">
        <f t="shared" si="383"/>
        <v>0</v>
      </c>
      <c r="AH300" s="493">
        <v>0</v>
      </c>
      <c r="AI300" s="493">
        <v>0</v>
      </c>
      <c r="AJ300" s="493">
        <v>0</v>
      </c>
      <c r="AK300" s="493">
        <v>0</v>
      </c>
      <c r="AL300" s="493">
        <v>0</v>
      </c>
      <c r="AM300" s="493">
        <v>0</v>
      </c>
      <c r="AN300" s="493">
        <v>0</v>
      </c>
      <c r="AO300" s="493">
        <f t="shared" si="336"/>
        <v>0</v>
      </c>
      <c r="AP300" s="493">
        <f t="shared" si="337"/>
        <v>0</v>
      </c>
      <c r="AQ300" s="495">
        <f t="shared" si="342"/>
        <v>0</v>
      </c>
      <c r="AR300" s="501">
        <f t="shared" si="384"/>
        <v>4461591</v>
      </c>
      <c r="AS300" s="492">
        <f t="shared" si="385"/>
        <v>3198909</v>
      </c>
      <c r="AT300" s="492">
        <f t="shared" si="386"/>
        <v>14950</v>
      </c>
      <c r="AU300" s="492">
        <f t="shared" si="387"/>
        <v>1086284</v>
      </c>
      <c r="AV300" s="492">
        <f t="shared" si="387"/>
        <v>63978</v>
      </c>
      <c r="AW300" s="492">
        <f t="shared" si="388"/>
        <v>97470</v>
      </c>
      <c r="AX300" s="493">
        <f t="shared" si="389"/>
        <v>6.2030000000000003</v>
      </c>
      <c r="AY300" s="493">
        <f t="shared" si="390"/>
        <v>3.97</v>
      </c>
      <c r="AZ300" s="495">
        <f t="shared" si="390"/>
        <v>2.2330000000000001</v>
      </c>
    </row>
    <row r="301" spans="1:52" ht="14.1" customHeight="1" x14ac:dyDescent="0.2">
      <c r="A301" s="72">
        <v>61</v>
      </c>
      <c r="B301" s="69">
        <v>2444</v>
      </c>
      <c r="C301" s="70">
        <v>600079848</v>
      </c>
      <c r="D301" s="69">
        <v>72742836</v>
      </c>
      <c r="E301" s="71" t="s">
        <v>691</v>
      </c>
      <c r="F301" s="72">
        <v>3117</v>
      </c>
      <c r="G301" s="84" t="s">
        <v>313</v>
      </c>
      <c r="H301" s="73" t="s">
        <v>279</v>
      </c>
      <c r="I301" s="494">
        <v>332002</v>
      </c>
      <c r="J301" s="489">
        <v>244478</v>
      </c>
      <c r="K301" s="489">
        <v>0</v>
      </c>
      <c r="L301" s="489">
        <v>82634</v>
      </c>
      <c r="M301" s="489">
        <v>4890</v>
      </c>
      <c r="N301" s="489">
        <v>0</v>
      </c>
      <c r="O301" s="490">
        <v>0</v>
      </c>
      <c r="P301" s="491">
        <v>0</v>
      </c>
      <c r="Q301" s="500">
        <v>0</v>
      </c>
      <c r="R301" s="502">
        <f t="shared" si="335"/>
        <v>0</v>
      </c>
      <c r="S301" s="489">
        <v>0</v>
      </c>
      <c r="T301" s="492">
        <v>0</v>
      </c>
      <c r="U301" s="492">
        <v>0</v>
      </c>
      <c r="V301" s="492">
        <f t="shared" si="381"/>
        <v>0</v>
      </c>
      <c r="W301" s="492">
        <v>0</v>
      </c>
      <c r="X301" s="492">
        <v>0</v>
      </c>
      <c r="Y301" s="492">
        <v>0</v>
      </c>
      <c r="Z301" s="492">
        <f t="shared" si="338"/>
        <v>0</v>
      </c>
      <c r="AA301" s="492">
        <f t="shared" si="339"/>
        <v>0</v>
      </c>
      <c r="AB301" s="74">
        <f t="shared" si="340"/>
        <v>0</v>
      </c>
      <c r="AC301" s="74">
        <f t="shared" si="341"/>
        <v>0</v>
      </c>
      <c r="AD301" s="492">
        <v>0</v>
      </c>
      <c r="AE301" s="492">
        <v>0</v>
      </c>
      <c r="AF301" s="492">
        <f t="shared" si="382"/>
        <v>0</v>
      </c>
      <c r="AG301" s="492">
        <f t="shared" si="383"/>
        <v>0</v>
      </c>
      <c r="AH301" s="493">
        <v>0</v>
      </c>
      <c r="AI301" s="493">
        <v>0</v>
      </c>
      <c r="AJ301" s="493">
        <v>0</v>
      </c>
      <c r="AK301" s="493">
        <v>0</v>
      </c>
      <c r="AL301" s="493">
        <v>0</v>
      </c>
      <c r="AM301" s="493">
        <v>0</v>
      </c>
      <c r="AN301" s="493">
        <v>0</v>
      </c>
      <c r="AO301" s="493">
        <f t="shared" si="336"/>
        <v>0</v>
      </c>
      <c r="AP301" s="493">
        <f t="shared" si="337"/>
        <v>0</v>
      </c>
      <c r="AQ301" s="495">
        <f t="shared" si="342"/>
        <v>0</v>
      </c>
      <c r="AR301" s="501">
        <f t="shared" si="384"/>
        <v>332002</v>
      </c>
      <c r="AS301" s="492">
        <f t="shared" si="385"/>
        <v>244478</v>
      </c>
      <c r="AT301" s="492">
        <f t="shared" si="386"/>
        <v>0</v>
      </c>
      <c r="AU301" s="492">
        <f t="shared" si="387"/>
        <v>82634</v>
      </c>
      <c r="AV301" s="492">
        <f t="shared" si="387"/>
        <v>4890</v>
      </c>
      <c r="AW301" s="492">
        <f t="shared" si="388"/>
        <v>0</v>
      </c>
      <c r="AX301" s="493">
        <f t="shared" si="389"/>
        <v>0</v>
      </c>
      <c r="AY301" s="493">
        <f t="shared" si="390"/>
        <v>0</v>
      </c>
      <c r="AZ301" s="495">
        <f t="shared" si="390"/>
        <v>0</v>
      </c>
    </row>
    <row r="302" spans="1:52" ht="14.1" customHeight="1" x14ac:dyDescent="0.2">
      <c r="A302" s="72">
        <v>61</v>
      </c>
      <c r="B302" s="69">
        <v>2444</v>
      </c>
      <c r="C302" s="70">
        <v>600079848</v>
      </c>
      <c r="D302" s="69">
        <v>72742836</v>
      </c>
      <c r="E302" s="71" t="s">
        <v>691</v>
      </c>
      <c r="F302" s="72">
        <v>3141</v>
      </c>
      <c r="G302" s="71" t="s">
        <v>316</v>
      </c>
      <c r="H302" s="73" t="s">
        <v>279</v>
      </c>
      <c r="I302" s="494">
        <v>1287176</v>
      </c>
      <c r="J302" s="489">
        <v>943191</v>
      </c>
      <c r="K302" s="489">
        <v>0</v>
      </c>
      <c r="L302" s="489">
        <v>318799</v>
      </c>
      <c r="M302" s="489">
        <v>18864</v>
      </c>
      <c r="N302" s="489">
        <v>6322</v>
      </c>
      <c r="O302" s="490">
        <v>2.97</v>
      </c>
      <c r="P302" s="491">
        <v>0</v>
      </c>
      <c r="Q302" s="500">
        <v>2.97</v>
      </c>
      <c r="R302" s="502">
        <f t="shared" si="335"/>
        <v>0</v>
      </c>
      <c r="S302" s="492">
        <v>0</v>
      </c>
      <c r="T302" s="492">
        <v>0</v>
      </c>
      <c r="U302" s="492">
        <v>0</v>
      </c>
      <c r="V302" s="492">
        <f t="shared" si="381"/>
        <v>0</v>
      </c>
      <c r="W302" s="492">
        <v>0</v>
      </c>
      <c r="X302" s="492">
        <v>0</v>
      </c>
      <c r="Y302" s="492">
        <v>0</v>
      </c>
      <c r="Z302" s="492">
        <f t="shared" si="338"/>
        <v>0</v>
      </c>
      <c r="AA302" s="492">
        <f t="shared" si="339"/>
        <v>0</v>
      </c>
      <c r="AB302" s="74">
        <f t="shared" si="340"/>
        <v>0</v>
      </c>
      <c r="AC302" s="74">
        <f t="shared" si="341"/>
        <v>0</v>
      </c>
      <c r="AD302" s="492">
        <v>0</v>
      </c>
      <c r="AE302" s="492">
        <v>0</v>
      </c>
      <c r="AF302" s="492">
        <f t="shared" si="382"/>
        <v>0</v>
      </c>
      <c r="AG302" s="492">
        <f t="shared" si="383"/>
        <v>0</v>
      </c>
      <c r="AH302" s="493">
        <v>0</v>
      </c>
      <c r="AI302" s="493">
        <v>0</v>
      </c>
      <c r="AJ302" s="493">
        <v>0</v>
      </c>
      <c r="AK302" s="493">
        <v>0</v>
      </c>
      <c r="AL302" s="493">
        <v>0</v>
      </c>
      <c r="AM302" s="493">
        <v>0</v>
      </c>
      <c r="AN302" s="493">
        <v>0</v>
      </c>
      <c r="AO302" s="493">
        <f t="shared" si="336"/>
        <v>0</v>
      </c>
      <c r="AP302" s="493">
        <f t="shared" si="337"/>
        <v>0</v>
      </c>
      <c r="AQ302" s="495">
        <f t="shared" si="342"/>
        <v>0</v>
      </c>
      <c r="AR302" s="501">
        <f t="shared" si="384"/>
        <v>1287176</v>
      </c>
      <c r="AS302" s="492">
        <f t="shared" si="385"/>
        <v>943191</v>
      </c>
      <c r="AT302" s="492">
        <f t="shared" si="386"/>
        <v>0</v>
      </c>
      <c r="AU302" s="492">
        <f t="shared" si="387"/>
        <v>318799</v>
      </c>
      <c r="AV302" s="492">
        <f t="shared" si="387"/>
        <v>18864</v>
      </c>
      <c r="AW302" s="492">
        <f t="shared" si="388"/>
        <v>6322</v>
      </c>
      <c r="AX302" s="493">
        <f t="shared" si="389"/>
        <v>2.97</v>
      </c>
      <c r="AY302" s="493">
        <f t="shared" si="390"/>
        <v>0</v>
      </c>
      <c r="AZ302" s="495">
        <f t="shared" si="390"/>
        <v>2.97</v>
      </c>
    </row>
    <row r="303" spans="1:52" ht="14.1" customHeight="1" x14ac:dyDescent="0.2">
      <c r="A303" s="72">
        <v>61</v>
      </c>
      <c r="B303" s="69">
        <v>2444</v>
      </c>
      <c r="C303" s="70">
        <v>600079848</v>
      </c>
      <c r="D303" s="69">
        <v>72742836</v>
      </c>
      <c r="E303" s="71" t="s">
        <v>691</v>
      </c>
      <c r="F303" s="72">
        <v>3143</v>
      </c>
      <c r="G303" s="84" t="s">
        <v>629</v>
      </c>
      <c r="H303" s="73" t="s">
        <v>278</v>
      </c>
      <c r="I303" s="494">
        <v>738607</v>
      </c>
      <c r="J303" s="489">
        <v>543893</v>
      </c>
      <c r="K303" s="489">
        <v>0</v>
      </c>
      <c r="L303" s="489">
        <v>183836</v>
      </c>
      <c r="M303" s="489">
        <v>10878</v>
      </c>
      <c r="N303" s="489">
        <v>0</v>
      </c>
      <c r="O303" s="490">
        <v>1</v>
      </c>
      <c r="P303" s="490">
        <v>1</v>
      </c>
      <c r="Q303" s="500">
        <v>0</v>
      </c>
      <c r="R303" s="502">
        <f t="shared" si="335"/>
        <v>0</v>
      </c>
      <c r="S303" s="492">
        <v>0</v>
      </c>
      <c r="T303" s="492">
        <v>0</v>
      </c>
      <c r="U303" s="492">
        <v>0</v>
      </c>
      <c r="V303" s="492">
        <f t="shared" si="381"/>
        <v>0</v>
      </c>
      <c r="W303" s="492">
        <v>0</v>
      </c>
      <c r="X303" s="492">
        <v>0</v>
      </c>
      <c r="Y303" s="492">
        <v>0</v>
      </c>
      <c r="Z303" s="492">
        <f t="shared" si="338"/>
        <v>0</v>
      </c>
      <c r="AA303" s="492">
        <f t="shared" si="339"/>
        <v>0</v>
      </c>
      <c r="AB303" s="74">
        <f t="shared" si="340"/>
        <v>0</v>
      </c>
      <c r="AC303" s="74">
        <f t="shared" si="341"/>
        <v>0</v>
      </c>
      <c r="AD303" s="492">
        <v>0</v>
      </c>
      <c r="AE303" s="492">
        <v>0</v>
      </c>
      <c r="AF303" s="492">
        <f t="shared" si="382"/>
        <v>0</v>
      </c>
      <c r="AG303" s="492">
        <f t="shared" si="383"/>
        <v>0</v>
      </c>
      <c r="AH303" s="493">
        <v>0</v>
      </c>
      <c r="AI303" s="493">
        <v>0</v>
      </c>
      <c r="AJ303" s="493">
        <v>0</v>
      </c>
      <c r="AK303" s="493">
        <v>0</v>
      </c>
      <c r="AL303" s="493">
        <v>0</v>
      </c>
      <c r="AM303" s="493">
        <v>0</v>
      </c>
      <c r="AN303" s="493">
        <v>0</v>
      </c>
      <c r="AO303" s="493">
        <f t="shared" si="336"/>
        <v>0</v>
      </c>
      <c r="AP303" s="493">
        <f t="shared" si="337"/>
        <v>0</v>
      </c>
      <c r="AQ303" s="495">
        <f t="shared" si="342"/>
        <v>0</v>
      </c>
      <c r="AR303" s="501">
        <f t="shared" si="384"/>
        <v>738607</v>
      </c>
      <c r="AS303" s="492">
        <f t="shared" si="385"/>
        <v>543893</v>
      </c>
      <c r="AT303" s="492">
        <f t="shared" si="386"/>
        <v>0</v>
      </c>
      <c r="AU303" s="492">
        <f t="shared" si="387"/>
        <v>183836</v>
      </c>
      <c r="AV303" s="492">
        <f t="shared" si="387"/>
        <v>10878</v>
      </c>
      <c r="AW303" s="492">
        <f t="shared" si="388"/>
        <v>0</v>
      </c>
      <c r="AX303" s="493">
        <f t="shared" si="389"/>
        <v>1</v>
      </c>
      <c r="AY303" s="493">
        <f t="shared" si="390"/>
        <v>1</v>
      </c>
      <c r="AZ303" s="495">
        <f t="shared" si="390"/>
        <v>0</v>
      </c>
    </row>
    <row r="304" spans="1:52" ht="14.1" customHeight="1" x14ac:dyDescent="0.2">
      <c r="A304" s="72">
        <v>61</v>
      </c>
      <c r="B304" s="69">
        <v>2444</v>
      </c>
      <c r="C304" s="70">
        <v>600079848</v>
      </c>
      <c r="D304" s="69">
        <v>72742836</v>
      </c>
      <c r="E304" s="71" t="s">
        <v>691</v>
      </c>
      <c r="F304" s="72">
        <v>3143</v>
      </c>
      <c r="G304" s="84" t="s">
        <v>630</v>
      </c>
      <c r="H304" s="73" t="s">
        <v>279</v>
      </c>
      <c r="I304" s="494">
        <v>22680</v>
      </c>
      <c r="J304" s="489">
        <v>16038</v>
      </c>
      <c r="K304" s="489">
        <v>0</v>
      </c>
      <c r="L304" s="489">
        <v>5421</v>
      </c>
      <c r="M304" s="489">
        <v>321</v>
      </c>
      <c r="N304" s="489">
        <v>900</v>
      </c>
      <c r="O304" s="490">
        <v>0.06</v>
      </c>
      <c r="P304" s="491">
        <v>0</v>
      </c>
      <c r="Q304" s="500">
        <v>0.06</v>
      </c>
      <c r="R304" s="502">
        <f t="shared" si="335"/>
        <v>0</v>
      </c>
      <c r="S304" s="492">
        <v>0</v>
      </c>
      <c r="T304" s="492">
        <v>0</v>
      </c>
      <c r="U304" s="492">
        <v>0</v>
      </c>
      <c r="V304" s="492">
        <f t="shared" si="381"/>
        <v>0</v>
      </c>
      <c r="W304" s="492">
        <v>0</v>
      </c>
      <c r="X304" s="492">
        <v>0</v>
      </c>
      <c r="Y304" s="492">
        <v>0</v>
      </c>
      <c r="Z304" s="492">
        <f t="shared" si="338"/>
        <v>0</v>
      </c>
      <c r="AA304" s="492">
        <f t="shared" si="339"/>
        <v>0</v>
      </c>
      <c r="AB304" s="74">
        <f t="shared" si="340"/>
        <v>0</v>
      </c>
      <c r="AC304" s="74">
        <f t="shared" si="341"/>
        <v>0</v>
      </c>
      <c r="AD304" s="492">
        <v>0</v>
      </c>
      <c r="AE304" s="492">
        <v>0</v>
      </c>
      <c r="AF304" s="492">
        <f t="shared" si="382"/>
        <v>0</v>
      </c>
      <c r="AG304" s="492">
        <f t="shared" si="383"/>
        <v>0</v>
      </c>
      <c r="AH304" s="493">
        <v>0</v>
      </c>
      <c r="AI304" s="493">
        <v>0</v>
      </c>
      <c r="AJ304" s="493">
        <v>0</v>
      </c>
      <c r="AK304" s="493">
        <v>0</v>
      </c>
      <c r="AL304" s="493">
        <v>0</v>
      </c>
      <c r="AM304" s="493">
        <v>0</v>
      </c>
      <c r="AN304" s="493">
        <v>0</v>
      </c>
      <c r="AO304" s="493">
        <f t="shared" si="336"/>
        <v>0</v>
      </c>
      <c r="AP304" s="493">
        <f t="shared" si="337"/>
        <v>0</v>
      </c>
      <c r="AQ304" s="495">
        <f t="shared" si="342"/>
        <v>0</v>
      </c>
      <c r="AR304" s="501">
        <f t="shared" si="384"/>
        <v>22680</v>
      </c>
      <c r="AS304" s="492">
        <f t="shared" si="385"/>
        <v>16038</v>
      </c>
      <c r="AT304" s="492">
        <f t="shared" si="386"/>
        <v>0</v>
      </c>
      <c r="AU304" s="492">
        <f t="shared" si="387"/>
        <v>5421</v>
      </c>
      <c r="AV304" s="492">
        <f t="shared" si="387"/>
        <v>321</v>
      </c>
      <c r="AW304" s="492">
        <f t="shared" si="388"/>
        <v>900</v>
      </c>
      <c r="AX304" s="493">
        <f t="shared" si="389"/>
        <v>0.06</v>
      </c>
      <c r="AY304" s="493">
        <f t="shared" si="390"/>
        <v>0</v>
      </c>
      <c r="AZ304" s="495">
        <f t="shared" si="390"/>
        <v>0.06</v>
      </c>
    </row>
    <row r="305" spans="1:52" ht="14.1" customHeight="1" x14ac:dyDescent="0.2">
      <c r="A305" s="78">
        <v>61</v>
      </c>
      <c r="B305" s="75">
        <v>2444</v>
      </c>
      <c r="C305" s="76">
        <v>600079848</v>
      </c>
      <c r="D305" s="75">
        <v>72742836</v>
      </c>
      <c r="E305" s="77" t="s">
        <v>692</v>
      </c>
      <c r="F305" s="78"/>
      <c r="G305" s="77"/>
      <c r="H305" s="79"/>
      <c r="I305" s="80">
        <v>11133767</v>
      </c>
      <c r="J305" s="81">
        <v>8060776</v>
      </c>
      <c r="K305" s="81">
        <v>44200</v>
      </c>
      <c r="L305" s="81">
        <v>2739483</v>
      </c>
      <c r="M305" s="81">
        <v>161216</v>
      </c>
      <c r="N305" s="81">
        <v>128092</v>
      </c>
      <c r="O305" s="82">
        <v>17.515799999999999</v>
      </c>
      <c r="P305" s="82">
        <v>10.870000000000001</v>
      </c>
      <c r="Q305" s="452">
        <v>6.6458000000000004</v>
      </c>
      <c r="R305" s="80">
        <f t="shared" ref="R305:AZ305" si="391">SUM(R299:R304)</f>
        <v>0</v>
      </c>
      <c r="S305" s="81">
        <f t="shared" si="391"/>
        <v>0</v>
      </c>
      <c r="T305" s="81">
        <f t="shared" si="391"/>
        <v>0</v>
      </c>
      <c r="U305" s="81">
        <f t="shared" si="391"/>
        <v>0</v>
      </c>
      <c r="V305" s="81">
        <f t="shared" si="391"/>
        <v>0</v>
      </c>
      <c r="W305" s="81">
        <f t="shared" si="391"/>
        <v>0</v>
      </c>
      <c r="X305" s="81">
        <f t="shared" si="391"/>
        <v>0</v>
      </c>
      <c r="Y305" s="81">
        <f t="shared" si="391"/>
        <v>0</v>
      </c>
      <c r="Z305" s="81">
        <f t="shared" si="391"/>
        <v>0</v>
      </c>
      <c r="AA305" s="81">
        <f t="shared" si="391"/>
        <v>0</v>
      </c>
      <c r="AB305" s="81">
        <f t="shared" si="391"/>
        <v>0</v>
      </c>
      <c r="AC305" s="81">
        <f t="shared" si="391"/>
        <v>0</v>
      </c>
      <c r="AD305" s="81">
        <f t="shared" si="391"/>
        <v>0</v>
      </c>
      <c r="AE305" s="81">
        <f t="shared" si="391"/>
        <v>0</v>
      </c>
      <c r="AF305" s="81">
        <f t="shared" si="391"/>
        <v>0</v>
      </c>
      <c r="AG305" s="81">
        <f t="shared" si="391"/>
        <v>0</v>
      </c>
      <c r="AH305" s="82">
        <f t="shared" si="391"/>
        <v>0</v>
      </c>
      <c r="AI305" s="82">
        <f t="shared" si="391"/>
        <v>0</v>
      </c>
      <c r="AJ305" s="82">
        <f t="shared" si="391"/>
        <v>0</v>
      </c>
      <c r="AK305" s="82">
        <f t="shared" ref="AK305:AL305" si="392">SUM(AK299:AK304)</f>
        <v>0</v>
      </c>
      <c r="AL305" s="82">
        <f t="shared" si="392"/>
        <v>0</v>
      </c>
      <c r="AM305" s="82">
        <f t="shared" si="391"/>
        <v>0</v>
      </c>
      <c r="AN305" s="82">
        <f t="shared" si="391"/>
        <v>0</v>
      </c>
      <c r="AO305" s="82">
        <f t="shared" si="391"/>
        <v>0</v>
      </c>
      <c r="AP305" s="82">
        <f t="shared" si="391"/>
        <v>0</v>
      </c>
      <c r="AQ305" s="83">
        <f t="shared" si="391"/>
        <v>0</v>
      </c>
      <c r="AR305" s="438">
        <f t="shared" si="391"/>
        <v>11133767</v>
      </c>
      <c r="AS305" s="81">
        <f t="shared" si="391"/>
        <v>8060776</v>
      </c>
      <c r="AT305" s="81">
        <f t="shared" si="391"/>
        <v>44200</v>
      </c>
      <c r="AU305" s="81">
        <f t="shared" si="391"/>
        <v>2739483</v>
      </c>
      <c r="AV305" s="81">
        <f t="shared" si="391"/>
        <v>161216</v>
      </c>
      <c r="AW305" s="81">
        <f t="shared" si="391"/>
        <v>128092</v>
      </c>
      <c r="AX305" s="82">
        <f t="shared" si="391"/>
        <v>17.515799999999999</v>
      </c>
      <c r="AY305" s="82">
        <f t="shared" si="391"/>
        <v>10.870000000000001</v>
      </c>
      <c r="AZ305" s="83">
        <f t="shared" si="391"/>
        <v>6.6458000000000004</v>
      </c>
    </row>
    <row r="306" spans="1:52" ht="14.1" customHeight="1" x14ac:dyDescent="0.2">
      <c r="A306" s="72">
        <v>62</v>
      </c>
      <c r="B306" s="69">
        <v>2457</v>
      </c>
      <c r="C306" s="70">
        <v>650021479</v>
      </c>
      <c r="D306" s="69">
        <v>72742577</v>
      </c>
      <c r="E306" s="71" t="s">
        <v>693</v>
      </c>
      <c r="F306" s="72">
        <v>3111</v>
      </c>
      <c r="G306" s="71" t="s">
        <v>312</v>
      </c>
      <c r="H306" s="73" t="s">
        <v>278</v>
      </c>
      <c r="I306" s="494">
        <v>1406221</v>
      </c>
      <c r="J306" s="489">
        <v>1028881</v>
      </c>
      <c r="K306" s="489">
        <v>0</v>
      </c>
      <c r="L306" s="489">
        <v>347762</v>
      </c>
      <c r="M306" s="489">
        <v>20578</v>
      </c>
      <c r="N306" s="489">
        <v>9000</v>
      </c>
      <c r="O306" s="490">
        <v>2.4009</v>
      </c>
      <c r="P306" s="490">
        <v>1.94</v>
      </c>
      <c r="Q306" s="500">
        <v>0.46089999999999998</v>
      </c>
      <c r="R306" s="502">
        <f t="shared" si="335"/>
        <v>0</v>
      </c>
      <c r="S306" s="492">
        <v>0</v>
      </c>
      <c r="T306" s="492">
        <v>0</v>
      </c>
      <c r="U306" s="492">
        <v>0</v>
      </c>
      <c r="V306" s="492">
        <f t="shared" ref="V306:V311" si="393">SUM(R306:U306)</f>
        <v>0</v>
      </c>
      <c r="W306" s="492">
        <v>0</v>
      </c>
      <c r="X306" s="492">
        <v>0</v>
      </c>
      <c r="Y306" s="492">
        <v>0</v>
      </c>
      <c r="Z306" s="492">
        <f t="shared" si="338"/>
        <v>0</v>
      </c>
      <c r="AA306" s="492">
        <f t="shared" si="339"/>
        <v>0</v>
      </c>
      <c r="AB306" s="74">
        <f t="shared" si="340"/>
        <v>0</v>
      </c>
      <c r="AC306" s="74">
        <f t="shared" si="341"/>
        <v>0</v>
      </c>
      <c r="AD306" s="492">
        <v>0</v>
      </c>
      <c r="AE306" s="492">
        <v>0</v>
      </c>
      <c r="AF306" s="492">
        <f t="shared" ref="AF306:AF311" si="394">SUM(AD306:AE306)</f>
        <v>0</v>
      </c>
      <c r="AG306" s="492">
        <f t="shared" ref="AG306:AG311" si="395">AA306+AB306+AC306+AF306</f>
        <v>0</v>
      </c>
      <c r="AH306" s="493">
        <v>0</v>
      </c>
      <c r="AI306" s="493">
        <v>0</v>
      </c>
      <c r="AJ306" s="493">
        <v>0</v>
      </c>
      <c r="AK306" s="493">
        <v>0</v>
      </c>
      <c r="AL306" s="493">
        <v>0</v>
      </c>
      <c r="AM306" s="493">
        <v>0</v>
      </c>
      <c r="AN306" s="493">
        <v>0</v>
      </c>
      <c r="AO306" s="493">
        <f t="shared" si="336"/>
        <v>0</v>
      </c>
      <c r="AP306" s="493">
        <f t="shared" si="337"/>
        <v>0</v>
      </c>
      <c r="AQ306" s="495">
        <f t="shared" si="342"/>
        <v>0</v>
      </c>
      <c r="AR306" s="501">
        <f t="shared" ref="AR306:AR311" si="396">I306+AG306</f>
        <v>1406221</v>
      </c>
      <c r="AS306" s="492">
        <f t="shared" ref="AS306:AS311" si="397">J306+V306</f>
        <v>1028881</v>
      </c>
      <c r="AT306" s="492">
        <f t="shared" ref="AT306:AT311" si="398">K306+Z306</f>
        <v>0</v>
      </c>
      <c r="AU306" s="492">
        <f t="shared" ref="AU306:AV311" si="399">L306+AB306</f>
        <v>347762</v>
      </c>
      <c r="AV306" s="492">
        <f t="shared" si="399"/>
        <v>20578</v>
      </c>
      <c r="AW306" s="492">
        <f t="shared" ref="AW306:AW311" si="400">N306+AF306</f>
        <v>9000</v>
      </c>
      <c r="AX306" s="493">
        <f t="shared" ref="AX306:AX311" si="401">O306+AQ306</f>
        <v>2.4009</v>
      </c>
      <c r="AY306" s="493">
        <f t="shared" ref="AY306:AZ311" si="402">P306+AO306</f>
        <v>1.94</v>
      </c>
      <c r="AZ306" s="495">
        <f t="shared" si="402"/>
        <v>0.46089999999999998</v>
      </c>
    </row>
    <row r="307" spans="1:52" ht="14.1" customHeight="1" x14ac:dyDescent="0.2">
      <c r="A307" s="72">
        <v>62</v>
      </c>
      <c r="B307" s="69">
        <v>2457</v>
      </c>
      <c r="C307" s="70">
        <v>650021479</v>
      </c>
      <c r="D307" s="69">
        <v>72742577</v>
      </c>
      <c r="E307" s="71" t="s">
        <v>693</v>
      </c>
      <c r="F307" s="72">
        <v>3117</v>
      </c>
      <c r="G307" s="89" t="s">
        <v>315</v>
      </c>
      <c r="H307" s="73" t="s">
        <v>278</v>
      </c>
      <c r="I307" s="494">
        <v>1679855</v>
      </c>
      <c r="J307" s="489">
        <v>1220637</v>
      </c>
      <c r="K307" s="489">
        <v>0</v>
      </c>
      <c r="L307" s="489">
        <v>412575</v>
      </c>
      <c r="M307" s="489">
        <v>24413</v>
      </c>
      <c r="N307" s="489">
        <v>22230</v>
      </c>
      <c r="O307" s="490">
        <v>2.3031000000000001</v>
      </c>
      <c r="P307" s="490">
        <v>1.54</v>
      </c>
      <c r="Q307" s="500">
        <v>0.76310000000000011</v>
      </c>
      <c r="R307" s="502">
        <f t="shared" si="335"/>
        <v>0</v>
      </c>
      <c r="S307" s="492">
        <v>0</v>
      </c>
      <c r="T307" s="492">
        <v>0</v>
      </c>
      <c r="U307" s="492">
        <v>0</v>
      </c>
      <c r="V307" s="492">
        <f t="shared" si="393"/>
        <v>0</v>
      </c>
      <c r="W307" s="492">
        <v>0</v>
      </c>
      <c r="X307" s="492">
        <v>0</v>
      </c>
      <c r="Y307" s="492">
        <v>0</v>
      </c>
      <c r="Z307" s="492">
        <f t="shared" si="338"/>
        <v>0</v>
      </c>
      <c r="AA307" s="492">
        <f t="shared" si="339"/>
        <v>0</v>
      </c>
      <c r="AB307" s="74">
        <f t="shared" si="340"/>
        <v>0</v>
      </c>
      <c r="AC307" s="74">
        <f t="shared" si="341"/>
        <v>0</v>
      </c>
      <c r="AD307" s="492">
        <v>0</v>
      </c>
      <c r="AE307" s="492">
        <v>0</v>
      </c>
      <c r="AF307" s="492">
        <f t="shared" si="394"/>
        <v>0</v>
      </c>
      <c r="AG307" s="492">
        <f t="shared" si="395"/>
        <v>0</v>
      </c>
      <c r="AH307" s="493">
        <v>0</v>
      </c>
      <c r="AI307" s="493">
        <v>0</v>
      </c>
      <c r="AJ307" s="493">
        <v>0</v>
      </c>
      <c r="AK307" s="493">
        <v>0</v>
      </c>
      <c r="AL307" s="493">
        <v>0</v>
      </c>
      <c r="AM307" s="493">
        <v>0</v>
      </c>
      <c r="AN307" s="493">
        <v>0</v>
      </c>
      <c r="AO307" s="493">
        <f t="shared" si="336"/>
        <v>0</v>
      </c>
      <c r="AP307" s="493">
        <f t="shared" si="337"/>
        <v>0</v>
      </c>
      <c r="AQ307" s="495">
        <f t="shared" si="342"/>
        <v>0</v>
      </c>
      <c r="AR307" s="501">
        <f t="shared" si="396"/>
        <v>1679855</v>
      </c>
      <c r="AS307" s="492">
        <f t="shared" si="397"/>
        <v>1220637</v>
      </c>
      <c r="AT307" s="492">
        <f t="shared" si="398"/>
        <v>0</v>
      </c>
      <c r="AU307" s="492">
        <f t="shared" si="399"/>
        <v>412575</v>
      </c>
      <c r="AV307" s="492">
        <f t="shared" si="399"/>
        <v>24413</v>
      </c>
      <c r="AW307" s="492">
        <f t="shared" si="400"/>
        <v>22230</v>
      </c>
      <c r="AX307" s="493">
        <f t="shared" si="401"/>
        <v>2.3031000000000001</v>
      </c>
      <c r="AY307" s="493">
        <f t="shared" si="402"/>
        <v>1.54</v>
      </c>
      <c r="AZ307" s="495">
        <f t="shared" si="402"/>
        <v>0.76310000000000011</v>
      </c>
    </row>
    <row r="308" spans="1:52" ht="14.1" customHeight="1" x14ac:dyDescent="0.2">
      <c r="A308" s="72">
        <v>62</v>
      </c>
      <c r="B308" s="69">
        <v>2457</v>
      </c>
      <c r="C308" s="70">
        <v>650021479</v>
      </c>
      <c r="D308" s="69">
        <v>72742577</v>
      </c>
      <c r="E308" s="71" t="s">
        <v>693</v>
      </c>
      <c r="F308" s="72">
        <v>3117</v>
      </c>
      <c r="G308" s="84" t="s">
        <v>313</v>
      </c>
      <c r="H308" s="73" t="s">
        <v>279</v>
      </c>
      <c r="I308" s="494">
        <v>0</v>
      </c>
      <c r="J308" s="489">
        <v>0</v>
      </c>
      <c r="K308" s="489">
        <v>0</v>
      </c>
      <c r="L308" s="489">
        <v>0</v>
      </c>
      <c r="M308" s="489">
        <v>0</v>
      </c>
      <c r="N308" s="489">
        <v>0</v>
      </c>
      <c r="O308" s="490">
        <v>0.69</v>
      </c>
      <c r="P308" s="491">
        <v>0.69</v>
      </c>
      <c r="Q308" s="500">
        <v>0</v>
      </c>
      <c r="R308" s="502">
        <f t="shared" si="335"/>
        <v>0</v>
      </c>
      <c r="S308" s="492">
        <v>0</v>
      </c>
      <c r="T308" s="492">
        <v>0</v>
      </c>
      <c r="U308" s="492">
        <v>0</v>
      </c>
      <c r="V308" s="492">
        <f t="shared" si="393"/>
        <v>0</v>
      </c>
      <c r="W308" s="492">
        <v>0</v>
      </c>
      <c r="X308" s="492">
        <v>0</v>
      </c>
      <c r="Y308" s="492">
        <v>0</v>
      </c>
      <c r="Z308" s="492">
        <f t="shared" si="338"/>
        <v>0</v>
      </c>
      <c r="AA308" s="492">
        <f t="shared" si="339"/>
        <v>0</v>
      </c>
      <c r="AB308" s="74">
        <f t="shared" si="340"/>
        <v>0</v>
      </c>
      <c r="AC308" s="74">
        <f t="shared" si="341"/>
        <v>0</v>
      </c>
      <c r="AD308" s="492">
        <v>0</v>
      </c>
      <c r="AE308" s="492">
        <v>0</v>
      </c>
      <c r="AF308" s="492">
        <f t="shared" si="394"/>
        <v>0</v>
      </c>
      <c r="AG308" s="492">
        <f t="shared" si="395"/>
        <v>0</v>
      </c>
      <c r="AH308" s="493">
        <v>0</v>
      </c>
      <c r="AI308" s="493">
        <v>0</v>
      </c>
      <c r="AJ308" s="493">
        <v>0</v>
      </c>
      <c r="AK308" s="493">
        <v>0</v>
      </c>
      <c r="AL308" s="493">
        <v>0</v>
      </c>
      <c r="AM308" s="493">
        <v>0</v>
      </c>
      <c r="AN308" s="493">
        <v>0</v>
      </c>
      <c r="AO308" s="493">
        <f t="shared" si="336"/>
        <v>0</v>
      </c>
      <c r="AP308" s="493">
        <f t="shared" si="337"/>
        <v>0</v>
      </c>
      <c r="AQ308" s="495">
        <f t="shared" si="342"/>
        <v>0</v>
      </c>
      <c r="AR308" s="501">
        <f t="shared" si="396"/>
        <v>0</v>
      </c>
      <c r="AS308" s="492">
        <f t="shared" si="397"/>
        <v>0</v>
      </c>
      <c r="AT308" s="492">
        <f t="shared" si="398"/>
        <v>0</v>
      </c>
      <c r="AU308" s="492">
        <f t="shared" si="399"/>
        <v>0</v>
      </c>
      <c r="AV308" s="492">
        <f t="shared" si="399"/>
        <v>0</v>
      </c>
      <c r="AW308" s="492">
        <f t="shared" si="400"/>
        <v>0</v>
      </c>
      <c r="AX308" s="493">
        <f t="shared" si="401"/>
        <v>0.69</v>
      </c>
      <c r="AY308" s="493">
        <f t="shared" si="402"/>
        <v>0.69</v>
      </c>
      <c r="AZ308" s="495">
        <f t="shared" si="402"/>
        <v>0</v>
      </c>
    </row>
    <row r="309" spans="1:52" ht="14.1" customHeight="1" x14ac:dyDescent="0.2">
      <c r="A309" s="72">
        <v>62</v>
      </c>
      <c r="B309" s="69">
        <v>2457</v>
      </c>
      <c r="C309" s="70">
        <v>650021479</v>
      </c>
      <c r="D309" s="69">
        <v>72742577</v>
      </c>
      <c r="E309" s="71" t="s">
        <v>693</v>
      </c>
      <c r="F309" s="72">
        <v>3141</v>
      </c>
      <c r="G309" s="71" t="s">
        <v>316</v>
      </c>
      <c r="H309" s="73" t="s">
        <v>279</v>
      </c>
      <c r="I309" s="494">
        <v>494756</v>
      </c>
      <c r="J309" s="489">
        <v>286109</v>
      </c>
      <c r="K309" s="489">
        <v>78000</v>
      </c>
      <c r="L309" s="489">
        <v>123069</v>
      </c>
      <c r="M309" s="489">
        <v>5722</v>
      </c>
      <c r="N309" s="489">
        <v>1856</v>
      </c>
      <c r="O309" s="490">
        <v>0.85999999999999988</v>
      </c>
      <c r="P309" s="491">
        <v>0</v>
      </c>
      <c r="Q309" s="500">
        <v>0.85999999999999988</v>
      </c>
      <c r="R309" s="502">
        <f t="shared" si="335"/>
        <v>0</v>
      </c>
      <c r="S309" s="492">
        <v>0</v>
      </c>
      <c r="T309" s="492">
        <v>0</v>
      </c>
      <c r="U309" s="492">
        <v>0</v>
      </c>
      <c r="V309" s="492">
        <f t="shared" si="393"/>
        <v>0</v>
      </c>
      <c r="W309" s="492">
        <v>0</v>
      </c>
      <c r="X309" s="492">
        <v>0</v>
      </c>
      <c r="Y309" s="492">
        <v>0</v>
      </c>
      <c r="Z309" s="492">
        <f t="shared" si="338"/>
        <v>0</v>
      </c>
      <c r="AA309" s="492">
        <f t="shared" si="339"/>
        <v>0</v>
      </c>
      <c r="AB309" s="74">
        <f t="shared" si="340"/>
        <v>0</v>
      </c>
      <c r="AC309" s="74">
        <f t="shared" si="341"/>
        <v>0</v>
      </c>
      <c r="AD309" s="492">
        <v>0</v>
      </c>
      <c r="AE309" s="492">
        <v>0</v>
      </c>
      <c r="AF309" s="492">
        <f t="shared" si="394"/>
        <v>0</v>
      </c>
      <c r="AG309" s="492">
        <f t="shared" si="395"/>
        <v>0</v>
      </c>
      <c r="AH309" s="493">
        <v>0</v>
      </c>
      <c r="AI309" s="493">
        <v>0</v>
      </c>
      <c r="AJ309" s="493">
        <v>0</v>
      </c>
      <c r="AK309" s="493">
        <v>0</v>
      </c>
      <c r="AL309" s="493">
        <v>0</v>
      </c>
      <c r="AM309" s="493">
        <v>0</v>
      </c>
      <c r="AN309" s="493">
        <v>0</v>
      </c>
      <c r="AO309" s="493">
        <f t="shared" si="336"/>
        <v>0</v>
      </c>
      <c r="AP309" s="493">
        <f t="shared" si="337"/>
        <v>0</v>
      </c>
      <c r="AQ309" s="495">
        <f t="shared" si="342"/>
        <v>0</v>
      </c>
      <c r="AR309" s="501">
        <f t="shared" si="396"/>
        <v>494756</v>
      </c>
      <c r="AS309" s="492">
        <f t="shared" si="397"/>
        <v>286109</v>
      </c>
      <c r="AT309" s="492">
        <f t="shared" si="398"/>
        <v>78000</v>
      </c>
      <c r="AU309" s="492">
        <f t="shared" si="399"/>
        <v>123069</v>
      </c>
      <c r="AV309" s="492">
        <f t="shared" si="399"/>
        <v>5722</v>
      </c>
      <c r="AW309" s="492">
        <f t="shared" si="400"/>
        <v>1856</v>
      </c>
      <c r="AX309" s="493">
        <f t="shared" si="401"/>
        <v>0.85999999999999988</v>
      </c>
      <c r="AY309" s="493">
        <f t="shared" si="402"/>
        <v>0</v>
      </c>
      <c r="AZ309" s="495">
        <f t="shared" si="402"/>
        <v>0.85999999999999988</v>
      </c>
    </row>
    <row r="310" spans="1:52" ht="14.1" customHeight="1" x14ac:dyDescent="0.2">
      <c r="A310" s="72">
        <v>62</v>
      </c>
      <c r="B310" s="69">
        <v>2457</v>
      </c>
      <c r="C310" s="70">
        <v>650021479</v>
      </c>
      <c r="D310" s="69">
        <v>72742577</v>
      </c>
      <c r="E310" s="71" t="s">
        <v>693</v>
      </c>
      <c r="F310" s="72">
        <v>3143</v>
      </c>
      <c r="G310" s="84" t="s">
        <v>629</v>
      </c>
      <c r="H310" s="73" t="s">
        <v>278</v>
      </c>
      <c r="I310" s="494">
        <v>64263</v>
      </c>
      <c r="J310" s="489">
        <v>47322</v>
      </c>
      <c r="K310" s="489">
        <v>0</v>
      </c>
      <c r="L310" s="489">
        <v>15995</v>
      </c>
      <c r="M310" s="489">
        <v>946</v>
      </c>
      <c r="N310" s="489">
        <v>0</v>
      </c>
      <c r="O310" s="490">
        <v>0.1</v>
      </c>
      <c r="P310" s="490">
        <v>0.1</v>
      </c>
      <c r="Q310" s="500">
        <v>0</v>
      </c>
      <c r="R310" s="502">
        <f t="shared" si="335"/>
        <v>0</v>
      </c>
      <c r="S310" s="492">
        <v>0</v>
      </c>
      <c r="T310" s="492">
        <v>0</v>
      </c>
      <c r="U310" s="492">
        <v>0</v>
      </c>
      <c r="V310" s="492">
        <f t="shared" si="393"/>
        <v>0</v>
      </c>
      <c r="W310" s="492">
        <v>0</v>
      </c>
      <c r="X310" s="492">
        <v>0</v>
      </c>
      <c r="Y310" s="492">
        <v>0</v>
      </c>
      <c r="Z310" s="492">
        <f t="shared" si="338"/>
        <v>0</v>
      </c>
      <c r="AA310" s="492">
        <f t="shared" si="339"/>
        <v>0</v>
      </c>
      <c r="AB310" s="74">
        <f t="shared" si="340"/>
        <v>0</v>
      </c>
      <c r="AC310" s="74">
        <f t="shared" si="341"/>
        <v>0</v>
      </c>
      <c r="AD310" s="492">
        <v>0</v>
      </c>
      <c r="AE310" s="492">
        <v>0</v>
      </c>
      <c r="AF310" s="492">
        <f t="shared" si="394"/>
        <v>0</v>
      </c>
      <c r="AG310" s="492">
        <f t="shared" si="395"/>
        <v>0</v>
      </c>
      <c r="AH310" s="493">
        <v>0</v>
      </c>
      <c r="AI310" s="493">
        <v>0</v>
      </c>
      <c r="AJ310" s="493">
        <v>0</v>
      </c>
      <c r="AK310" s="493">
        <v>0</v>
      </c>
      <c r="AL310" s="493">
        <v>0</v>
      </c>
      <c r="AM310" s="493">
        <v>0</v>
      </c>
      <c r="AN310" s="493">
        <v>0</v>
      </c>
      <c r="AO310" s="493">
        <f t="shared" si="336"/>
        <v>0</v>
      </c>
      <c r="AP310" s="493">
        <f t="shared" si="337"/>
        <v>0</v>
      </c>
      <c r="AQ310" s="495">
        <f t="shared" si="342"/>
        <v>0</v>
      </c>
      <c r="AR310" s="501">
        <f t="shared" si="396"/>
        <v>64263</v>
      </c>
      <c r="AS310" s="492">
        <f t="shared" si="397"/>
        <v>47322</v>
      </c>
      <c r="AT310" s="492">
        <f t="shared" si="398"/>
        <v>0</v>
      </c>
      <c r="AU310" s="492">
        <f t="shared" si="399"/>
        <v>15995</v>
      </c>
      <c r="AV310" s="492">
        <f t="shared" si="399"/>
        <v>946</v>
      </c>
      <c r="AW310" s="492">
        <f t="shared" si="400"/>
        <v>0</v>
      </c>
      <c r="AX310" s="493">
        <f t="shared" si="401"/>
        <v>0.1</v>
      </c>
      <c r="AY310" s="493">
        <f t="shared" si="402"/>
        <v>0.1</v>
      </c>
      <c r="AZ310" s="495">
        <f t="shared" si="402"/>
        <v>0</v>
      </c>
    </row>
    <row r="311" spans="1:52" ht="14.1" customHeight="1" x14ac:dyDescent="0.2">
      <c r="A311" s="72">
        <v>62</v>
      </c>
      <c r="B311" s="69">
        <v>2457</v>
      </c>
      <c r="C311" s="70">
        <v>650021479</v>
      </c>
      <c r="D311" s="69">
        <v>72742577</v>
      </c>
      <c r="E311" s="71" t="s">
        <v>693</v>
      </c>
      <c r="F311" s="72">
        <v>3143</v>
      </c>
      <c r="G311" s="84" t="s">
        <v>630</v>
      </c>
      <c r="H311" s="73" t="s">
        <v>279</v>
      </c>
      <c r="I311" s="494">
        <v>9828</v>
      </c>
      <c r="J311" s="489">
        <v>6950</v>
      </c>
      <c r="K311" s="489">
        <v>0</v>
      </c>
      <c r="L311" s="489">
        <v>2349</v>
      </c>
      <c r="M311" s="489">
        <v>139</v>
      </c>
      <c r="N311" s="489">
        <v>390</v>
      </c>
      <c r="O311" s="490">
        <v>0.03</v>
      </c>
      <c r="P311" s="491">
        <v>0</v>
      </c>
      <c r="Q311" s="500">
        <v>0.03</v>
      </c>
      <c r="R311" s="502">
        <f t="shared" si="335"/>
        <v>0</v>
      </c>
      <c r="S311" s="492">
        <v>0</v>
      </c>
      <c r="T311" s="492">
        <v>0</v>
      </c>
      <c r="U311" s="492">
        <v>0</v>
      </c>
      <c r="V311" s="492">
        <f t="shared" si="393"/>
        <v>0</v>
      </c>
      <c r="W311" s="492">
        <v>0</v>
      </c>
      <c r="X311" s="492">
        <v>0</v>
      </c>
      <c r="Y311" s="492">
        <v>0</v>
      </c>
      <c r="Z311" s="492">
        <f t="shared" si="338"/>
        <v>0</v>
      </c>
      <c r="AA311" s="492">
        <f t="shared" si="339"/>
        <v>0</v>
      </c>
      <c r="AB311" s="74">
        <f t="shared" si="340"/>
        <v>0</v>
      </c>
      <c r="AC311" s="74">
        <f t="shared" si="341"/>
        <v>0</v>
      </c>
      <c r="AD311" s="492">
        <v>0</v>
      </c>
      <c r="AE311" s="492">
        <v>0</v>
      </c>
      <c r="AF311" s="492">
        <f t="shared" si="394"/>
        <v>0</v>
      </c>
      <c r="AG311" s="492">
        <f t="shared" si="395"/>
        <v>0</v>
      </c>
      <c r="AH311" s="493">
        <v>0</v>
      </c>
      <c r="AI311" s="493">
        <v>0</v>
      </c>
      <c r="AJ311" s="493">
        <v>0</v>
      </c>
      <c r="AK311" s="493">
        <v>0</v>
      </c>
      <c r="AL311" s="493">
        <v>0</v>
      </c>
      <c r="AM311" s="493">
        <v>0</v>
      </c>
      <c r="AN311" s="493">
        <v>0</v>
      </c>
      <c r="AO311" s="493">
        <f t="shared" si="336"/>
        <v>0</v>
      </c>
      <c r="AP311" s="493">
        <f t="shared" si="337"/>
        <v>0</v>
      </c>
      <c r="AQ311" s="495">
        <f t="shared" si="342"/>
        <v>0</v>
      </c>
      <c r="AR311" s="501">
        <f t="shared" si="396"/>
        <v>9828</v>
      </c>
      <c r="AS311" s="492">
        <f t="shared" si="397"/>
        <v>6950</v>
      </c>
      <c r="AT311" s="492">
        <f t="shared" si="398"/>
        <v>0</v>
      </c>
      <c r="AU311" s="492">
        <f t="shared" si="399"/>
        <v>2349</v>
      </c>
      <c r="AV311" s="492">
        <f t="shared" si="399"/>
        <v>139</v>
      </c>
      <c r="AW311" s="492">
        <f t="shared" si="400"/>
        <v>390</v>
      </c>
      <c r="AX311" s="493">
        <f t="shared" si="401"/>
        <v>0.03</v>
      </c>
      <c r="AY311" s="493">
        <f t="shared" si="402"/>
        <v>0</v>
      </c>
      <c r="AZ311" s="495">
        <f t="shared" si="402"/>
        <v>0.03</v>
      </c>
    </row>
    <row r="312" spans="1:52" ht="14.1" customHeight="1" x14ac:dyDescent="0.2">
      <c r="A312" s="78">
        <v>62</v>
      </c>
      <c r="B312" s="75">
        <v>2457</v>
      </c>
      <c r="C312" s="76">
        <v>650021479</v>
      </c>
      <c r="D312" s="75">
        <v>72742577</v>
      </c>
      <c r="E312" s="77" t="s">
        <v>694</v>
      </c>
      <c r="F312" s="78"/>
      <c r="G312" s="77"/>
      <c r="H312" s="79"/>
      <c r="I312" s="80">
        <v>3654923</v>
      </c>
      <c r="J312" s="81">
        <v>2589899</v>
      </c>
      <c r="K312" s="81">
        <v>78000</v>
      </c>
      <c r="L312" s="81">
        <v>901750</v>
      </c>
      <c r="M312" s="81">
        <v>51798</v>
      </c>
      <c r="N312" s="81">
        <v>33476</v>
      </c>
      <c r="O312" s="82">
        <v>6.3839999999999995</v>
      </c>
      <c r="P312" s="82">
        <v>4.2699999999999996</v>
      </c>
      <c r="Q312" s="452">
        <v>2.1139999999999999</v>
      </c>
      <c r="R312" s="80">
        <f t="shared" ref="R312:AZ312" si="403">SUM(R306:R311)</f>
        <v>0</v>
      </c>
      <c r="S312" s="81">
        <f t="shared" si="403"/>
        <v>0</v>
      </c>
      <c r="T312" s="81">
        <f t="shared" si="403"/>
        <v>0</v>
      </c>
      <c r="U312" s="81">
        <f t="shared" si="403"/>
        <v>0</v>
      </c>
      <c r="V312" s="81">
        <f t="shared" si="403"/>
        <v>0</v>
      </c>
      <c r="W312" s="81">
        <f t="shared" si="403"/>
        <v>0</v>
      </c>
      <c r="X312" s="81">
        <f t="shared" si="403"/>
        <v>0</v>
      </c>
      <c r="Y312" s="81">
        <f t="shared" si="403"/>
        <v>0</v>
      </c>
      <c r="Z312" s="81">
        <f t="shared" si="403"/>
        <v>0</v>
      </c>
      <c r="AA312" s="81">
        <f t="shared" si="403"/>
        <v>0</v>
      </c>
      <c r="AB312" s="81">
        <f t="shared" si="403"/>
        <v>0</v>
      </c>
      <c r="AC312" s="81">
        <f t="shared" si="403"/>
        <v>0</v>
      </c>
      <c r="AD312" s="81">
        <f t="shared" si="403"/>
        <v>0</v>
      </c>
      <c r="AE312" s="81">
        <f t="shared" si="403"/>
        <v>0</v>
      </c>
      <c r="AF312" s="81">
        <f t="shared" si="403"/>
        <v>0</v>
      </c>
      <c r="AG312" s="81">
        <f t="shared" si="403"/>
        <v>0</v>
      </c>
      <c r="AH312" s="82">
        <f t="shared" si="403"/>
        <v>0</v>
      </c>
      <c r="AI312" s="82">
        <f t="shared" si="403"/>
        <v>0</v>
      </c>
      <c r="AJ312" s="82">
        <f t="shared" si="403"/>
        <v>0</v>
      </c>
      <c r="AK312" s="82">
        <f t="shared" ref="AK312:AL312" si="404">SUM(AK306:AK311)</f>
        <v>0</v>
      </c>
      <c r="AL312" s="82">
        <f t="shared" si="404"/>
        <v>0</v>
      </c>
      <c r="AM312" s="82">
        <f t="shared" si="403"/>
        <v>0</v>
      </c>
      <c r="AN312" s="82">
        <f t="shared" si="403"/>
        <v>0</v>
      </c>
      <c r="AO312" s="82">
        <f t="shared" si="403"/>
        <v>0</v>
      </c>
      <c r="AP312" s="82">
        <f t="shared" si="403"/>
        <v>0</v>
      </c>
      <c r="AQ312" s="83">
        <f t="shared" si="403"/>
        <v>0</v>
      </c>
      <c r="AR312" s="438">
        <f t="shared" si="403"/>
        <v>3654923</v>
      </c>
      <c r="AS312" s="81">
        <f t="shared" si="403"/>
        <v>2589899</v>
      </c>
      <c r="AT312" s="81">
        <f t="shared" si="403"/>
        <v>78000</v>
      </c>
      <c r="AU312" s="81">
        <f t="shared" si="403"/>
        <v>901750</v>
      </c>
      <c r="AV312" s="81">
        <f t="shared" si="403"/>
        <v>51798</v>
      </c>
      <c r="AW312" s="81">
        <f t="shared" si="403"/>
        <v>33476</v>
      </c>
      <c r="AX312" s="82">
        <f t="shared" si="403"/>
        <v>6.3839999999999995</v>
      </c>
      <c r="AY312" s="82">
        <f t="shared" si="403"/>
        <v>4.2699999999999996</v>
      </c>
      <c r="AZ312" s="83">
        <f t="shared" si="403"/>
        <v>2.1139999999999999</v>
      </c>
    </row>
    <row r="313" spans="1:52" ht="14.1" customHeight="1" x14ac:dyDescent="0.2">
      <c r="A313" s="72">
        <v>63</v>
      </c>
      <c r="B313" s="69">
        <v>2403</v>
      </c>
      <c r="C313" s="70">
        <v>600078931</v>
      </c>
      <c r="D313" s="69">
        <v>72744324</v>
      </c>
      <c r="E313" s="71" t="s">
        <v>695</v>
      </c>
      <c r="F313" s="72">
        <v>3111</v>
      </c>
      <c r="G313" s="71" t="s">
        <v>312</v>
      </c>
      <c r="H313" s="73" t="s">
        <v>278</v>
      </c>
      <c r="I313" s="494">
        <v>6636889</v>
      </c>
      <c r="J313" s="674">
        <v>4856767</v>
      </c>
      <c r="K313" s="674">
        <v>0</v>
      </c>
      <c r="L313" s="489">
        <v>1641587</v>
      </c>
      <c r="M313" s="489">
        <v>97135</v>
      </c>
      <c r="N313" s="489">
        <v>41400</v>
      </c>
      <c r="O313" s="490">
        <v>10.8682</v>
      </c>
      <c r="P313" s="490">
        <v>8</v>
      </c>
      <c r="Q313" s="500">
        <v>2.8681999999999999</v>
      </c>
      <c r="R313" s="502">
        <f t="shared" si="335"/>
        <v>0</v>
      </c>
      <c r="S313" s="492">
        <v>0</v>
      </c>
      <c r="T313" s="492">
        <v>0</v>
      </c>
      <c r="U313" s="492">
        <v>0</v>
      </c>
      <c r="V313" s="492">
        <f>SUM(R313:U313)</f>
        <v>0</v>
      </c>
      <c r="W313" s="492">
        <v>0</v>
      </c>
      <c r="X313" s="492">
        <v>0</v>
      </c>
      <c r="Y313" s="492">
        <v>0</v>
      </c>
      <c r="Z313" s="492">
        <f t="shared" si="338"/>
        <v>0</v>
      </c>
      <c r="AA313" s="492">
        <f t="shared" si="339"/>
        <v>0</v>
      </c>
      <c r="AB313" s="74">
        <f t="shared" si="340"/>
        <v>0</v>
      </c>
      <c r="AC313" s="74">
        <f t="shared" si="341"/>
        <v>0</v>
      </c>
      <c r="AD313" s="492">
        <v>0</v>
      </c>
      <c r="AE313" s="492">
        <v>0</v>
      </c>
      <c r="AF313" s="492">
        <f>SUM(AD313:AE313)</f>
        <v>0</v>
      </c>
      <c r="AG313" s="492">
        <f>AA313+AB313+AC313+AF313</f>
        <v>0</v>
      </c>
      <c r="AH313" s="493">
        <v>0</v>
      </c>
      <c r="AI313" s="493">
        <v>0</v>
      </c>
      <c r="AJ313" s="493">
        <v>0</v>
      </c>
      <c r="AK313" s="493">
        <v>0</v>
      </c>
      <c r="AL313" s="493">
        <v>0</v>
      </c>
      <c r="AM313" s="493">
        <v>0</v>
      </c>
      <c r="AN313" s="493">
        <v>0</v>
      </c>
      <c r="AO313" s="493">
        <f t="shared" si="336"/>
        <v>0</v>
      </c>
      <c r="AP313" s="493">
        <f t="shared" si="337"/>
        <v>0</v>
      </c>
      <c r="AQ313" s="495">
        <f t="shared" si="342"/>
        <v>0</v>
      </c>
      <c r="AR313" s="501">
        <f>I313+AG313</f>
        <v>6636889</v>
      </c>
      <c r="AS313" s="492">
        <f>J313+V313</f>
        <v>4856767</v>
      </c>
      <c r="AT313" s="492">
        <f t="shared" ref="AT313:AT315" si="405">K313+Z313</f>
        <v>0</v>
      </c>
      <c r="AU313" s="492">
        <f t="shared" ref="AU313:AV315" si="406">L313+AB313</f>
        <v>1641587</v>
      </c>
      <c r="AV313" s="492">
        <f t="shared" si="406"/>
        <v>97135</v>
      </c>
      <c r="AW313" s="492">
        <f>N313+AF313</f>
        <v>41400</v>
      </c>
      <c r="AX313" s="493">
        <f>O313+AQ313</f>
        <v>10.8682</v>
      </c>
      <c r="AY313" s="493">
        <f t="shared" ref="AY313:AZ315" si="407">P313+AO313</f>
        <v>8</v>
      </c>
      <c r="AZ313" s="495">
        <f t="shared" si="407"/>
        <v>2.8681999999999999</v>
      </c>
    </row>
    <row r="314" spans="1:52" ht="14.1" customHeight="1" x14ac:dyDescent="0.2">
      <c r="A314" s="72">
        <v>63</v>
      </c>
      <c r="B314" s="69">
        <v>2403</v>
      </c>
      <c r="C314" s="70">
        <v>600078931</v>
      </c>
      <c r="D314" s="69">
        <v>72744324</v>
      </c>
      <c r="E314" s="71" t="s">
        <v>695</v>
      </c>
      <c r="F314" s="72">
        <v>3111</v>
      </c>
      <c r="G314" s="84" t="s">
        <v>313</v>
      </c>
      <c r="H314" s="73" t="s">
        <v>279</v>
      </c>
      <c r="I314" s="494">
        <v>352854</v>
      </c>
      <c r="J314" s="489">
        <v>259833</v>
      </c>
      <c r="K314" s="489">
        <v>0</v>
      </c>
      <c r="L314" s="489">
        <v>87824</v>
      </c>
      <c r="M314" s="489">
        <v>5197</v>
      </c>
      <c r="N314" s="489">
        <v>0</v>
      </c>
      <c r="O314" s="490">
        <v>0.75</v>
      </c>
      <c r="P314" s="491">
        <v>0.75</v>
      </c>
      <c r="Q314" s="500">
        <v>0</v>
      </c>
      <c r="R314" s="502">
        <f t="shared" si="335"/>
        <v>0</v>
      </c>
      <c r="S314" s="489">
        <v>0</v>
      </c>
      <c r="T314" s="492">
        <v>0</v>
      </c>
      <c r="U314" s="492">
        <v>0</v>
      </c>
      <c r="V314" s="492">
        <f>SUM(R314:U314)</f>
        <v>0</v>
      </c>
      <c r="W314" s="492">
        <v>0</v>
      </c>
      <c r="X314" s="492">
        <v>0</v>
      </c>
      <c r="Y314" s="492">
        <v>0</v>
      </c>
      <c r="Z314" s="492">
        <f t="shared" si="338"/>
        <v>0</v>
      </c>
      <c r="AA314" s="492">
        <f t="shared" si="339"/>
        <v>0</v>
      </c>
      <c r="AB314" s="74">
        <f t="shared" si="340"/>
        <v>0</v>
      </c>
      <c r="AC314" s="74">
        <f t="shared" si="341"/>
        <v>0</v>
      </c>
      <c r="AD314" s="492">
        <v>0</v>
      </c>
      <c r="AE314" s="492">
        <v>0</v>
      </c>
      <c r="AF314" s="492">
        <f>SUM(AD314:AE314)</f>
        <v>0</v>
      </c>
      <c r="AG314" s="492">
        <f>AA314+AB314+AC314+AF314</f>
        <v>0</v>
      </c>
      <c r="AH314" s="493">
        <v>0</v>
      </c>
      <c r="AI314" s="493">
        <v>0</v>
      </c>
      <c r="AJ314" s="493">
        <v>0</v>
      </c>
      <c r="AK314" s="493">
        <v>0</v>
      </c>
      <c r="AL314" s="493">
        <v>0</v>
      </c>
      <c r="AM314" s="493">
        <v>0</v>
      </c>
      <c r="AN314" s="493">
        <v>0</v>
      </c>
      <c r="AO314" s="493">
        <f t="shared" si="336"/>
        <v>0</v>
      </c>
      <c r="AP314" s="493">
        <f t="shared" si="337"/>
        <v>0</v>
      </c>
      <c r="AQ314" s="495">
        <f t="shared" si="342"/>
        <v>0</v>
      </c>
      <c r="AR314" s="501">
        <f>I314+AG314</f>
        <v>352854</v>
      </c>
      <c r="AS314" s="492">
        <f>J314+V314</f>
        <v>259833</v>
      </c>
      <c r="AT314" s="492">
        <f t="shared" si="405"/>
        <v>0</v>
      </c>
      <c r="AU314" s="492">
        <f t="shared" si="406"/>
        <v>87824</v>
      </c>
      <c r="AV314" s="492">
        <f t="shared" si="406"/>
        <v>5197</v>
      </c>
      <c r="AW314" s="492">
        <f>N314+AF314</f>
        <v>0</v>
      </c>
      <c r="AX314" s="493">
        <f>O314+AQ314</f>
        <v>0.75</v>
      </c>
      <c r="AY314" s="493">
        <f t="shared" si="407"/>
        <v>0.75</v>
      </c>
      <c r="AZ314" s="495">
        <f t="shared" si="407"/>
        <v>0</v>
      </c>
    </row>
    <row r="315" spans="1:52" ht="14.1" customHeight="1" x14ac:dyDescent="0.2">
      <c r="A315" s="72">
        <v>63</v>
      </c>
      <c r="B315" s="69">
        <v>2403</v>
      </c>
      <c r="C315" s="70">
        <v>600078931</v>
      </c>
      <c r="D315" s="69">
        <v>72744324</v>
      </c>
      <c r="E315" s="71" t="s">
        <v>695</v>
      </c>
      <c r="F315" s="72">
        <v>3141</v>
      </c>
      <c r="G315" s="71" t="s">
        <v>316</v>
      </c>
      <c r="H315" s="73" t="s">
        <v>279</v>
      </c>
      <c r="I315" s="494">
        <v>1041844</v>
      </c>
      <c r="J315" s="489">
        <v>763261</v>
      </c>
      <c r="K315" s="489">
        <v>0</v>
      </c>
      <c r="L315" s="489">
        <v>257982</v>
      </c>
      <c r="M315" s="489">
        <v>15265</v>
      </c>
      <c r="N315" s="489">
        <v>5336</v>
      </c>
      <c r="O315" s="490">
        <v>2.4</v>
      </c>
      <c r="P315" s="491">
        <v>0</v>
      </c>
      <c r="Q315" s="500">
        <v>2.4</v>
      </c>
      <c r="R315" s="502">
        <f t="shared" si="335"/>
        <v>0</v>
      </c>
      <c r="S315" s="492">
        <v>0</v>
      </c>
      <c r="T315" s="492">
        <v>0</v>
      </c>
      <c r="U315" s="492">
        <v>0</v>
      </c>
      <c r="V315" s="492">
        <f>SUM(R315:U315)</f>
        <v>0</v>
      </c>
      <c r="W315" s="492">
        <v>0</v>
      </c>
      <c r="X315" s="492">
        <v>0</v>
      </c>
      <c r="Y315" s="492">
        <v>0</v>
      </c>
      <c r="Z315" s="492">
        <f t="shared" si="338"/>
        <v>0</v>
      </c>
      <c r="AA315" s="492">
        <f t="shared" si="339"/>
        <v>0</v>
      </c>
      <c r="AB315" s="74">
        <f t="shared" si="340"/>
        <v>0</v>
      </c>
      <c r="AC315" s="74">
        <f t="shared" si="341"/>
        <v>0</v>
      </c>
      <c r="AD315" s="492">
        <v>0</v>
      </c>
      <c r="AE315" s="492">
        <v>0</v>
      </c>
      <c r="AF315" s="492">
        <f>SUM(AD315:AE315)</f>
        <v>0</v>
      </c>
      <c r="AG315" s="492">
        <f>AA315+AB315+AC315+AF315</f>
        <v>0</v>
      </c>
      <c r="AH315" s="493">
        <v>0</v>
      </c>
      <c r="AI315" s="493">
        <v>0</v>
      </c>
      <c r="AJ315" s="493">
        <v>0</v>
      </c>
      <c r="AK315" s="493">
        <v>0</v>
      </c>
      <c r="AL315" s="493">
        <v>0</v>
      </c>
      <c r="AM315" s="493">
        <v>0</v>
      </c>
      <c r="AN315" s="493">
        <v>0</v>
      </c>
      <c r="AO315" s="493">
        <f t="shared" si="336"/>
        <v>0</v>
      </c>
      <c r="AP315" s="493">
        <f t="shared" si="337"/>
        <v>0</v>
      </c>
      <c r="AQ315" s="495">
        <f t="shared" si="342"/>
        <v>0</v>
      </c>
      <c r="AR315" s="501">
        <f>I315+AG315</f>
        <v>1041844</v>
      </c>
      <c r="AS315" s="492">
        <f>J315+V315</f>
        <v>763261</v>
      </c>
      <c r="AT315" s="492">
        <f t="shared" si="405"/>
        <v>0</v>
      </c>
      <c r="AU315" s="492">
        <f t="shared" si="406"/>
        <v>257982</v>
      </c>
      <c r="AV315" s="492">
        <f t="shared" si="406"/>
        <v>15265</v>
      </c>
      <c r="AW315" s="492">
        <f>N315+AF315</f>
        <v>5336</v>
      </c>
      <c r="AX315" s="493">
        <f>O315+AQ315</f>
        <v>2.4</v>
      </c>
      <c r="AY315" s="493">
        <f t="shared" si="407"/>
        <v>0</v>
      </c>
      <c r="AZ315" s="495">
        <f t="shared" si="407"/>
        <v>2.4</v>
      </c>
    </row>
    <row r="316" spans="1:52" ht="14.1" customHeight="1" x14ac:dyDescent="0.2">
      <c r="A316" s="78">
        <v>63</v>
      </c>
      <c r="B316" s="75">
        <v>2403</v>
      </c>
      <c r="C316" s="76">
        <v>600078931</v>
      </c>
      <c r="D316" s="75">
        <v>72744324</v>
      </c>
      <c r="E316" s="77" t="s">
        <v>696</v>
      </c>
      <c r="F316" s="78"/>
      <c r="G316" s="77"/>
      <c r="H316" s="79"/>
      <c r="I316" s="80">
        <v>8031587</v>
      </c>
      <c r="J316" s="81">
        <v>5879861</v>
      </c>
      <c r="K316" s="81">
        <v>0</v>
      </c>
      <c r="L316" s="81">
        <v>1987393</v>
      </c>
      <c r="M316" s="81">
        <v>117597</v>
      </c>
      <c r="N316" s="81">
        <v>46736</v>
      </c>
      <c r="O316" s="82">
        <v>14.0182</v>
      </c>
      <c r="P316" s="82">
        <v>8.75</v>
      </c>
      <c r="Q316" s="452">
        <v>5.2682000000000002</v>
      </c>
      <c r="R316" s="80">
        <f t="shared" ref="R316:AZ316" si="408">SUM(R313:R315)</f>
        <v>0</v>
      </c>
      <c r="S316" s="81">
        <f t="shared" si="408"/>
        <v>0</v>
      </c>
      <c r="T316" s="81">
        <f t="shared" si="408"/>
        <v>0</v>
      </c>
      <c r="U316" s="81">
        <f t="shared" si="408"/>
        <v>0</v>
      </c>
      <c r="V316" s="81">
        <f t="shared" si="408"/>
        <v>0</v>
      </c>
      <c r="W316" s="81">
        <f t="shared" si="408"/>
        <v>0</v>
      </c>
      <c r="X316" s="81">
        <f t="shared" si="408"/>
        <v>0</v>
      </c>
      <c r="Y316" s="81">
        <f t="shared" si="408"/>
        <v>0</v>
      </c>
      <c r="Z316" s="81">
        <f t="shared" si="408"/>
        <v>0</v>
      </c>
      <c r="AA316" s="81">
        <f t="shared" si="408"/>
        <v>0</v>
      </c>
      <c r="AB316" s="81">
        <f t="shared" si="408"/>
        <v>0</v>
      </c>
      <c r="AC316" s="81">
        <f t="shared" si="408"/>
        <v>0</v>
      </c>
      <c r="AD316" s="81">
        <f t="shared" si="408"/>
        <v>0</v>
      </c>
      <c r="AE316" s="81">
        <f t="shared" si="408"/>
        <v>0</v>
      </c>
      <c r="AF316" s="81">
        <f t="shared" si="408"/>
        <v>0</v>
      </c>
      <c r="AG316" s="81">
        <f t="shared" si="408"/>
        <v>0</v>
      </c>
      <c r="AH316" s="82">
        <f t="shared" si="408"/>
        <v>0</v>
      </c>
      <c r="AI316" s="82">
        <f t="shared" si="408"/>
        <v>0</v>
      </c>
      <c r="AJ316" s="82">
        <f t="shared" si="408"/>
        <v>0</v>
      </c>
      <c r="AK316" s="82">
        <f t="shared" ref="AK316:AL316" si="409">SUM(AK313:AK315)</f>
        <v>0</v>
      </c>
      <c r="AL316" s="82">
        <f t="shared" si="409"/>
        <v>0</v>
      </c>
      <c r="AM316" s="82">
        <f t="shared" si="408"/>
        <v>0</v>
      </c>
      <c r="AN316" s="82">
        <f t="shared" si="408"/>
        <v>0</v>
      </c>
      <c r="AO316" s="82">
        <f t="shared" si="408"/>
        <v>0</v>
      </c>
      <c r="AP316" s="82">
        <f t="shared" si="408"/>
        <v>0</v>
      </c>
      <c r="AQ316" s="83">
        <f t="shared" si="408"/>
        <v>0</v>
      </c>
      <c r="AR316" s="438">
        <f t="shared" si="408"/>
        <v>8031587</v>
      </c>
      <c r="AS316" s="81">
        <f t="shared" si="408"/>
        <v>5879861</v>
      </c>
      <c r="AT316" s="81">
        <f t="shared" si="408"/>
        <v>0</v>
      </c>
      <c r="AU316" s="81">
        <f t="shared" si="408"/>
        <v>1987393</v>
      </c>
      <c r="AV316" s="81">
        <f t="shared" si="408"/>
        <v>117597</v>
      </c>
      <c r="AW316" s="81">
        <f t="shared" si="408"/>
        <v>46736</v>
      </c>
      <c r="AX316" s="82">
        <f t="shared" si="408"/>
        <v>14.0182</v>
      </c>
      <c r="AY316" s="82">
        <f t="shared" si="408"/>
        <v>8.75</v>
      </c>
      <c r="AZ316" s="83">
        <f t="shared" si="408"/>
        <v>5.2682000000000002</v>
      </c>
    </row>
    <row r="317" spans="1:52" ht="14.1" customHeight="1" x14ac:dyDescent="0.2">
      <c r="A317" s="72">
        <v>64</v>
      </c>
      <c r="B317" s="69">
        <v>2458</v>
      </c>
      <c r="C317" s="70">
        <v>600079741</v>
      </c>
      <c r="D317" s="69">
        <v>72744243</v>
      </c>
      <c r="E317" s="71" t="s">
        <v>697</v>
      </c>
      <c r="F317" s="72">
        <v>3113</v>
      </c>
      <c r="G317" s="71" t="s">
        <v>315</v>
      </c>
      <c r="H317" s="73" t="s">
        <v>278</v>
      </c>
      <c r="I317" s="494">
        <v>22684055</v>
      </c>
      <c r="J317" s="489">
        <v>16351725</v>
      </c>
      <c r="K317" s="489">
        <v>5525</v>
      </c>
      <c r="L317" s="489">
        <v>5528751</v>
      </c>
      <c r="M317" s="489">
        <v>327034</v>
      </c>
      <c r="N317" s="489">
        <v>471020</v>
      </c>
      <c r="O317" s="490">
        <v>30.991799999999998</v>
      </c>
      <c r="P317" s="490">
        <v>23.409199999999998</v>
      </c>
      <c r="Q317" s="500">
        <v>7.5826000000000002</v>
      </c>
      <c r="R317" s="502">
        <f t="shared" si="335"/>
        <v>0</v>
      </c>
      <c r="S317" s="492">
        <v>0</v>
      </c>
      <c r="T317" s="492">
        <v>0</v>
      </c>
      <c r="U317" s="492">
        <v>0</v>
      </c>
      <c r="V317" s="492">
        <f>SUM(R317:U317)</f>
        <v>0</v>
      </c>
      <c r="W317" s="492">
        <v>0</v>
      </c>
      <c r="X317" s="492">
        <v>0</v>
      </c>
      <c r="Y317" s="492">
        <v>0</v>
      </c>
      <c r="Z317" s="492">
        <f t="shared" si="338"/>
        <v>0</v>
      </c>
      <c r="AA317" s="492">
        <f t="shared" si="339"/>
        <v>0</v>
      </c>
      <c r="AB317" s="74">
        <f t="shared" si="340"/>
        <v>0</v>
      </c>
      <c r="AC317" s="74">
        <f t="shared" si="341"/>
        <v>0</v>
      </c>
      <c r="AD317" s="492">
        <v>0</v>
      </c>
      <c r="AE317" s="492">
        <v>0</v>
      </c>
      <c r="AF317" s="492">
        <f>SUM(AD317:AE317)</f>
        <v>0</v>
      </c>
      <c r="AG317" s="492">
        <f>AA317+AB317+AC317+AF317</f>
        <v>0</v>
      </c>
      <c r="AH317" s="493">
        <v>0</v>
      </c>
      <c r="AI317" s="493">
        <v>0</v>
      </c>
      <c r="AJ317" s="493">
        <v>0</v>
      </c>
      <c r="AK317" s="493">
        <v>0</v>
      </c>
      <c r="AL317" s="493">
        <v>0</v>
      </c>
      <c r="AM317" s="493">
        <v>0</v>
      </c>
      <c r="AN317" s="493">
        <v>0</v>
      </c>
      <c r="AO317" s="493">
        <f t="shared" si="336"/>
        <v>0</v>
      </c>
      <c r="AP317" s="493">
        <f t="shared" si="337"/>
        <v>0</v>
      </c>
      <c r="AQ317" s="495">
        <f t="shared" si="342"/>
        <v>0</v>
      </c>
      <c r="AR317" s="501">
        <f>I317+AG317</f>
        <v>22684055</v>
      </c>
      <c r="AS317" s="492">
        <f>J317+V317</f>
        <v>16351725</v>
      </c>
      <c r="AT317" s="492">
        <f t="shared" ref="AT317:AT321" si="410">K317+Z317</f>
        <v>5525</v>
      </c>
      <c r="AU317" s="492">
        <f t="shared" ref="AU317:AV321" si="411">L317+AB317</f>
        <v>5528751</v>
      </c>
      <c r="AV317" s="492">
        <f t="shared" si="411"/>
        <v>327034</v>
      </c>
      <c r="AW317" s="492">
        <f>N317+AF317</f>
        <v>471020</v>
      </c>
      <c r="AX317" s="493">
        <f>O317+AQ317</f>
        <v>30.991799999999998</v>
      </c>
      <c r="AY317" s="493">
        <f t="shared" ref="AY317:AZ321" si="412">P317+AO317</f>
        <v>23.409199999999998</v>
      </c>
      <c r="AZ317" s="495">
        <f t="shared" si="412"/>
        <v>7.5826000000000002</v>
      </c>
    </row>
    <row r="318" spans="1:52" ht="14.1" customHeight="1" x14ac:dyDescent="0.2">
      <c r="A318" s="72">
        <v>64</v>
      </c>
      <c r="B318" s="69">
        <v>2458</v>
      </c>
      <c r="C318" s="70">
        <v>600079741</v>
      </c>
      <c r="D318" s="69">
        <v>72744243</v>
      </c>
      <c r="E318" s="71" t="s">
        <v>697</v>
      </c>
      <c r="F318" s="72">
        <v>3113</v>
      </c>
      <c r="G318" s="84" t="s">
        <v>313</v>
      </c>
      <c r="H318" s="73" t="s">
        <v>279</v>
      </c>
      <c r="I318" s="494">
        <v>1054473</v>
      </c>
      <c r="J318" s="489">
        <v>773765</v>
      </c>
      <c r="K318" s="489">
        <v>0</v>
      </c>
      <c r="L318" s="489">
        <v>261533</v>
      </c>
      <c r="M318" s="489">
        <v>15475</v>
      </c>
      <c r="N318" s="489">
        <v>3700</v>
      </c>
      <c r="O318" s="490">
        <v>2.2200000000000002</v>
      </c>
      <c r="P318" s="491">
        <v>2.2200000000000002</v>
      </c>
      <c r="Q318" s="500">
        <v>0</v>
      </c>
      <c r="R318" s="502">
        <f t="shared" si="335"/>
        <v>0</v>
      </c>
      <c r="S318" s="489">
        <v>0</v>
      </c>
      <c r="T318" s="492">
        <v>0</v>
      </c>
      <c r="U318" s="492">
        <v>0</v>
      </c>
      <c r="V318" s="492">
        <f>SUM(R318:U318)</f>
        <v>0</v>
      </c>
      <c r="W318" s="492">
        <v>0</v>
      </c>
      <c r="X318" s="492">
        <v>0</v>
      </c>
      <c r="Y318" s="492">
        <v>0</v>
      </c>
      <c r="Z318" s="492">
        <f t="shared" si="338"/>
        <v>0</v>
      </c>
      <c r="AA318" s="492">
        <f t="shared" si="339"/>
        <v>0</v>
      </c>
      <c r="AB318" s="74">
        <f t="shared" si="340"/>
        <v>0</v>
      </c>
      <c r="AC318" s="74">
        <f t="shared" si="341"/>
        <v>0</v>
      </c>
      <c r="AD318" s="492">
        <v>0</v>
      </c>
      <c r="AE318" s="492">
        <v>0</v>
      </c>
      <c r="AF318" s="492">
        <f>SUM(AD318:AE318)</f>
        <v>0</v>
      </c>
      <c r="AG318" s="492">
        <f>AA318+AB318+AC318+AF318</f>
        <v>0</v>
      </c>
      <c r="AH318" s="493">
        <v>0</v>
      </c>
      <c r="AI318" s="493">
        <v>0</v>
      </c>
      <c r="AJ318" s="493">
        <v>0</v>
      </c>
      <c r="AK318" s="493">
        <v>0</v>
      </c>
      <c r="AL318" s="493">
        <v>0</v>
      </c>
      <c r="AM318" s="493">
        <v>0</v>
      </c>
      <c r="AN318" s="493">
        <v>0</v>
      </c>
      <c r="AO318" s="493">
        <f t="shared" si="336"/>
        <v>0</v>
      </c>
      <c r="AP318" s="493">
        <f t="shared" si="337"/>
        <v>0</v>
      </c>
      <c r="AQ318" s="495">
        <f t="shared" si="342"/>
        <v>0</v>
      </c>
      <c r="AR318" s="501">
        <f>I318+AG318</f>
        <v>1054473</v>
      </c>
      <c r="AS318" s="492">
        <f>J318+V318</f>
        <v>773765</v>
      </c>
      <c r="AT318" s="492">
        <f t="shared" si="410"/>
        <v>0</v>
      </c>
      <c r="AU318" s="492">
        <f t="shared" si="411"/>
        <v>261533</v>
      </c>
      <c r="AV318" s="492">
        <f t="shared" si="411"/>
        <v>15475</v>
      </c>
      <c r="AW318" s="492">
        <f>N318+AF318</f>
        <v>3700</v>
      </c>
      <c r="AX318" s="493">
        <f>O318+AQ318</f>
        <v>2.2200000000000002</v>
      </c>
      <c r="AY318" s="493">
        <f t="shared" si="412"/>
        <v>2.2200000000000002</v>
      </c>
      <c r="AZ318" s="495">
        <f t="shared" si="412"/>
        <v>0</v>
      </c>
    </row>
    <row r="319" spans="1:52" ht="14.1" customHeight="1" x14ac:dyDescent="0.2">
      <c r="A319" s="72">
        <v>64</v>
      </c>
      <c r="B319" s="69">
        <v>2458</v>
      </c>
      <c r="C319" s="70">
        <v>600079741</v>
      </c>
      <c r="D319" s="69">
        <v>72744243</v>
      </c>
      <c r="E319" s="71" t="s">
        <v>697</v>
      </c>
      <c r="F319" s="72">
        <v>3141</v>
      </c>
      <c r="G319" s="71" t="s">
        <v>316</v>
      </c>
      <c r="H319" s="73" t="s">
        <v>279</v>
      </c>
      <c r="I319" s="494">
        <v>2170439</v>
      </c>
      <c r="J319" s="489">
        <v>1585752</v>
      </c>
      <c r="K319" s="489">
        <v>0</v>
      </c>
      <c r="L319" s="489">
        <v>535984</v>
      </c>
      <c r="M319" s="489">
        <v>31715</v>
      </c>
      <c r="N319" s="489">
        <v>16988</v>
      </c>
      <c r="O319" s="490">
        <v>4.99</v>
      </c>
      <c r="P319" s="491">
        <v>0</v>
      </c>
      <c r="Q319" s="500">
        <v>4.99</v>
      </c>
      <c r="R319" s="502">
        <f t="shared" si="335"/>
        <v>0</v>
      </c>
      <c r="S319" s="492">
        <v>0</v>
      </c>
      <c r="T319" s="492">
        <v>0</v>
      </c>
      <c r="U319" s="492">
        <v>0</v>
      </c>
      <c r="V319" s="492">
        <f>SUM(R319:U319)</f>
        <v>0</v>
      </c>
      <c r="W319" s="492">
        <v>0</v>
      </c>
      <c r="X319" s="492">
        <v>0</v>
      </c>
      <c r="Y319" s="492">
        <v>0</v>
      </c>
      <c r="Z319" s="492">
        <f t="shared" si="338"/>
        <v>0</v>
      </c>
      <c r="AA319" s="492">
        <f t="shared" si="339"/>
        <v>0</v>
      </c>
      <c r="AB319" s="74">
        <f t="shared" si="340"/>
        <v>0</v>
      </c>
      <c r="AC319" s="74">
        <f t="shared" si="341"/>
        <v>0</v>
      </c>
      <c r="AD319" s="492">
        <v>0</v>
      </c>
      <c r="AE319" s="492">
        <v>0</v>
      </c>
      <c r="AF319" s="492">
        <f>SUM(AD319:AE319)</f>
        <v>0</v>
      </c>
      <c r="AG319" s="492">
        <f>AA319+AB319+AC319+AF319</f>
        <v>0</v>
      </c>
      <c r="AH319" s="493">
        <v>0</v>
      </c>
      <c r="AI319" s="493">
        <v>0</v>
      </c>
      <c r="AJ319" s="493">
        <v>0</v>
      </c>
      <c r="AK319" s="493">
        <v>0</v>
      </c>
      <c r="AL319" s="493">
        <v>0</v>
      </c>
      <c r="AM319" s="493">
        <v>0</v>
      </c>
      <c r="AN319" s="493">
        <v>0</v>
      </c>
      <c r="AO319" s="493">
        <f t="shared" si="336"/>
        <v>0</v>
      </c>
      <c r="AP319" s="493">
        <f t="shared" si="337"/>
        <v>0</v>
      </c>
      <c r="AQ319" s="495">
        <f t="shared" si="342"/>
        <v>0</v>
      </c>
      <c r="AR319" s="501">
        <f>I319+AG319</f>
        <v>2170439</v>
      </c>
      <c r="AS319" s="492">
        <f>J319+V319</f>
        <v>1585752</v>
      </c>
      <c r="AT319" s="492">
        <f t="shared" si="410"/>
        <v>0</v>
      </c>
      <c r="AU319" s="492">
        <f t="shared" si="411"/>
        <v>535984</v>
      </c>
      <c r="AV319" s="492">
        <f t="shared" si="411"/>
        <v>31715</v>
      </c>
      <c r="AW319" s="492">
        <f>N319+AF319</f>
        <v>16988</v>
      </c>
      <c r="AX319" s="493">
        <f>O319+AQ319</f>
        <v>4.99</v>
      </c>
      <c r="AY319" s="493">
        <f t="shared" si="412"/>
        <v>0</v>
      </c>
      <c r="AZ319" s="495">
        <f t="shared" si="412"/>
        <v>4.99</v>
      </c>
    </row>
    <row r="320" spans="1:52" ht="14.1" customHeight="1" x14ac:dyDescent="0.2">
      <c r="A320" s="72">
        <v>64</v>
      </c>
      <c r="B320" s="69">
        <v>2458</v>
      </c>
      <c r="C320" s="70">
        <v>600079741</v>
      </c>
      <c r="D320" s="69">
        <v>72744243</v>
      </c>
      <c r="E320" s="71" t="s">
        <v>697</v>
      </c>
      <c r="F320" s="72">
        <v>3143</v>
      </c>
      <c r="G320" s="84" t="s">
        <v>629</v>
      </c>
      <c r="H320" s="73" t="s">
        <v>278</v>
      </c>
      <c r="I320" s="494">
        <v>1974420</v>
      </c>
      <c r="J320" s="489">
        <v>1453918</v>
      </c>
      <c r="K320" s="489">
        <v>0</v>
      </c>
      <c r="L320" s="489">
        <v>491424</v>
      </c>
      <c r="M320" s="489">
        <v>29078</v>
      </c>
      <c r="N320" s="489">
        <v>0</v>
      </c>
      <c r="O320" s="490">
        <v>3.1179999999999999</v>
      </c>
      <c r="P320" s="490">
        <v>3.1179999999999999</v>
      </c>
      <c r="Q320" s="500">
        <v>0</v>
      </c>
      <c r="R320" s="502">
        <f t="shared" si="335"/>
        <v>0</v>
      </c>
      <c r="S320" s="492">
        <v>0</v>
      </c>
      <c r="T320" s="492">
        <v>0</v>
      </c>
      <c r="U320" s="492">
        <v>0</v>
      </c>
      <c r="V320" s="492">
        <f>SUM(R320:U320)</f>
        <v>0</v>
      </c>
      <c r="W320" s="492">
        <v>0</v>
      </c>
      <c r="X320" s="492">
        <v>0</v>
      </c>
      <c r="Y320" s="492">
        <v>0</v>
      </c>
      <c r="Z320" s="492">
        <f t="shared" si="338"/>
        <v>0</v>
      </c>
      <c r="AA320" s="492">
        <f t="shared" si="339"/>
        <v>0</v>
      </c>
      <c r="AB320" s="74">
        <f t="shared" si="340"/>
        <v>0</v>
      </c>
      <c r="AC320" s="74">
        <f t="shared" si="341"/>
        <v>0</v>
      </c>
      <c r="AD320" s="492">
        <v>0</v>
      </c>
      <c r="AE320" s="492">
        <v>0</v>
      </c>
      <c r="AF320" s="492">
        <f>SUM(AD320:AE320)</f>
        <v>0</v>
      </c>
      <c r="AG320" s="492">
        <f>AA320+AB320+AC320+AF320</f>
        <v>0</v>
      </c>
      <c r="AH320" s="493">
        <v>0</v>
      </c>
      <c r="AI320" s="493">
        <v>0</v>
      </c>
      <c r="AJ320" s="493">
        <v>0</v>
      </c>
      <c r="AK320" s="493">
        <v>0</v>
      </c>
      <c r="AL320" s="493">
        <v>0</v>
      </c>
      <c r="AM320" s="493">
        <v>0</v>
      </c>
      <c r="AN320" s="493">
        <v>0</v>
      </c>
      <c r="AO320" s="493">
        <f t="shared" si="336"/>
        <v>0</v>
      </c>
      <c r="AP320" s="493">
        <f t="shared" si="337"/>
        <v>0</v>
      </c>
      <c r="AQ320" s="495">
        <f t="shared" si="342"/>
        <v>0</v>
      </c>
      <c r="AR320" s="501">
        <f>I320+AG320</f>
        <v>1974420</v>
      </c>
      <c r="AS320" s="492">
        <f>J320+V320</f>
        <v>1453918</v>
      </c>
      <c r="AT320" s="492">
        <f t="shared" si="410"/>
        <v>0</v>
      </c>
      <c r="AU320" s="492">
        <f t="shared" si="411"/>
        <v>491424</v>
      </c>
      <c r="AV320" s="492">
        <f t="shared" si="411"/>
        <v>29078</v>
      </c>
      <c r="AW320" s="492">
        <f>N320+AF320</f>
        <v>0</v>
      </c>
      <c r="AX320" s="493">
        <f>O320+AQ320</f>
        <v>3.1179999999999999</v>
      </c>
      <c r="AY320" s="493">
        <f t="shared" si="412"/>
        <v>3.1179999999999999</v>
      </c>
      <c r="AZ320" s="495">
        <f t="shared" si="412"/>
        <v>0</v>
      </c>
    </row>
    <row r="321" spans="1:52" ht="14.1" customHeight="1" x14ac:dyDescent="0.2">
      <c r="A321" s="72">
        <v>64</v>
      </c>
      <c r="B321" s="69">
        <v>2458</v>
      </c>
      <c r="C321" s="70">
        <v>600079741</v>
      </c>
      <c r="D321" s="69">
        <v>72744243</v>
      </c>
      <c r="E321" s="71" t="s">
        <v>697</v>
      </c>
      <c r="F321" s="72">
        <v>3143</v>
      </c>
      <c r="G321" s="84" t="s">
        <v>630</v>
      </c>
      <c r="H321" s="73" t="s">
        <v>279</v>
      </c>
      <c r="I321" s="494">
        <v>64260</v>
      </c>
      <c r="J321" s="489">
        <v>45442</v>
      </c>
      <c r="K321" s="489">
        <v>0</v>
      </c>
      <c r="L321" s="489">
        <v>15359</v>
      </c>
      <c r="M321" s="489">
        <v>909</v>
      </c>
      <c r="N321" s="489">
        <v>2550</v>
      </c>
      <c r="O321" s="490">
        <v>0.18</v>
      </c>
      <c r="P321" s="491">
        <v>0</v>
      </c>
      <c r="Q321" s="500">
        <v>0.18</v>
      </c>
      <c r="R321" s="502">
        <f t="shared" si="335"/>
        <v>0</v>
      </c>
      <c r="S321" s="492">
        <v>0</v>
      </c>
      <c r="T321" s="492">
        <v>0</v>
      </c>
      <c r="U321" s="492">
        <v>0</v>
      </c>
      <c r="V321" s="492">
        <f>SUM(R321:U321)</f>
        <v>0</v>
      </c>
      <c r="W321" s="492">
        <v>0</v>
      </c>
      <c r="X321" s="492">
        <v>0</v>
      </c>
      <c r="Y321" s="492">
        <v>0</v>
      </c>
      <c r="Z321" s="492">
        <f t="shared" si="338"/>
        <v>0</v>
      </c>
      <c r="AA321" s="492">
        <f t="shared" si="339"/>
        <v>0</v>
      </c>
      <c r="AB321" s="74">
        <f t="shared" si="340"/>
        <v>0</v>
      </c>
      <c r="AC321" s="74">
        <f t="shared" si="341"/>
        <v>0</v>
      </c>
      <c r="AD321" s="492">
        <v>0</v>
      </c>
      <c r="AE321" s="492">
        <v>0</v>
      </c>
      <c r="AF321" s="492">
        <f>SUM(AD321:AE321)</f>
        <v>0</v>
      </c>
      <c r="AG321" s="492">
        <f>AA321+AB321+AC321+AF321</f>
        <v>0</v>
      </c>
      <c r="AH321" s="493">
        <v>0</v>
      </c>
      <c r="AI321" s="493">
        <v>0</v>
      </c>
      <c r="AJ321" s="493">
        <v>0</v>
      </c>
      <c r="AK321" s="493">
        <v>0</v>
      </c>
      <c r="AL321" s="493">
        <v>0</v>
      </c>
      <c r="AM321" s="493">
        <v>0</v>
      </c>
      <c r="AN321" s="493">
        <v>0</v>
      </c>
      <c r="AO321" s="493">
        <f t="shared" si="336"/>
        <v>0</v>
      </c>
      <c r="AP321" s="493">
        <f t="shared" si="337"/>
        <v>0</v>
      </c>
      <c r="AQ321" s="495">
        <f t="shared" si="342"/>
        <v>0</v>
      </c>
      <c r="AR321" s="501">
        <f>I321+AG321</f>
        <v>64260</v>
      </c>
      <c r="AS321" s="492">
        <f>J321+V321</f>
        <v>45442</v>
      </c>
      <c r="AT321" s="492">
        <f t="shared" si="410"/>
        <v>0</v>
      </c>
      <c r="AU321" s="492">
        <f t="shared" si="411"/>
        <v>15359</v>
      </c>
      <c r="AV321" s="492">
        <f t="shared" si="411"/>
        <v>909</v>
      </c>
      <c r="AW321" s="492">
        <f>N321+AF321</f>
        <v>2550</v>
      </c>
      <c r="AX321" s="493">
        <f>O321+AQ321</f>
        <v>0.18</v>
      </c>
      <c r="AY321" s="493">
        <f t="shared" si="412"/>
        <v>0</v>
      </c>
      <c r="AZ321" s="495">
        <f t="shared" si="412"/>
        <v>0.18</v>
      </c>
    </row>
    <row r="322" spans="1:52" ht="14.1" customHeight="1" x14ac:dyDescent="0.2">
      <c r="A322" s="78">
        <v>64</v>
      </c>
      <c r="B322" s="75">
        <v>2458</v>
      </c>
      <c r="C322" s="76">
        <v>600079741</v>
      </c>
      <c r="D322" s="75">
        <v>72744243</v>
      </c>
      <c r="E322" s="77" t="s">
        <v>698</v>
      </c>
      <c r="F322" s="78"/>
      <c r="G322" s="77"/>
      <c r="H322" s="79"/>
      <c r="I322" s="80">
        <v>27947647</v>
      </c>
      <c r="J322" s="81">
        <v>20210602</v>
      </c>
      <c r="K322" s="81">
        <v>5525</v>
      </c>
      <c r="L322" s="81">
        <v>6833051</v>
      </c>
      <c r="M322" s="81">
        <v>404211</v>
      </c>
      <c r="N322" s="81">
        <v>494258</v>
      </c>
      <c r="O322" s="82">
        <v>41.4998</v>
      </c>
      <c r="P322" s="82">
        <v>28.747199999999996</v>
      </c>
      <c r="Q322" s="452">
        <v>12.752600000000001</v>
      </c>
      <c r="R322" s="80">
        <f t="shared" ref="R322:AZ322" si="413">SUM(R317:R321)</f>
        <v>0</v>
      </c>
      <c r="S322" s="81">
        <f t="shared" si="413"/>
        <v>0</v>
      </c>
      <c r="T322" s="81">
        <f t="shared" si="413"/>
        <v>0</v>
      </c>
      <c r="U322" s="81">
        <f t="shared" si="413"/>
        <v>0</v>
      </c>
      <c r="V322" s="81">
        <f t="shared" si="413"/>
        <v>0</v>
      </c>
      <c r="W322" s="81">
        <f t="shared" si="413"/>
        <v>0</v>
      </c>
      <c r="X322" s="81">
        <f t="shared" si="413"/>
        <v>0</v>
      </c>
      <c r="Y322" s="81">
        <f t="shared" si="413"/>
        <v>0</v>
      </c>
      <c r="Z322" s="81">
        <f t="shared" si="413"/>
        <v>0</v>
      </c>
      <c r="AA322" s="81">
        <f t="shared" si="413"/>
        <v>0</v>
      </c>
      <c r="AB322" s="81">
        <f t="shared" si="413"/>
        <v>0</v>
      </c>
      <c r="AC322" s="81">
        <f t="shared" si="413"/>
        <v>0</v>
      </c>
      <c r="AD322" s="81">
        <f t="shared" si="413"/>
        <v>0</v>
      </c>
      <c r="AE322" s="81">
        <f t="shared" si="413"/>
        <v>0</v>
      </c>
      <c r="AF322" s="81">
        <f t="shared" si="413"/>
        <v>0</v>
      </c>
      <c r="AG322" s="81">
        <f t="shared" si="413"/>
        <v>0</v>
      </c>
      <c r="AH322" s="82">
        <f t="shared" si="413"/>
        <v>0</v>
      </c>
      <c r="AI322" s="82">
        <f t="shared" si="413"/>
        <v>0</v>
      </c>
      <c r="AJ322" s="82">
        <f t="shared" si="413"/>
        <v>0</v>
      </c>
      <c r="AK322" s="82">
        <f t="shared" ref="AK322:AL322" si="414">SUM(AK317:AK321)</f>
        <v>0</v>
      </c>
      <c r="AL322" s="82">
        <f t="shared" si="414"/>
        <v>0</v>
      </c>
      <c r="AM322" s="82">
        <f t="shared" si="413"/>
        <v>0</v>
      </c>
      <c r="AN322" s="82">
        <f t="shared" si="413"/>
        <v>0</v>
      </c>
      <c r="AO322" s="82">
        <f t="shared" si="413"/>
        <v>0</v>
      </c>
      <c r="AP322" s="82">
        <f t="shared" si="413"/>
        <v>0</v>
      </c>
      <c r="AQ322" s="83">
        <f t="shared" si="413"/>
        <v>0</v>
      </c>
      <c r="AR322" s="438">
        <f t="shared" si="413"/>
        <v>27947647</v>
      </c>
      <c r="AS322" s="81">
        <f t="shared" si="413"/>
        <v>20210602</v>
      </c>
      <c r="AT322" s="81">
        <f t="shared" si="413"/>
        <v>5525</v>
      </c>
      <c r="AU322" s="81">
        <f t="shared" si="413"/>
        <v>6833051</v>
      </c>
      <c r="AV322" s="81">
        <f t="shared" si="413"/>
        <v>404211</v>
      </c>
      <c r="AW322" s="81">
        <f t="shared" si="413"/>
        <v>494258</v>
      </c>
      <c r="AX322" s="82">
        <f t="shared" si="413"/>
        <v>41.4998</v>
      </c>
      <c r="AY322" s="82">
        <f t="shared" si="413"/>
        <v>28.747199999999996</v>
      </c>
      <c r="AZ322" s="83">
        <f t="shared" si="413"/>
        <v>12.752600000000001</v>
      </c>
    </row>
    <row r="323" spans="1:52" ht="14.1" customHeight="1" x14ac:dyDescent="0.2">
      <c r="A323" s="72">
        <v>65</v>
      </c>
      <c r="B323" s="69">
        <v>2316</v>
      </c>
      <c r="C323" s="70">
        <v>600080439</v>
      </c>
      <c r="D323" s="69">
        <v>70983224</v>
      </c>
      <c r="E323" s="71" t="s">
        <v>699</v>
      </c>
      <c r="F323" s="72">
        <v>3233</v>
      </c>
      <c r="G323" s="71" t="s">
        <v>319</v>
      </c>
      <c r="H323" s="73" t="s">
        <v>279</v>
      </c>
      <c r="I323" s="494">
        <v>2112638</v>
      </c>
      <c r="J323" s="489">
        <v>1541358</v>
      </c>
      <c r="K323" s="489">
        <v>13000</v>
      </c>
      <c r="L323" s="489">
        <v>525373</v>
      </c>
      <c r="M323" s="489">
        <v>30827</v>
      </c>
      <c r="N323" s="489">
        <v>2080</v>
      </c>
      <c r="O323" s="490">
        <v>3.2899999999999996</v>
      </c>
      <c r="P323" s="491">
        <v>2.34</v>
      </c>
      <c r="Q323" s="500">
        <v>0.95</v>
      </c>
      <c r="R323" s="502">
        <f t="shared" si="335"/>
        <v>0</v>
      </c>
      <c r="S323" s="492">
        <v>0</v>
      </c>
      <c r="T323" s="492">
        <v>0</v>
      </c>
      <c r="U323" s="492">
        <v>0</v>
      </c>
      <c r="V323" s="492">
        <f>SUM(R323:U323)</f>
        <v>0</v>
      </c>
      <c r="W323" s="492">
        <v>0</v>
      </c>
      <c r="X323" s="492">
        <v>0</v>
      </c>
      <c r="Y323" s="492">
        <v>0</v>
      </c>
      <c r="Z323" s="492">
        <f t="shared" si="338"/>
        <v>0</v>
      </c>
      <c r="AA323" s="492">
        <f t="shared" si="339"/>
        <v>0</v>
      </c>
      <c r="AB323" s="74">
        <f t="shared" si="340"/>
        <v>0</v>
      </c>
      <c r="AC323" s="74">
        <f t="shared" si="341"/>
        <v>0</v>
      </c>
      <c r="AD323" s="492">
        <v>0</v>
      </c>
      <c r="AE323" s="492">
        <v>12220</v>
      </c>
      <c r="AF323" s="492">
        <f>SUM(AD323:AE323)</f>
        <v>12220</v>
      </c>
      <c r="AG323" s="492">
        <f>AA323+AB323+AC323+AF323</f>
        <v>12220</v>
      </c>
      <c r="AH323" s="493">
        <v>0</v>
      </c>
      <c r="AI323" s="493">
        <v>0</v>
      </c>
      <c r="AJ323" s="493">
        <v>0</v>
      </c>
      <c r="AK323" s="493">
        <v>0</v>
      </c>
      <c r="AL323" s="493">
        <v>0</v>
      </c>
      <c r="AM323" s="493">
        <v>0</v>
      </c>
      <c r="AN323" s="493">
        <v>0</v>
      </c>
      <c r="AO323" s="493">
        <f t="shared" si="336"/>
        <v>0</v>
      </c>
      <c r="AP323" s="493">
        <f t="shared" si="337"/>
        <v>0</v>
      </c>
      <c r="AQ323" s="495">
        <f t="shared" si="342"/>
        <v>0</v>
      </c>
      <c r="AR323" s="501">
        <f>I323+AG323</f>
        <v>2124858</v>
      </c>
      <c r="AS323" s="492">
        <f>J323+V323</f>
        <v>1541358</v>
      </c>
      <c r="AT323" s="492">
        <f>K323+Z323</f>
        <v>13000</v>
      </c>
      <c r="AU323" s="492">
        <f>L323+AB323</f>
        <v>525373</v>
      </c>
      <c r="AV323" s="492">
        <f>M323+AC323</f>
        <v>30827</v>
      </c>
      <c r="AW323" s="492">
        <f>N323+AF323</f>
        <v>14300</v>
      </c>
      <c r="AX323" s="493">
        <f>O323+AQ323</f>
        <v>3.2899999999999996</v>
      </c>
      <c r="AY323" s="493">
        <f>P323+AO323</f>
        <v>2.34</v>
      </c>
      <c r="AZ323" s="495">
        <f>Q323+AP323</f>
        <v>0.95</v>
      </c>
    </row>
    <row r="324" spans="1:52" ht="14.1" customHeight="1" x14ac:dyDescent="0.2">
      <c r="A324" s="78">
        <v>65</v>
      </c>
      <c r="B324" s="75">
        <v>2316</v>
      </c>
      <c r="C324" s="76">
        <v>600080439</v>
      </c>
      <c r="D324" s="75">
        <v>70983224</v>
      </c>
      <c r="E324" s="77" t="s">
        <v>700</v>
      </c>
      <c r="F324" s="78"/>
      <c r="G324" s="77"/>
      <c r="H324" s="79"/>
      <c r="I324" s="80">
        <v>2112638</v>
      </c>
      <c r="J324" s="81">
        <v>1541358</v>
      </c>
      <c r="K324" s="81">
        <v>13000</v>
      </c>
      <c r="L324" s="81">
        <v>525373</v>
      </c>
      <c r="M324" s="81">
        <v>30827</v>
      </c>
      <c r="N324" s="81">
        <v>2080</v>
      </c>
      <c r="O324" s="82">
        <v>3.2899999999999996</v>
      </c>
      <c r="P324" s="82">
        <v>2.34</v>
      </c>
      <c r="Q324" s="452">
        <v>0.95</v>
      </c>
      <c r="R324" s="80">
        <f t="shared" ref="R324:AZ324" si="415">SUM(R323)</f>
        <v>0</v>
      </c>
      <c r="S324" s="81">
        <f t="shared" si="415"/>
        <v>0</v>
      </c>
      <c r="T324" s="81">
        <f t="shared" si="415"/>
        <v>0</v>
      </c>
      <c r="U324" s="81">
        <f t="shared" si="415"/>
        <v>0</v>
      </c>
      <c r="V324" s="81">
        <f t="shared" si="415"/>
        <v>0</v>
      </c>
      <c r="W324" s="81">
        <f t="shared" si="415"/>
        <v>0</v>
      </c>
      <c r="X324" s="81">
        <f t="shared" si="415"/>
        <v>0</v>
      </c>
      <c r="Y324" s="81">
        <f t="shared" si="415"/>
        <v>0</v>
      </c>
      <c r="Z324" s="81">
        <f t="shared" si="415"/>
        <v>0</v>
      </c>
      <c r="AA324" s="81">
        <f t="shared" si="415"/>
        <v>0</v>
      </c>
      <c r="AB324" s="81">
        <f t="shared" si="415"/>
        <v>0</v>
      </c>
      <c r="AC324" s="81">
        <f t="shared" si="415"/>
        <v>0</v>
      </c>
      <c r="AD324" s="81">
        <f t="shared" si="415"/>
        <v>0</v>
      </c>
      <c r="AE324" s="81">
        <f t="shared" si="415"/>
        <v>12220</v>
      </c>
      <c r="AF324" s="81">
        <f t="shared" si="415"/>
        <v>12220</v>
      </c>
      <c r="AG324" s="81">
        <f t="shared" si="415"/>
        <v>12220</v>
      </c>
      <c r="AH324" s="82">
        <f t="shared" si="415"/>
        <v>0</v>
      </c>
      <c r="AI324" s="82">
        <f t="shared" si="415"/>
        <v>0</v>
      </c>
      <c r="AJ324" s="82">
        <f t="shared" si="415"/>
        <v>0</v>
      </c>
      <c r="AK324" s="82">
        <f t="shared" ref="AK324:AL324" si="416">SUM(AK323)</f>
        <v>0</v>
      </c>
      <c r="AL324" s="82">
        <f t="shared" si="416"/>
        <v>0</v>
      </c>
      <c r="AM324" s="82">
        <f t="shared" si="415"/>
        <v>0</v>
      </c>
      <c r="AN324" s="82">
        <f t="shared" si="415"/>
        <v>0</v>
      </c>
      <c r="AO324" s="82">
        <f t="shared" si="415"/>
        <v>0</v>
      </c>
      <c r="AP324" s="82">
        <f t="shared" si="415"/>
        <v>0</v>
      </c>
      <c r="AQ324" s="83">
        <f t="shared" si="415"/>
        <v>0</v>
      </c>
      <c r="AR324" s="438">
        <f t="shared" si="415"/>
        <v>2124858</v>
      </c>
      <c r="AS324" s="81">
        <f t="shared" si="415"/>
        <v>1541358</v>
      </c>
      <c r="AT324" s="81">
        <f t="shared" si="415"/>
        <v>13000</v>
      </c>
      <c r="AU324" s="81">
        <f t="shared" si="415"/>
        <v>525373</v>
      </c>
      <c r="AV324" s="81">
        <f t="shared" si="415"/>
        <v>30827</v>
      </c>
      <c r="AW324" s="81">
        <f t="shared" si="415"/>
        <v>14300</v>
      </c>
      <c r="AX324" s="82">
        <f t="shared" si="415"/>
        <v>3.2899999999999996</v>
      </c>
      <c r="AY324" s="82">
        <f t="shared" si="415"/>
        <v>2.34</v>
      </c>
      <c r="AZ324" s="83">
        <f t="shared" si="415"/>
        <v>0.95</v>
      </c>
    </row>
    <row r="325" spans="1:52" ht="14.1" customHeight="1" x14ac:dyDescent="0.2">
      <c r="A325" s="72">
        <v>66</v>
      </c>
      <c r="B325" s="69">
        <v>2402</v>
      </c>
      <c r="C325" s="70">
        <v>600078949</v>
      </c>
      <c r="D325" s="69">
        <v>70983208</v>
      </c>
      <c r="E325" s="71" t="s">
        <v>701</v>
      </c>
      <c r="F325" s="72">
        <v>3111</v>
      </c>
      <c r="G325" s="71" t="s">
        <v>312</v>
      </c>
      <c r="H325" s="73" t="s">
        <v>278</v>
      </c>
      <c r="I325" s="494">
        <v>6929524</v>
      </c>
      <c r="J325" s="674">
        <v>5072919</v>
      </c>
      <c r="K325" s="674">
        <v>0</v>
      </c>
      <c r="L325" s="489">
        <v>1714647</v>
      </c>
      <c r="M325" s="489">
        <v>101458</v>
      </c>
      <c r="N325" s="489">
        <v>40500</v>
      </c>
      <c r="O325" s="490">
        <v>11.2682</v>
      </c>
      <c r="P325" s="490">
        <v>8</v>
      </c>
      <c r="Q325" s="500">
        <v>3.2681999999999998</v>
      </c>
      <c r="R325" s="502">
        <f t="shared" si="335"/>
        <v>0</v>
      </c>
      <c r="S325" s="492">
        <v>0</v>
      </c>
      <c r="T325" s="492">
        <v>0</v>
      </c>
      <c r="U325" s="492">
        <v>0</v>
      </c>
      <c r="V325" s="492">
        <f>SUM(R325:U325)</f>
        <v>0</v>
      </c>
      <c r="W325" s="492">
        <v>0</v>
      </c>
      <c r="X325" s="492">
        <v>0</v>
      </c>
      <c r="Y325" s="492">
        <v>0</v>
      </c>
      <c r="Z325" s="492">
        <f t="shared" si="338"/>
        <v>0</v>
      </c>
      <c r="AA325" s="492">
        <f t="shared" si="339"/>
        <v>0</v>
      </c>
      <c r="AB325" s="74">
        <f t="shared" si="340"/>
        <v>0</v>
      </c>
      <c r="AC325" s="74">
        <f t="shared" si="341"/>
        <v>0</v>
      </c>
      <c r="AD325" s="492">
        <v>0</v>
      </c>
      <c r="AE325" s="492">
        <v>0</v>
      </c>
      <c r="AF325" s="492">
        <f>SUM(AD325:AE325)</f>
        <v>0</v>
      </c>
      <c r="AG325" s="492">
        <f>AA325+AB325+AC325+AF325</f>
        <v>0</v>
      </c>
      <c r="AH325" s="493">
        <v>0</v>
      </c>
      <c r="AI325" s="493">
        <v>0</v>
      </c>
      <c r="AJ325" s="493">
        <v>0</v>
      </c>
      <c r="AK325" s="493">
        <v>0</v>
      </c>
      <c r="AL325" s="493">
        <v>0</v>
      </c>
      <c r="AM325" s="493">
        <v>0</v>
      </c>
      <c r="AN325" s="493">
        <v>0</v>
      </c>
      <c r="AO325" s="493">
        <f t="shared" si="336"/>
        <v>0</v>
      </c>
      <c r="AP325" s="493">
        <f t="shared" si="337"/>
        <v>0</v>
      </c>
      <c r="AQ325" s="495">
        <f t="shared" si="342"/>
        <v>0</v>
      </c>
      <c r="AR325" s="501">
        <f>I325+AG325</f>
        <v>6929524</v>
      </c>
      <c r="AS325" s="492">
        <f>J325+V325</f>
        <v>5072919</v>
      </c>
      <c r="AT325" s="492">
        <f t="shared" ref="AT325:AT327" si="417">K325+Z325</f>
        <v>0</v>
      </c>
      <c r="AU325" s="492">
        <f t="shared" ref="AU325:AV327" si="418">L325+AB325</f>
        <v>1714647</v>
      </c>
      <c r="AV325" s="492">
        <f t="shared" si="418"/>
        <v>101458</v>
      </c>
      <c r="AW325" s="492">
        <f>N325+AF325</f>
        <v>40500</v>
      </c>
      <c r="AX325" s="493">
        <f>O325+AQ325</f>
        <v>11.2682</v>
      </c>
      <c r="AY325" s="493">
        <f t="shared" ref="AY325:AZ327" si="419">P325+AO325</f>
        <v>8</v>
      </c>
      <c r="AZ325" s="495">
        <f t="shared" si="419"/>
        <v>3.2681999999999998</v>
      </c>
    </row>
    <row r="326" spans="1:52" ht="14.1" customHeight="1" x14ac:dyDescent="0.2">
      <c r="A326" s="72">
        <v>66</v>
      </c>
      <c r="B326" s="69">
        <v>2402</v>
      </c>
      <c r="C326" s="70">
        <v>600078949</v>
      </c>
      <c r="D326" s="69">
        <v>70983208</v>
      </c>
      <c r="E326" s="71" t="s">
        <v>701</v>
      </c>
      <c r="F326" s="72">
        <v>3111</v>
      </c>
      <c r="G326" s="71" t="s">
        <v>313</v>
      </c>
      <c r="H326" s="73" t="s">
        <v>279</v>
      </c>
      <c r="I326" s="494">
        <v>470470</v>
      </c>
      <c r="J326" s="489">
        <v>346443</v>
      </c>
      <c r="K326" s="489">
        <v>0</v>
      </c>
      <c r="L326" s="489">
        <v>117098</v>
      </c>
      <c r="M326" s="489">
        <v>6929</v>
      </c>
      <c r="N326" s="489">
        <v>0</v>
      </c>
      <c r="O326" s="490">
        <v>1</v>
      </c>
      <c r="P326" s="491">
        <v>1</v>
      </c>
      <c r="Q326" s="500">
        <v>0</v>
      </c>
      <c r="R326" s="502">
        <f t="shared" si="335"/>
        <v>0</v>
      </c>
      <c r="S326" s="489">
        <v>0</v>
      </c>
      <c r="T326" s="492">
        <v>0</v>
      </c>
      <c r="U326" s="492">
        <v>0</v>
      </c>
      <c r="V326" s="492">
        <f>SUM(R326:U326)</f>
        <v>0</v>
      </c>
      <c r="W326" s="492">
        <v>0</v>
      </c>
      <c r="X326" s="492">
        <v>0</v>
      </c>
      <c r="Y326" s="492">
        <v>0</v>
      </c>
      <c r="Z326" s="492">
        <f t="shared" si="338"/>
        <v>0</v>
      </c>
      <c r="AA326" s="492">
        <f t="shared" si="339"/>
        <v>0</v>
      </c>
      <c r="AB326" s="74">
        <f t="shared" si="340"/>
        <v>0</v>
      </c>
      <c r="AC326" s="74">
        <f t="shared" si="341"/>
        <v>0</v>
      </c>
      <c r="AD326" s="492">
        <v>0</v>
      </c>
      <c r="AE326" s="492">
        <v>0</v>
      </c>
      <c r="AF326" s="492">
        <f>SUM(AD326:AE326)</f>
        <v>0</v>
      </c>
      <c r="AG326" s="492">
        <f>AA326+AB326+AC326+AF326</f>
        <v>0</v>
      </c>
      <c r="AH326" s="493">
        <v>0</v>
      </c>
      <c r="AI326" s="493">
        <v>0</v>
      </c>
      <c r="AJ326" s="493">
        <v>0</v>
      </c>
      <c r="AK326" s="493">
        <v>0</v>
      </c>
      <c r="AL326" s="493">
        <v>0</v>
      </c>
      <c r="AM326" s="493">
        <v>0</v>
      </c>
      <c r="AN326" s="493">
        <v>0</v>
      </c>
      <c r="AO326" s="493">
        <f t="shared" si="336"/>
        <v>0</v>
      </c>
      <c r="AP326" s="493">
        <f t="shared" si="337"/>
        <v>0</v>
      </c>
      <c r="AQ326" s="495">
        <f t="shared" si="342"/>
        <v>0</v>
      </c>
      <c r="AR326" s="501">
        <f>I326+AG326</f>
        <v>470470</v>
      </c>
      <c r="AS326" s="492">
        <f>J326+V326</f>
        <v>346443</v>
      </c>
      <c r="AT326" s="492">
        <f t="shared" si="417"/>
        <v>0</v>
      </c>
      <c r="AU326" s="492">
        <f t="shared" si="418"/>
        <v>117098</v>
      </c>
      <c r="AV326" s="492">
        <f t="shared" si="418"/>
        <v>6929</v>
      </c>
      <c r="AW326" s="492">
        <f>N326+AF326</f>
        <v>0</v>
      </c>
      <c r="AX326" s="493">
        <f>O326+AQ326</f>
        <v>1</v>
      </c>
      <c r="AY326" s="493">
        <f t="shared" si="419"/>
        <v>1</v>
      </c>
      <c r="AZ326" s="495">
        <f t="shared" si="419"/>
        <v>0</v>
      </c>
    </row>
    <row r="327" spans="1:52" ht="14.1" customHeight="1" x14ac:dyDescent="0.2">
      <c r="A327" s="72">
        <v>66</v>
      </c>
      <c r="B327" s="69">
        <v>2402</v>
      </c>
      <c r="C327" s="70">
        <v>600078949</v>
      </c>
      <c r="D327" s="69">
        <v>70983208</v>
      </c>
      <c r="E327" s="71" t="s">
        <v>701</v>
      </c>
      <c r="F327" s="72">
        <v>3141</v>
      </c>
      <c r="G327" s="71" t="s">
        <v>316</v>
      </c>
      <c r="H327" s="73" t="s">
        <v>279</v>
      </c>
      <c r="I327" s="494">
        <v>1235079</v>
      </c>
      <c r="J327" s="489">
        <v>905322</v>
      </c>
      <c r="K327" s="489">
        <v>0</v>
      </c>
      <c r="L327" s="489">
        <v>305999</v>
      </c>
      <c r="M327" s="489">
        <v>18106</v>
      </c>
      <c r="N327" s="489">
        <v>5652</v>
      </c>
      <c r="O327" s="490">
        <v>2.85</v>
      </c>
      <c r="P327" s="491">
        <v>0</v>
      </c>
      <c r="Q327" s="500">
        <v>2.85</v>
      </c>
      <c r="R327" s="502">
        <f t="shared" si="335"/>
        <v>0</v>
      </c>
      <c r="S327" s="492">
        <v>0</v>
      </c>
      <c r="T327" s="492">
        <v>0</v>
      </c>
      <c r="U327" s="492">
        <v>0</v>
      </c>
      <c r="V327" s="492">
        <f>SUM(R327:U327)</f>
        <v>0</v>
      </c>
      <c r="W327" s="492">
        <v>0</v>
      </c>
      <c r="X327" s="492">
        <v>0</v>
      </c>
      <c r="Y327" s="492">
        <v>0</v>
      </c>
      <c r="Z327" s="492">
        <f t="shared" si="338"/>
        <v>0</v>
      </c>
      <c r="AA327" s="492">
        <f t="shared" si="339"/>
        <v>0</v>
      </c>
      <c r="AB327" s="74">
        <f t="shared" si="340"/>
        <v>0</v>
      </c>
      <c r="AC327" s="74">
        <f t="shared" si="341"/>
        <v>0</v>
      </c>
      <c r="AD327" s="492">
        <v>0</v>
      </c>
      <c r="AE327" s="492">
        <v>0</v>
      </c>
      <c r="AF327" s="492">
        <f>SUM(AD327:AE327)</f>
        <v>0</v>
      </c>
      <c r="AG327" s="492">
        <f>AA327+AB327+AC327+AF327</f>
        <v>0</v>
      </c>
      <c r="AH327" s="493">
        <v>0</v>
      </c>
      <c r="AI327" s="493">
        <v>0</v>
      </c>
      <c r="AJ327" s="493">
        <v>0</v>
      </c>
      <c r="AK327" s="493">
        <v>0</v>
      </c>
      <c r="AL327" s="493">
        <v>0</v>
      </c>
      <c r="AM327" s="493">
        <v>0</v>
      </c>
      <c r="AN327" s="493">
        <v>0</v>
      </c>
      <c r="AO327" s="493">
        <f t="shared" si="336"/>
        <v>0</v>
      </c>
      <c r="AP327" s="493">
        <f t="shared" si="337"/>
        <v>0</v>
      </c>
      <c r="AQ327" s="495">
        <f t="shared" si="342"/>
        <v>0</v>
      </c>
      <c r="AR327" s="501">
        <f>I327+AG327</f>
        <v>1235079</v>
      </c>
      <c r="AS327" s="492">
        <f>J327+V327</f>
        <v>905322</v>
      </c>
      <c r="AT327" s="492">
        <f t="shared" si="417"/>
        <v>0</v>
      </c>
      <c r="AU327" s="492">
        <f t="shared" si="418"/>
        <v>305999</v>
      </c>
      <c r="AV327" s="492">
        <f t="shared" si="418"/>
        <v>18106</v>
      </c>
      <c r="AW327" s="492">
        <f>N327+AF327</f>
        <v>5652</v>
      </c>
      <c r="AX327" s="493">
        <f>O327+AQ327</f>
        <v>2.85</v>
      </c>
      <c r="AY327" s="493">
        <f t="shared" si="419"/>
        <v>0</v>
      </c>
      <c r="AZ327" s="495">
        <f t="shared" si="419"/>
        <v>2.85</v>
      </c>
    </row>
    <row r="328" spans="1:52" ht="14.1" customHeight="1" x14ac:dyDescent="0.2">
      <c r="A328" s="78">
        <v>66</v>
      </c>
      <c r="B328" s="75">
        <v>2402</v>
      </c>
      <c r="C328" s="76">
        <v>600078949</v>
      </c>
      <c r="D328" s="75">
        <v>70983208</v>
      </c>
      <c r="E328" s="77" t="s">
        <v>702</v>
      </c>
      <c r="F328" s="78"/>
      <c r="G328" s="77"/>
      <c r="H328" s="79"/>
      <c r="I328" s="80">
        <v>8635073</v>
      </c>
      <c r="J328" s="81">
        <v>6324684</v>
      </c>
      <c r="K328" s="81">
        <v>0</v>
      </c>
      <c r="L328" s="81">
        <v>2137744</v>
      </c>
      <c r="M328" s="81">
        <v>126493</v>
      </c>
      <c r="N328" s="81">
        <v>46152</v>
      </c>
      <c r="O328" s="82">
        <v>15.1182</v>
      </c>
      <c r="P328" s="82">
        <v>9</v>
      </c>
      <c r="Q328" s="452">
        <v>6.1181999999999999</v>
      </c>
      <c r="R328" s="80">
        <f t="shared" ref="R328:AZ328" si="420">SUM(R325:R327)</f>
        <v>0</v>
      </c>
      <c r="S328" s="81">
        <f t="shared" si="420"/>
        <v>0</v>
      </c>
      <c r="T328" s="81">
        <f t="shared" si="420"/>
        <v>0</v>
      </c>
      <c r="U328" s="81">
        <f t="shared" si="420"/>
        <v>0</v>
      </c>
      <c r="V328" s="81">
        <f t="shared" si="420"/>
        <v>0</v>
      </c>
      <c r="W328" s="81">
        <f t="shared" si="420"/>
        <v>0</v>
      </c>
      <c r="X328" s="81">
        <f t="shared" si="420"/>
        <v>0</v>
      </c>
      <c r="Y328" s="81">
        <f t="shared" si="420"/>
        <v>0</v>
      </c>
      <c r="Z328" s="81">
        <f t="shared" si="420"/>
        <v>0</v>
      </c>
      <c r="AA328" s="81">
        <f t="shared" si="420"/>
        <v>0</v>
      </c>
      <c r="AB328" s="81">
        <f t="shared" si="420"/>
        <v>0</v>
      </c>
      <c r="AC328" s="81">
        <f t="shared" si="420"/>
        <v>0</v>
      </c>
      <c r="AD328" s="81">
        <f t="shared" si="420"/>
        <v>0</v>
      </c>
      <c r="AE328" s="81">
        <f t="shared" si="420"/>
        <v>0</v>
      </c>
      <c r="AF328" s="81">
        <f t="shared" si="420"/>
        <v>0</v>
      </c>
      <c r="AG328" s="81">
        <f t="shared" si="420"/>
        <v>0</v>
      </c>
      <c r="AH328" s="82">
        <f t="shared" si="420"/>
        <v>0</v>
      </c>
      <c r="AI328" s="82">
        <f t="shared" si="420"/>
        <v>0</v>
      </c>
      <c r="AJ328" s="82">
        <f t="shared" si="420"/>
        <v>0</v>
      </c>
      <c r="AK328" s="82">
        <f t="shared" ref="AK328:AL328" si="421">SUM(AK325:AK327)</f>
        <v>0</v>
      </c>
      <c r="AL328" s="82">
        <f t="shared" si="421"/>
        <v>0</v>
      </c>
      <c r="AM328" s="82">
        <f t="shared" si="420"/>
        <v>0</v>
      </c>
      <c r="AN328" s="82">
        <f t="shared" si="420"/>
        <v>0</v>
      </c>
      <c r="AO328" s="82">
        <f t="shared" si="420"/>
        <v>0</v>
      </c>
      <c r="AP328" s="82">
        <f t="shared" si="420"/>
        <v>0</v>
      </c>
      <c r="AQ328" s="83">
        <f t="shared" si="420"/>
        <v>0</v>
      </c>
      <c r="AR328" s="438">
        <f t="shared" si="420"/>
        <v>8635073</v>
      </c>
      <c r="AS328" s="81">
        <f t="shared" si="420"/>
        <v>6324684</v>
      </c>
      <c r="AT328" s="81">
        <f t="shared" si="420"/>
        <v>0</v>
      </c>
      <c r="AU328" s="81">
        <f t="shared" si="420"/>
        <v>2137744</v>
      </c>
      <c r="AV328" s="81">
        <f t="shared" si="420"/>
        <v>126493</v>
      </c>
      <c r="AW328" s="81">
        <f t="shared" si="420"/>
        <v>46152</v>
      </c>
      <c r="AX328" s="82">
        <f t="shared" si="420"/>
        <v>15.1182</v>
      </c>
      <c r="AY328" s="82">
        <f t="shared" si="420"/>
        <v>9</v>
      </c>
      <c r="AZ328" s="83">
        <f t="shared" si="420"/>
        <v>6.1181999999999999</v>
      </c>
    </row>
    <row r="329" spans="1:52" ht="14.1" customHeight="1" x14ac:dyDescent="0.2">
      <c r="A329" s="72">
        <v>67</v>
      </c>
      <c r="B329" s="69">
        <v>2404</v>
      </c>
      <c r="C329" s="70">
        <v>600078957</v>
      </c>
      <c r="D329" s="69">
        <v>70983135</v>
      </c>
      <c r="E329" s="71" t="s">
        <v>703</v>
      </c>
      <c r="F329" s="72">
        <v>3111</v>
      </c>
      <c r="G329" s="71" t="s">
        <v>312</v>
      </c>
      <c r="H329" s="73" t="s">
        <v>278</v>
      </c>
      <c r="I329" s="494">
        <v>5199722</v>
      </c>
      <c r="J329" s="674">
        <v>3805760</v>
      </c>
      <c r="K329" s="674">
        <v>0</v>
      </c>
      <c r="L329" s="489">
        <v>1286347</v>
      </c>
      <c r="M329" s="489">
        <v>76115</v>
      </c>
      <c r="N329" s="489">
        <v>31500</v>
      </c>
      <c r="O329" s="490">
        <v>8.1341999999999999</v>
      </c>
      <c r="P329" s="490">
        <v>6</v>
      </c>
      <c r="Q329" s="500">
        <v>2.1341999999999999</v>
      </c>
      <c r="R329" s="502">
        <f t="shared" si="335"/>
        <v>0</v>
      </c>
      <c r="S329" s="492">
        <v>0</v>
      </c>
      <c r="T329" s="492">
        <v>0</v>
      </c>
      <c r="U329" s="492">
        <v>0</v>
      </c>
      <c r="V329" s="492">
        <f>SUM(R329:U329)</f>
        <v>0</v>
      </c>
      <c r="W329" s="492">
        <v>0</v>
      </c>
      <c r="X329" s="492">
        <v>0</v>
      </c>
      <c r="Y329" s="492">
        <v>0</v>
      </c>
      <c r="Z329" s="492">
        <f t="shared" si="338"/>
        <v>0</v>
      </c>
      <c r="AA329" s="492">
        <f t="shared" si="339"/>
        <v>0</v>
      </c>
      <c r="AB329" s="74">
        <f t="shared" si="340"/>
        <v>0</v>
      </c>
      <c r="AC329" s="74">
        <f t="shared" si="341"/>
        <v>0</v>
      </c>
      <c r="AD329" s="492">
        <v>0</v>
      </c>
      <c r="AE329" s="492">
        <v>0</v>
      </c>
      <c r="AF329" s="492">
        <f>SUM(AD329:AE329)</f>
        <v>0</v>
      </c>
      <c r="AG329" s="492">
        <f>AA329+AB329+AC329+AF329</f>
        <v>0</v>
      </c>
      <c r="AH329" s="493">
        <v>0</v>
      </c>
      <c r="AI329" s="493">
        <v>0</v>
      </c>
      <c r="AJ329" s="493">
        <v>0</v>
      </c>
      <c r="AK329" s="493">
        <v>0</v>
      </c>
      <c r="AL329" s="493">
        <v>0</v>
      </c>
      <c r="AM329" s="493">
        <v>0</v>
      </c>
      <c r="AN329" s="493">
        <v>0</v>
      </c>
      <c r="AO329" s="493">
        <f t="shared" si="336"/>
        <v>0</v>
      </c>
      <c r="AP329" s="493">
        <f t="shared" si="337"/>
        <v>0</v>
      </c>
      <c r="AQ329" s="495">
        <f t="shared" si="342"/>
        <v>0</v>
      </c>
      <c r="AR329" s="501">
        <f>I329+AG329</f>
        <v>5199722</v>
      </c>
      <c r="AS329" s="492">
        <f>J329+V329</f>
        <v>3805760</v>
      </c>
      <c r="AT329" s="492">
        <f t="shared" ref="AT329:AT331" si="422">K329+Z329</f>
        <v>0</v>
      </c>
      <c r="AU329" s="492">
        <f t="shared" ref="AU329:AV331" si="423">L329+AB329</f>
        <v>1286347</v>
      </c>
      <c r="AV329" s="492">
        <f t="shared" si="423"/>
        <v>76115</v>
      </c>
      <c r="AW329" s="492">
        <f>N329+AF329</f>
        <v>31500</v>
      </c>
      <c r="AX329" s="493">
        <f>O329+AQ329</f>
        <v>8.1341999999999999</v>
      </c>
      <c r="AY329" s="493">
        <f t="shared" ref="AY329:AZ331" si="424">P329+AO329</f>
        <v>6</v>
      </c>
      <c r="AZ329" s="495">
        <f t="shared" si="424"/>
        <v>2.1341999999999999</v>
      </c>
    </row>
    <row r="330" spans="1:52" ht="14.1" customHeight="1" x14ac:dyDescent="0.2">
      <c r="A330" s="72">
        <v>67</v>
      </c>
      <c r="B330" s="69">
        <v>2404</v>
      </c>
      <c r="C330" s="70">
        <v>600078957</v>
      </c>
      <c r="D330" s="69">
        <v>70983135</v>
      </c>
      <c r="E330" s="71" t="s">
        <v>703</v>
      </c>
      <c r="F330" s="72">
        <v>3111</v>
      </c>
      <c r="G330" s="84" t="s">
        <v>313</v>
      </c>
      <c r="H330" s="73" t="s">
        <v>279</v>
      </c>
      <c r="I330" s="494">
        <v>940939</v>
      </c>
      <c r="J330" s="489">
        <v>692886</v>
      </c>
      <c r="K330" s="489">
        <v>0</v>
      </c>
      <c r="L330" s="489">
        <v>234195</v>
      </c>
      <c r="M330" s="489">
        <v>13858</v>
      </c>
      <c r="N330" s="489">
        <v>0</v>
      </c>
      <c r="O330" s="490">
        <v>2</v>
      </c>
      <c r="P330" s="491">
        <v>2</v>
      </c>
      <c r="Q330" s="500">
        <v>0</v>
      </c>
      <c r="R330" s="502">
        <f t="shared" si="335"/>
        <v>0</v>
      </c>
      <c r="S330" s="489">
        <v>0</v>
      </c>
      <c r="T330" s="492">
        <v>0</v>
      </c>
      <c r="U330" s="492">
        <v>0</v>
      </c>
      <c r="V330" s="492">
        <f>SUM(R330:U330)</f>
        <v>0</v>
      </c>
      <c r="W330" s="492">
        <v>0</v>
      </c>
      <c r="X330" s="492">
        <v>0</v>
      </c>
      <c r="Y330" s="492">
        <v>0</v>
      </c>
      <c r="Z330" s="492">
        <f t="shared" si="338"/>
        <v>0</v>
      </c>
      <c r="AA330" s="492">
        <f t="shared" si="339"/>
        <v>0</v>
      </c>
      <c r="AB330" s="74">
        <f t="shared" si="340"/>
        <v>0</v>
      </c>
      <c r="AC330" s="74">
        <f t="shared" si="341"/>
        <v>0</v>
      </c>
      <c r="AD330" s="492">
        <v>0</v>
      </c>
      <c r="AE330" s="492">
        <v>0</v>
      </c>
      <c r="AF330" s="492">
        <f>SUM(AD330:AE330)</f>
        <v>0</v>
      </c>
      <c r="AG330" s="492">
        <f>AA330+AB330+AC330+AF330</f>
        <v>0</v>
      </c>
      <c r="AH330" s="493">
        <v>0</v>
      </c>
      <c r="AI330" s="493">
        <v>0</v>
      </c>
      <c r="AJ330" s="493">
        <v>0</v>
      </c>
      <c r="AK330" s="493">
        <v>0</v>
      </c>
      <c r="AL330" s="493">
        <v>0</v>
      </c>
      <c r="AM330" s="493">
        <v>0</v>
      </c>
      <c r="AN330" s="493">
        <v>0</v>
      </c>
      <c r="AO330" s="493">
        <f t="shared" si="336"/>
        <v>0</v>
      </c>
      <c r="AP330" s="493">
        <f t="shared" si="337"/>
        <v>0</v>
      </c>
      <c r="AQ330" s="495">
        <f t="shared" si="342"/>
        <v>0</v>
      </c>
      <c r="AR330" s="501">
        <f>I330+AG330</f>
        <v>940939</v>
      </c>
      <c r="AS330" s="492">
        <f>J330+V330</f>
        <v>692886</v>
      </c>
      <c r="AT330" s="492">
        <f t="shared" si="422"/>
        <v>0</v>
      </c>
      <c r="AU330" s="492">
        <f t="shared" si="423"/>
        <v>234195</v>
      </c>
      <c r="AV330" s="492">
        <f t="shared" si="423"/>
        <v>13858</v>
      </c>
      <c r="AW330" s="492">
        <f>N330+AF330</f>
        <v>0</v>
      </c>
      <c r="AX330" s="493">
        <f>O330+AQ330</f>
        <v>2</v>
      </c>
      <c r="AY330" s="493">
        <f t="shared" si="424"/>
        <v>2</v>
      </c>
      <c r="AZ330" s="495">
        <f t="shared" si="424"/>
        <v>0</v>
      </c>
    </row>
    <row r="331" spans="1:52" ht="14.1" customHeight="1" x14ac:dyDescent="0.2">
      <c r="A331" s="72">
        <v>67</v>
      </c>
      <c r="B331" s="69">
        <v>2404</v>
      </c>
      <c r="C331" s="70">
        <v>600078957</v>
      </c>
      <c r="D331" s="69">
        <v>70983135</v>
      </c>
      <c r="E331" s="71" t="s">
        <v>703</v>
      </c>
      <c r="F331" s="72">
        <v>3141</v>
      </c>
      <c r="G331" s="71" t="s">
        <v>316</v>
      </c>
      <c r="H331" s="73" t="s">
        <v>279</v>
      </c>
      <c r="I331" s="494">
        <v>863507</v>
      </c>
      <c r="J331" s="489">
        <v>632877</v>
      </c>
      <c r="K331" s="489">
        <v>0</v>
      </c>
      <c r="L331" s="489">
        <v>213912</v>
      </c>
      <c r="M331" s="489">
        <v>12658</v>
      </c>
      <c r="N331" s="489">
        <v>4060</v>
      </c>
      <c r="O331" s="490">
        <v>1.99</v>
      </c>
      <c r="P331" s="491">
        <v>0</v>
      </c>
      <c r="Q331" s="500">
        <v>1.99</v>
      </c>
      <c r="R331" s="502">
        <f t="shared" si="335"/>
        <v>0</v>
      </c>
      <c r="S331" s="492">
        <v>0</v>
      </c>
      <c r="T331" s="492">
        <v>0</v>
      </c>
      <c r="U331" s="492">
        <v>0</v>
      </c>
      <c r="V331" s="492">
        <f>SUM(R331:U331)</f>
        <v>0</v>
      </c>
      <c r="W331" s="492">
        <v>0</v>
      </c>
      <c r="X331" s="492">
        <v>0</v>
      </c>
      <c r="Y331" s="492">
        <v>0</v>
      </c>
      <c r="Z331" s="492">
        <f t="shared" si="338"/>
        <v>0</v>
      </c>
      <c r="AA331" s="492">
        <f t="shared" si="339"/>
        <v>0</v>
      </c>
      <c r="AB331" s="74">
        <f t="shared" si="340"/>
        <v>0</v>
      </c>
      <c r="AC331" s="74">
        <f t="shared" si="341"/>
        <v>0</v>
      </c>
      <c r="AD331" s="492">
        <v>0</v>
      </c>
      <c r="AE331" s="492">
        <v>0</v>
      </c>
      <c r="AF331" s="492">
        <f>SUM(AD331:AE331)</f>
        <v>0</v>
      </c>
      <c r="AG331" s="492">
        <f>AA331+AB331+AC331+AF331</f>
        <v>0</v>
      </c>
      <c r="AH331" s="493">
        <v>0</v>
      </c>
      <c r="AI331" s="493">
        <v>0</v>
      </c>
      <c r="AJ331" s="493">
        <v>0</v>
      </c>
      <c r="AK331" s="493">
        <v>0</v>
      </c>
      <c r="AL331" s="493">
        <v>0</v>
      </c>
      <c r="AM331" s="493">
        <v>0</v>
      </c>
      <c r="AN331" s="493">
        <v>0</v>
      </c>
      <c r="AO331" s="493">
        <f t="shared" si="336"/>
        <v>0</v>
      </c>
      <c r="AP331" s="493">
        <f t="shared" si="337"/>
        <v>0</v>
      </c>
      <c r="AQ331" s="495">
        <f t="shared" si="342"/>
        <v>0</v>
      </c>
      <c r="AR331" s="501">
        <f>I331+AG331</f>
        <v>863507</v>
      </c>
      <c r="AS331" s="492">
        <f>J331+V331</f>
        <v>632877</v>
      </c>
      <c r="AT331" s="492">
        <f t="shared" si="422"/>
        <v>0</v>
      </c>
      <c r="AU331" s="492">
        <f t="shared" si="423"/>
        <v>213912</v>
      </c>
      <c r="AV331" s="492">
        <f t="shared" si="423"/>
        <v>12658</v>
      </c>
      <c r="AW331" s="492">
        <f>N331+AF331</f>
        <v>4060</v>
      </c>
      <c r="AX331" s="493">
        <f>O331+AQ331</f>
        <v>1.99</v>
      </c>
      <c r="AY331" s="493">
        <f t="shared" si="424"/>
        <v>0</v>
      </c>
      <c r="AZ331" s="495">
        <f t="shared" si="424"/>
        <v>1.99</v>
      </c>
    </row>
    <row r="332" spans="1:52" ht="14.1" customHeight="1" x14ac:dyDescent="0.2">
      <c r="A332" s="78">
        <v>67</v>
      </c>
      <c r="B332" s="75">
        <v>2404</v>
      </c>
      <c r="C332" s="76">
        <v>600078957</v>
      </c>
      <c r="D332" s="75">
        <v>70983135</v>
      </c>
      <c r="E332" s="77" t="s">
        <v>704</v>
      </c>
      <c r="F332" s="78"/>
      <c r="G332" s="77"/>
      <c r="H332" s="79"/>
      <c r="I332" s="80">
        <v>7004168</v>
      </c>
      <c r="J332" s="81">
        <v>5131523</v>
      </c>
      <c r="K332" s="81">
        <v>0</v>
      </c>
      <c r="L332" s="81">
        <v>1734454</v>
      </c>
      <c r="M332" s="81">
        <v>102631</v>
      </c>
      <c r="N332" s="81">
        <v>35560</v>
      </c>
      <c r="O332" s="82">
        <v>12.1242</v>
      </c>
      <c r="P332" s="82">
        <v>8</v>
      </c>
      <c r="Q332" s="452">
        <v>4.1242000000000001</v>
      </c>
      <c r="R332" s="80">
        <f t="shared" ref="R332:AZ332" si="425">SUM(R329:R331)</f>
        <v>0</v>
      </c>
      <c r="S332" s="81">
        <f t="shared" si="425"/>
        <v>0</v>
      </c>
      <c r="T332" s="81">
        <f t="shared" si="425"/>
        <v>0</v>
      </c>
      <c r="U332" s="81">
        <f t="shared" si="425"/>
        <v>0</v>
      </c>
      <c r="V332" s="81">
        <f t="shared" si="425"/>
        <v>0</v>
      </c>
      <c r="W332" s="81">
        <f t="shared" si="425"/>
        <v>0</v>
      </c>
      <c r="X332" s="81">
        <f t="shared" si="425"/>
        <v>0</v>
      </c>
      <c r="Y332" s="81">
        <f t="shared" si="425"/>
        <v>0</v>
      </c>
      <c r="Z332" s="81">
        <f t="shared" si="425"/>
        <v>0</v>
      </c>
      <c r="AA332" s="81">
        <f t="shared" si="425"/>
        <v>0</v>
      </c>
      <c r="AB332" s="81">
        <f t="shared" si="425"/>
        <v>0</v>
      </c>
      <c r="AC332" s="81">
        <f t="shared" si="425"/>
        <v>0</v>
      </c>
      <c r="AD332" s="81">
        <f t="shared" si="425"/>
        <v>0</v>
      </c>
      <c r="AE332" s="81">
        <f t="shared" si="425"/>
        <v>0</v>
      </c>
      <c r="AF332" s="81">
        <f t="shared" si="425"/>
        <v>0</v>
      </c>
      <c r="AG332" s="81">
        <f t="shared" si="425"/>
        <v>0</v>
      </c>
      <c r="AH332" s="82">
        <f t="shared" si="425"/>
        <v>0</v>
      </c>
      <c r="AI332" s="82">
        <f t="shared" si="425"/>
        <v>0</v>
      </c>
      <c r="AJ332" s="82">
        <f t="shared" si="425"/>
        <v>0</v>
      </c>
      <c r="AK332" s="82">
        <f t="shared" ref="AK332:AL332" si="426">SUM(AK329:AK331)</f>
        <v>0</v>
      </c>
      <c r="AL332" s="82">
        <f t="shared" si="426"/>
        <v>0</v>
      </c>
      <c r="AM332" s="82">
        <f t="shared" si="425"/>
        <v>0</v>
      </c>
      <c r="AN332" s="82">
        <f t="shared" si="425"/>
        <v>0</v>
      </c>
      <c r="AO332" s="82">
        <f t="shared" si="425"/>
        <v>0</v>
      </c>
      <c r="AP332" s="82">
        <f t="shared" si="425"/>
        <v>0</v>
      </c>
      <c r="AQ332" s="83">
        <f t="shared" si="425"/>
        <v>0</v>
      </c>
      <c r="AR332" s="438">
        <f t="shared" si="425"/>
        <v>7004168</v>
      </c>
      <c r="AS332" s="81">
        <f t="shared" si="425"/>
        <v>5131523</v>
      </c>
      <c r="AT332" s="81">
        <f t="shared" si="425"/>
        <v>0</v>
      </c>
      <c r="AU332" s="81">
        <f t="shared" si="425"/>
        <v>1734454</v>
      </c>
      <c r="AV332" s="81">
        <f t="shared" si="425"/>
        <v>102631</v>
      </c>
      <c r="AW332" s="81">
        <f t="shared" si="425"/>
        <v>35560</v>
      </c>
      <c r="AX332" s="82">
        <f t="shared" si="425"/>
        <v>12.1242</v>
      </c>
      <c r="AY332" s="82">
        <f t="shared" si="425"/>
        <v>8</v>
      </c>
      <c r="AZ332" s="83">
        <f t="shared" si="425"/>
        <v>4.1242000000000001</v>
      </c>
    </row>
    <row r="333" spans="1:52" ht="14.1" customHeight="1" x14ac:dyDescent="0.2">
      <c r="A333" s="72">
        <v>68</v>
      </c>
      <c r="B333" s="69">
        <v>2439</v>
      </c>
      <c r="C333" s="70">
        <v>600078965</v>
      </c>
      <c r="D333" s="69">
        <v>70983143</v>
      </c>
      <c r="E333" s="71" t="s">
        <v>705</v>
      </c>
      <c r="F333" s="72">
        <v>3111</v>
      </c>
      <c r="G333" s="71" t="s">
        <v>312</v>
      </c>
      <c r="H333" s="73" t="s">
        <v>278</v>
      </c>
      <c r="I333" s="494">
        <v>3238480</v>
      </c>
      <c r="J333" s="674">
        <v>2371487</v>
      </c>
      <c r="K333" s="674">
        <v>0</v>
      </c>
      <c r="L333" s="489">
        <v>801563</v>
      </c>
      <c r="M333" s="489">
        <v>47430</v>
      </c>
      <c r="N333" s="489">
        <v>18000</v>
      </c>
      <c r="O333" s="490">
        <v>5.3898000000000001</v>
      </c>
      <c r="P333" s="490">
        <v>4</v>
      </c>
      <c r="Q333" s="500">
        <v>1.3897999999999999</v>
      </c>
      <c r="R333" s="502">
        <f t="shared" ref="R333:R396" si="427">W333*-1</f>
        <v>0</v>
      </c>
      <c r="S333" s="492">
        <v>0</v>
      </c>
      <c r="T333" s="492">
        <v>0</v>
      </c>
      <c r="U333" s="492">
        <v>0</v>
      </c>
      <c r="V333" s="492">
        <f>SUM(R333:U333)</f>
        <v>0</v>
      </c>
      <c r="W333" s="492">
        <v>0</v>
      </c>
      <c r="X333" s="492">
        <v>0</v>
      </c>
      <c r="Y333" s="492">
        <v>0</v>
      </c>
      <c r="Z333" s="492">
        <f t="shared" si="338"/>
        <v>0</v>
      </c>
      <c r="AA333" s="492">
        <f t="shared" si="339"/>
        <v>0</v>
      </c>
      <c r="AB333" s="74">
        <f t="shared" si="340"/>
        <v>0</v>
      </c>
      <c r="AC333" s="74">
        <f t="shared" si="341"/>
        <v>0</v>
      </c>
      <c r="AD333" s="492">
        <v>0</v>
      </c>
      <c r="AE333" s="492">
        <v>0</v>
      </c>
      <c r="AF333" s="492">
        <f>SUM(AD333:AE333)</f>
        <v>0</v>
      </c>
      <c r="AG333" s="492">
        <f>AA333+AB333+AC333+AF333</f>
        <v>0</v>
      </c>
      <c r="AH333" s="493">
        <v>0</v>
      </c>
      <c r="AI333" s="493">
        <v>0</v>
      </c>
      <c r="AJ333" s="493">
        <v>0</v>
      </c>
      <c r="AK333" s="493">
        <v>0</v>
      </c>
      <c r="AL333" s="493">
        <v>0</v>
      </c>
      <c r="AM333" s="493">
        <v>0</v>
      </c>
      <c r="AN333" s="493">
        <v>0</v>
      </c>
      <c r="AO333" s="493">
        <f t="shared" ref="AO333:AO396" si="428">AH333+AJ333+AK333+AM333</f>
        <v>0</v>
      </c>
      <c r="AP333" s="493">
        <f t="shared" ref="AP333:AP396" si="429">AI333+AL333+AN333</f>
        <v>0</v>
      </c>
      <c r="AQ333" s="495">
        <f t="shared" si="342"/>
        <v>0</v>
      </c>
      <c r="AR333" s="501">
        <f>I333+AG333</f>
        <v>3238480</v>
      </c>
      <c r="AS333" s="492">
        <f>J333+V333</f>
        <v>2371487</v>
      </c>
      <c r="AT333" s="492">
        <f t="shared" ref="AT333:AT334" si="430">K333+Z333</f>
        <v>0</v>
      </c>
      <c r="AU333" s="492">
        <f>L333+AB333</f>
        <v>801563</v>
      </c>
      <c r="AV333" s="492">
        <f>M333+AC333</f>
        <v>47430</v>
      </c>
      <c r="AW333" s="492">
        <f>N333+AF333</f>
        <v>18000</v>
      </c>
      <c r="AX333" s="493">
        <f>O333+AQ333</f>
        <v>5.3898000000000001</v>
      </c>
      <c r="AY333" s="493">
        <f>P333+AO333</f>
        <v>4</v>
      </c>
      <c r="AZ333" s="495">
        <f>Q333+AP333</f>
        <v>1.3897999999999999</v>
      </c>
    </row>
    <row r="334" spans="1:52" ht="14.1" customHeight="1" x14ac:dyDescent="0.2">
      <c r="A334" s="72">
        <v>68</v>
      </c>
      <c r="B334" s="69">
        <v>2439</v>
      </c>
      <c r="C334" s="70">
        <v>600078965</v>
      </c>
      <c r="D334" s="69">
        <v>70983143</v>
      </c>
      <c r="E334" s="71" t="s">
        <v>705</v>
      </c>
      <c r="F334" s="72">
        <v>3141</v>
      </c>
      <c r="G334" s="71" t="s">
        <v>316</v>
      </c>
      <c r="H334" s="73" t="s">
        <v>279</v>
      </c>
      <c r="I334" s="494">
        <v>589210</v>
      </c>
      <c r="J334" s="489">
        <v>432173</v>
      </c>
      <c r="K334" s="489">
        <v>0</v>
      </c>
      <c r="L334" s="489">
        <v>146074</v>
      </c>
      <c r="M334" s="489">
        <v>8643</v>
      </c>
      <c r="N334" s="489">
        <v>2320</v>
      </c>
      <c r="O334" s="490">
        <v>1.36</v>
      </c>
      <c r="P334" s="491">
        <v>0</v>
      </c>
      <c r="Q334" s="500">
        <v>1.36</v>
      </c>
      <c r="R334" s="502">
        <f t="shared" si="427"/>
        <v>0</v>
      </c>
      <c r="S334" s="492">
        <v>0</v>
      </c>
      <c r="T334" s="492">
        <v>0</v>
      </c>
      <c r="U334" s="492">
        <v>0</v>
      </c>
      <c r="V334" s="492">
        <f>SUM(R334:U334)</f>
        <v>0</v>
      </c>
      <c r="W334" s="492">
        <v>0</v>
      </c>
      <c r="X334" s="492">
        <v>0</v>
      </c>
      <c r="Y334" s="492">
        <v>0</v>
      </c>
      <c r="Z334" s="492">
        <f t="shared" si="338"/>
        <v>0</v>
      </c>
      <c r="AA334" s="492">
        <f t="shared" si="339"/>
        <v>0</v>
      </c>
      <c r="AB334" s="74">
        <f t="shared" si="340"/>
        <v>0</v>
      </c>
      <c r="AC334" s="74">
        <f t="shared" si="341"/>
        <v>0</v>
      </c>
      <c r="AD334" s="492">
        <v>0</v>
      </c>
      <c r="AE334" s="492">
        <v>0</v>
      </c>
      <c r="AF334" s="492">
        <f>SUM(AD334:AE334)</f>
        <v>0</v>
      </c>
      <c r="AG334" s="492">
        <f>AA334+AB334+AC334+AF334</f>
        <v>0</v>
      </c>
      <c r="AH334" s="493">
        <v>0</v>
      </c>
      <c r="AI334" s="493">
        <v>0</v>
      </c>
      <c r="AJ334" s="493">
        <v>0</v>
      </c>
      <c r="AK334" s="493">
        <v>0</v>
      </c>
      <c r="AL334" s="493">
        <v>0</v>
      </c>
      <c r="AM334" s="493">
        <v>0</v>
      </c>
      <c r="AN334" s="493">
        <v>0</v>
      </c>
      <c r="AO334" s="493">
        <f t="shared" si="428"/>
        <v>0</v>
      </c>
      <c r="AP334" s="493">
        <f t="shared" si="429"/>
        <v>0</v>
      </c>
      <c r="AQ334" s="495">
        <f t="shared" si="342"/>
        <v>0</v>
      </c>
      <c r="AR334" s="501">
        <f>I334+AG334</f>
        <v>589210</v>
      </c>
      <c r="AS334" s="492">
        <f>J334+V334</f>
        <v>432173</v>
      </c>
      <c r="AT334" s="492">
        <f t="shared" si="430"/>
        <v>0</v>
      </c>
      <c r="AU334" s="492">
        <f>L334+AB334</f>
        <v>146074</v>
      </c>
      <c r="AV334" s="492">
        <f>M334+AC334</f>
        <v>8643</v>
      </c>
      <c r="AW334" s="492">
        <f>N334+AF334</f>
        <v>2320</v>
      </c>
      <c r="AX334" s="493">
        <f>O334+AQ334</f>
        <v>1.36</v>
      </c>
      <c r="AY334" s="493">
        <f>P334+AO334</f>
        <v>0</v>
      </c>
      <c r="AZ334" s="495">
        <f>Q334+AP334</f>
        <v>1.36</v>
      </c>
    </row>
    <row r="335" spans="1:52" ht="14.1" customHeight="1" x14ac:dyDescent="0.2">
      <c r="A335" s="78">
        <v>68</v>
      </c>
      <c r="B335" s="75">
        <v>2439</v>
      </c>
      <c r="C335" s="76">
        <v>600078965</v>
      </c>
      <c r="D335" s="75">
        <v>70983143</v>
      </c>
      <c r="E335" s="77" t="s">
        <v>706</v>
      </c>
      <c r="F335" s="78"/>
      <c r="G335" s="77"/>
      <c r="H335" s="79"/>
      <c r="I335" s="80">
        <v>3827690</v>
      </c>
      <c r="J335" s="81">
        <v>2803660</v>
      </c>
      <c r="K335" s="81">
        <v>0</v>
      </c>
      <c r="L335" s="81">
        <v>947637</v>
      </c>
      <c r="M335" s="81">
        <v>56073</v>
      </c>
      <c r="N335" s="81">
        <v>20320</v>
      </c>
      <c r="O335" s="82">
        <v>6.7498000000000005</v>
      </c>
      <c r="P335" s="82">
        <v>4</v>
      </c>
      <c r="Q335" s="452">
        <v>2.7498</v>
      </c>
      <c r="R335" s="80">
        <f t="shared" ref="R335:AZ335" si="431">SUM(R333:R334)</f>
        <v>0</v>
      </c>
      <c r="S335" s="81">
        <f t="shared" si="431"/>
        <v>0</v>
      </c>
      <c r="T335" s="81">
        <f t="shared" si="431"/>
        <v>0</v>
      </c>
      <c r="U335" s="81">
        <f t="shared" si="431"/>
        <v>0</v>
      </c>
      <c r="V335" s="81">
        <f t="shared" si="431"/>
        <v>0</v>
      </c>
      <c r="W335" s="81">
        <f t="shared" si="431"/>
        <v>0</v>
      </c>
      <c r="X335" s="81">
        <f t="shared" si="431"/>
        <v>0</v>
      </c>
      <c r="Y335" s="81">
        <f t="shared" si="431"/>
        <v>0</v>
      </c>
      <c r="Z335" s="81">
        <f t="shared" si="431"/>
        <v>0</v>
      </c>
      <c r="AA335" s="81">
        <f t="shared" si="431"/>
        <v>0</v>
      </c>
      <c r="AB335" s="81">
        <f t="shared" si="431"/>
        <v>0</v>
      </c>
      <c r="AC335" s="81">
        <f t="shared" si="431"/>
        <v>0</v>
      </c>
      <c r="AD335" s="81">
        <f t="shared" si="431"/>
        <v>0</v>
      </c>
      <c r="AE335" s="81">
        <f t="shared" si="431"/>
        <v>0</v>
      </c>
      <c r="AF335" s="81">
        <f t="shared" si="431"/>
        <v>0</v>
      </c>
      <c r="AG335" s="81">
        <f t="shared" si="431"/>
        <v>0</v>
      </c>
      <c r="AH335" s="82">
        <f t="shared" si="431"/>
        <v>0</v>
      </c>
      <c r="AI335" s="82">
        <f t="shared" si="431"/>
        <v>0</v>
      </c>
      <c r="AJ335" s="82">
        <f t="shared" si="431"/>
        <v>0</v>
      </c>
      <c r="AK335" s="82">
        <f t="shared" ref="AK335:AL335" si="432">SUM(AK333:AK334)</f>
        <v>0</v>
      </c>
      <c r="AL335" s="82">
        <f t="shared" si="432"/>
        <v>0</v>
      </c>
      <c r="AM335" s="82">
        <f t="shared" si="431"/>
        <v>0</v>
      </c>
      <c r="AN335" s="82">
        <f t="shared" si="431"/>
        <v>0</v>
      </c>
      <c r="AO335" s="82">
        <f t="shared" si="431"/>
        <v>0</v>
      </c>
      <c r="AP335" s="82">
        <f t="shared" si="431"/>
        <v>0</v>
      </c>
      <c r="AQ335" s="83">
        <f t="shared" si="431"/>
        <v>0</v>
      </c>
      <c r="AR335" s="438">
        <f t="shared" si="431"/>
        <v>3827690</v>
      </c>
      <c r="AS335" s="81">
        <f t="shared" si="431"/>
        <v>2803660</v>
      </c>
      <c r="AT335" s="81">
        <f t="shared" si="431"/>
        <v>0</v>
      </c>
      <c r="AU335" s="81">
        <f t="shared" si="431"/>
        <v>947637</v>
      </c>
      <c r="AV335" s="81">
        <f t="shared" si="431"/>
        <v>56073</v>
      </c>
      <c r="AW335" s="81">
        <f t="shared" si="431"/>
        <v>20320</v>
      </c>
      <c r="AX335" s="82">
        <f t="shared" si="431"/>
        <v>6.7498000000000005</v>
      </c>
      <c r="AY335" s="82">
        <f t="shared" si="431"/>
        <v>4</v>
      </c>
      <c r="AZ335" s="83">
        <f t="shared" si="431"/>
        <v>2.7498</v>
      </c>
    </row>
    <row r="336" spans="1:52" ht="14.1" customHeight="1" x14ac:dyDescent="0.2">
      <c r="A336" s="72">
        <v>69</v>
      </c>
      <c r="B336" s="69">
        <v>2302</v>
      </c>
      <c r="C336" s="70">
        <v>600080366</v>
      </c>
      <c r="D336" s="69">
        <v>70983127</v>
      </c>
      <c r="E336" s="71" t="s">
        <v>707</v>
      </c>
      <c r="F336" s="72">
        <v>3111</v>
      </c>
      <c r="G336" s="71" t="s">
        <v>312</v>
      </c>
      <c r="H336" s="73" t="s">
        <v>278</v>
      </c>
      <c r="I336" s="494">
        <v>5567116</v>
      </c>
      <c r="J336" s="489">
        <v>4071477</v>
      </c>
      <c r="K336" s="489">
        <v>0</v>
      </c>
      <c r="L336" s="489">
        <v>1376159</v>
      </c>
      <c r="M336" s="489">
        <v>81430</v>
      </c>
      <c r="N336" s="489">
        <v>38050</v>
      </c>
      <c r="O336" s="490">
        <v>9.4359999999999999</v>
      </c>
      <c r="P336" s="490">
        <v>7.4452999999999996</v>
      </c>
      <c r="Q336" s="500">
        <v>1.9906999999999999</v>
      </c>
      <c r="R336" s="502">
        <f t="shared" si="427"/>
        <v>0</v>
      </c>
      <c r="S336" s="492">
        <v>0</v>
      </c>
      <c r="T336" s="492">
        <v>0</v>
      </c>
      <c r="U336" s="492">
        <v>0</v>
      </c>
      <c r="V336" s="492">
        <f t="shared" ref="V336:V343" si="433">SUM(R336:U336)</f>
        <v>0</v>
      </c>
      <c r="W336" s="492">
        <v>0</v>
      </c>
      <c r="X336" s="492">
        <v>0</v>
      </c>
      <c r="Y336" s="492">
        <v>0</v>
      </c>
      <c r="Z336" s="492">
        <f t="shared" ref="Z336:Z398" si="434">SUM(W336:Y336)</f>
        <v>0</v>
      </c>
      <c r="AA336" s="492">
        <f t="shared" ref="AA336:AA398" si="435">V336+Z336</f>
        <v>0</v>
      </c>
      <c r="AB336" s="74">
        <f t="shared" ref="AB336:AB398" si="436">ROUND((V336+W336+X336)*33.8%,0)</f>
        <v>0</v>
      </c>
      <c r="AC336" s="74">
        <f t="shared" ref="AC336:AC398" si="437">ROUND(V336*2%,0)</f>
        <v>0</v>
      </c>
      <c r="AD336" s="492">
        <v>0</v>
      </c>
      <c r="AE336" s="492">
        <v>0</v>
      </c>
      <c r="AF336" s="492">
        <f t="shared" ref="AF336:AF343" si="438">SUM(AD336:AE336)</f>
        <v>0</v>
      </c>
      <c r="AG336" s="492">
        <f t="shared" ref="AG336:AG343" si="439">AA336+AB336+AC336+AF336</f>
        <v>0</v>
      </c>
      <c r="AH336" s="493">
        <v>0</v>
      </c>
      <c r="AI336" s="493">
        <v>0</v>
      </c>
      <c r="AJ336" s="493">
        <v>0</v>
      </c>
      <c r="AK336" s="493">
        <v>0</v>
      </c>
      <c r="AL336" s="493">
        <v>0</v>
      </c>
      <c r="AM336" s="493">
        <v>0</v>
      </c>
      <c r="AN336" s="493">
        <v>0</v>
      </c>
      <c r="AO336" s="493">
        <f t="shared" si="428"/>
        <v>0</v>
      </c>
      <c r="AP336" s="493">
        <f t="shared" si="429"/>
        <v>0</v>
      </c>
      <c r="AQ336" s="495">
        <f t="shared" ref="AQ336:AQ398" si="440">SUM(AO336:AP336)</f>
        <v>0</v>
      </c>
      <c r="AR336" s="501">
        <f t="shared" ref="AR336:AR343" si="441">I336+AG336</f>
        <v>5567116</v>
      </c>
      <c r="AS336" s="492">
        <f t="shared" ref="AS336:AS343" si="442">J336+V336</f>
        <v>4071477</v>
      </c>
      <c r="AT336" s="492">
        <f t="shared" ref="AT336:AT343" si="443">K336+Z336</f>
        <v>0</v>
      </c>
      <c r="AU336" s="492">
        <f t="shared" ref="AU336:AV343" si="444">L336+AB336</f>
        <v>1376159</v>
      </c>
      <c r="AV336" s="492">
        <f t="shared" si="444"/>
        <v>81430</v>
      </c>
      <c r="AW336" s="492">
        <f t="shared" ref="AW336:AW343" si="445">N336+AF336</f>
        <v>38050</v>
      </c>
      <c r="AX336" s="493">
        <f t="shared" ref="AX336:AX343" si="446">O336+AQ336</f>
        <v>9.4359999999999999</v>
      </c>
      <c r="AY336" s="493">
        <f t="shared" ref="AY336:AZ343" si="447">P336+AO336</f>
        <v>7.4452999999999996</v>
      </c>
      <c r="AZ336" s="495">
        <f t="shared" si="447"/>
        <v>1.9906999999999999</v>
      </c>
    </row>
    <row r="337" spans="1:52" ht="14.1" customHeight="1" x14ac:dyDescent="0.2">
      <c r="A337" s="72">
        <v>69</v>
      </c>
      <c r="B337" s="69">
        <v>2302</v>
      </c>
      <c r="C337" s="70">
        <v>600080366</v>
      </c>
      <c r="D337" s="69">
        <v>70983127</v>
      </c>
      <c r="E337" s="71" t="s">
        <v>707</v>
      </c>
      <c r="F337" s="72">
        <v>3111</v>
      </c>
      <c r="G337" s="48" t="s">
        <v>314</v>
      </c>
      <c r="H337" s="73" t="s">
        <v>278</v>
      </c>
      <c r="I337" s="494">
        <v>538241</v>
      </c>
      <c r="J337" s="489">
        <v>396348</v>
      </c>
      <c r="K337" s="489">
        <v>0</v>
      </c>
      <c r="L337" s="489">
        <v>133966</v>
      </c>
      <c r="M337" s="489">
        <v>7927</v>
      </c>
      <c r="N337" s="489">
        <v>0</v>
      </c>
      <c r="O337" s="490">
        <v>1</v>
      </c>
      <c r="P337" s="491">
        <v>1</v>
      </c>
      <c r="Q337" s="500">
        <v>0</v>
      </c>
      <c r="R337" s="502">
        <f t="shared" si="427"/>
        <v>0</v>
      </c>
      <c r="S337" s="492">
        <v>0</v>
      </c>
      <c r="T337" s="492">
        <v>0</v>
      </c>
      <c r="U337" s="492">
        <v>0</v>
      </c>
      <c r="V337" s="492">
        <f t="shared" si="433"/>
        <v>0</v>
      </c>
      <c r="W337" s="492">
        <v>0</v>
      </c>
      <c r="X337" s="492">
        <v>0</v>
      </c>
      <c r="Y337" s="492">
        <v>0</v>
      </c>
      <c r="Z337" s="492">
        <f t="shared" si="434"/>
        <v>0</v>
      </c>
      <c r="AA337" s="492">
        <f t="shared" si="435"/>
        <v>0</v>
      </c>
      <c r="AB337" s="74">
        <f t="shared" si="436"/>
        <v>0</v>
      </c>
      <c r="AC337" s="74">
        <f t="shared" si="437"/>
        <v>0</v>
      </c>
      <c r="AD337" s="492">
        <v>0</v>
      </c>
      <c r="AE337" s="492">
        <v>0</v>
      </c>
      <c r="AF337" s="492">
        <f t="shared" si="438"/>
        <v>0</v>
      </c>
      <c r="AG337" s="492">
        <f t="shared" si="439"/>
        <v>0</v>
      </c>
      <c r="AH337" s="493">
        <v>0</v>
      </c>
      <c r="AI337" s="493">
        <v>0</v>
      </c>
      <c r="AJ337" s="493">
        <v>0</v>
      </c>
      <c r="AK337" s="493">
        <v>0</v>
      </c>
      <c r="AL337" s="493">
        <v>0</v>
      </c>
      <c r="AM337" s="493">
        <v>0</v>
      </c>
      <c r="AN337" s="493">
        <v>0</v>
      </c>
      <c r="AO337" s="493">
        <f t="shared" si="428"/>
        <v>0</v>
      </c>
      <c r="AP337" s="493">
        <f t="shared" si="429"/>
        <v>0</v>
      </c>
      <c r="AQ337" s="495">
        <f t="shared" si="440"/>
        <v>0</v>
      </c>
      <c r="AR337" s="501">
        <f t="shared" si="441"/>
        <v>538241</v>
      </c>
      <c r="AS337" s="492">
        <f t="shared" si="442"/>
        <v>396348</v>
      </c>
      <c r="AT337" s="492">
        <f t="shared" si="443"/>
        <v>0</v>
      </c>
      <c r="AU337" s="492">
        <f t="shared" si="444"/>
        <v>133966</v>
      </c>
      <c r="AV337" s="492">
        <f t="shared" si="444"/>
        <v>7927</v>
      </c>
      <c r="AW337" s="492">
        <f t="shared" si="445"/>
        <v>0</v>
      </c>
      <c r="AX337" s="493">
        <f t="shared" si="446"/>
        <v>1</v>
      </c>
      <c r="AY337" s="493">
        <f t="shared" si="447"/>
        <v>1</v>
      </c>
      <c r="AZ337" s="495">
        <f t="shared" si="447"/>
        <v>0</v>
      </c>
    </row>
    <row r="338" spans="1:52" ht="14.1" customHeight="1" x14ac:dyDescent="0.2">
      <c r="A338" s="72">
        <v>69</v>
      </c>
      <c r="B338" s="69">
        <v>2302</v>
      </c>
      <c r="C338" s="70">
        <v>600080366</v>
      </c>
      <c r="D338" s="69">
        <v>70983127</v>
      </c>
      <c r="E338" s="71" t="s">
        <v>707</v>
      </c>
      <c r="F338" s="72">
        <v>3114</v>
      </c>
      <c r="G338" s="176" t="s">
        <v>559</v>
      </c>
      <c r="H338" s="73" t="s">
        <v>278</v>
      </c>
      <c r="I338" s="494">
        <v>10013139</v>
      </c>
      <c r="J338" s="489">
        <v>7250047</v>
      </c>
      <c r="K338" s="489">
        <v>52000</v>
      </c>
      <c r="L338" s="489">
        <v>2468091</v>
      </c>
      <c r="M338" s="489">
        <v>145001</v>
      </c>
      <c r="N338" s="489">
        <v>98000</v>
      </c>
      <c r="O338" s="490">
        <v>12.508599999999999</v>
      </c>
      <c r="P338" s="490">
        <v>9</v>
      </c>
      <c r="Q338" s="500">
        <v>3.5085999999999995</v>
      </c>
      <c r="R338" s="502">
        <f t="shared" si="427"/>
        <v>0</v>
      </c>
      <c r="S338" s="492">
        <v>0</v>
      </c>
      <c r="T338" s="492">
        <v>0</v>
      </c>
      <c r="U338" s="492">
        <v>0</v>
      </c>
      <c r="V338" s="492">
        <f t="shared" si="433"/>
        <v>0</v>
      </c>
      <c r="W338" s="492">
        <v>0</v>
      </c>
      <c r="X338" s="492">
        <v>0</v>
      </c>
      <c r="Y338" s="492">
        <v>0</v>
      </c>
      <c r="Z338" s="492">
        <f t="shared" si="434"/>
        <v>0</v>
      </c>
      <c r="AA338" s="492">
        <f t="shared" si="435"/>
        <v>0</v>
      </c>
      <c r="AB338" s="74">
        <f t="shared" si="436"/>
        <v>0</v>
      </c>
      <c r="AC338" s="74">
        <f t="shared" si="437"/>
        <v>0</v>
      </c>
      <c r="AD338" s="492">
        <v>0</v>
      </c>
      <c r="AE338" s="492">
        <v>0</v>
      </c>
      <c r="AF338" s="492">
        <f t="shared" si="438"/>
        <v>0</v>
      </c>
      <c r="AG338" s="492">
        <f t="shared" si="439"/>
        <v>0</v>
      </c>
      <c r="AH338" s="493">
        <v>0</v>
      </c>
      <c r="AI338" s="493">
        <v>0</v>
      </c>
      <c r="AJ338" s="493">
        <v>0</v>
      </c>
      <c r="AK338" s="493">
        <v>0</v>
      </c>
      <c r="AL338" s="493">
        <v>0</v>
      </c>
      <c r="AM338" s="493">
        <v>0</v>
      </c>
      <c r="AN338" s="493">
        <v>0</v>
      </c>
      <c r="AO338" s="493">
        <f t="shared" si="428"/>
        <v>0</v>
      </c>
      <c r="AP338" s="493">
        <f t="shared" si="429"/>
        <v>0</v>
      </c>
      <c r="AQ338" s="495">
        <f t="shared" si="440"/>
        <v>0</v>
      </c>
      <c r="AR338" s="501">
        <f t="shared" si="441"/>
        <v>10013139</v>
      </c>
      <c r="AS338" s="492">
        <f t="shared" si="442"/>
        <v>7250047</v>
      </c>
      <c r="AT338" s="492">
        <f t="shared" si="443"/>
        <v>52000</v>
      </c>
      <c r="AU338" s="492">
        <f t="shared" si="444"/>
        <v>2468091</v>
      </c>
      <c r="AV338" s="492">
        <f t="shared" si="444"/>
        <v>145001</v>
      </c>
      <c r="AW338" s="492">
        <f t="shared" si="445"/>
        <v>98000</v>
      </c>
      <c r="AX338" s="493">
        <f t="shared" si="446"/>
        <v>12.508599999999999</v>
      </c>
      <c r="AY338" s="493">
        <f t="shared" si="447"/>
        <v>9</v>
      </c>
      <c r="AZ338" s="495">
        <f t="shared" si="447"/>
        <v>3.5085999999999995</v>
      </c>
    </row>
    <row r="339" spans="1:52" ht="14.1" customHeight="1" x14ac:dyDescent="0.2">
      <c r="A339" s="72">
        <v>69</v>
      </c>
      <c r="B339" s="69">
        <v>2302</v>
      </c>
      <c r="C339" s="70">
        <v>600080366</v>
      </c>
      <c r="D339" s="69">
        <v>70983127</v>
      </c>
      <c r="E339" s="71" t="s">
        <v>707</v>
      </c>
      <c r="F339" s="72">
        <v>3114</v>
      </c>
      <c r="G339" s="48" t="s">
        <v>314</v>
      </c>
      <c r="H339" s="73" t="s">
        <v>278</v>
      </c>
      <c r="I339" s="494">
        <v>2774759</v>
      </c>
      <c r="J339" s="489">
        <v>2043269</v>
      </c>
      <c r="K339" s="489">
        <v>0</v>
      </c>
      <c r="L339" s="489">
        <v>690625</v>
      </c>
      <c r="M339" s="489">
        <v>40865</v>
      </c>
      <c r="N339" s="489">
        <v>0</v>
      </c>
      <c r="O339" s="490">
        <v>5.2778</v>
      </c>
      <c r="P339" s="491">
        <v>5.2778</v>
      </c>
      <c r="Q339" s="500">
        <v>0</v>
      </c>
      <c r="R339" s="502">
        <f t="shared" si="427"/>
        <v>0</v>
      </c>
      <c r="S339" s="492">
        <v>0</v>
      </c>
      <c r="T339" s="492">
        <v>0</v>
      </c>
      <c r="U339" s="492">
        <v>0</v>
      </c>
      <c r="V339" s="492">
        <f t="shared" si="433"/>
        <v>0</v>
      </c>
      <c r="W339" s="492">
        <v>0</v>
      </c>
      <c r="X339" s="492">
        <v>0</v>
      </c>
      <c r="Y339" s="492">
        <v>0</v>
      </c>
      <c r="Z339" s="492">
        <f t="shared" si="434"/>
        <v>0</v>
      </c>
      <c r="AA339" s="492">
        <f t="shared" si="435"/>
        <v>0</v>
      </c>
      <c r="AB339" s="74">
        <f t="shared" si="436"/>
        <v>0</v>
      </c>
      <c r="AC339" s="74">
        <f t="shared" si="437"/>
        <v>0</v>
      </c>
      <c r="AD339" s="492">
        <v>0</v>
      </c>
      <c r="AE339" s="492">
        <v>0</v>
      </c>
      <c r="AF339" s="492">
        <f t="shared" si="438"/>
        <v>0</v>
      </c>
      <c r="AG339" s="492">
        <f t="shared" si="439"/>
        <v>0</v>
      </c>
      <c r="AH339" s="493">
        <v>0</v>
      </c>
      <c r="AI339" s="493">
        <v>0</v>
      </c>
      <c r="AJ339" s="493">
        <v>0</v>
      </c>
      <c r="AK339" s="493">
        <v>0</v>
      </c>
      <c r="AL339" s="493">
        <v>0</v>
      </c>
      <c r="AM339" s="493">
        <v>0</v>
      </c>
      <c r="AN339" s="493">
        <v>0</v>
      </c>
      <c r="AO339" s="493">
        <f t="shared" si="428"/>
        <v>0</v>
      </c>
      <c r="AP339" s="493">
        <f t="shared" si="429"/>
        <v>0</v>
      </c>
      <c r="AQ339" s="495">
        <f t="shared" si="440"/>
        <v>0</v>
      </c>
      <c r="AR339" s="501">
        <f t="shared" si="441"/>
        <v>2774759</v>
      </c>
      <c r="AS339" s="492">
        <f t="shared" si="442"/>
        <v>2043269</v>
      </c>
      <c r="AT339" s="492">
        <f t="shared" si="443"/>
        <v>0</v>
      </c>
      <c r="AU339" s="492">
        <f t="shared" si="444"/>
        <v>690625</v>
      </c>
      <c r="AV339" s="492">
        <f t="shared" si="444"/>
        <v>40865</v>
      </c>
      <c r="AW339" s="492">
        <f t="shared" si="445"/>
        <v>0</v>
      </c>
      <c r="AX339" s="493">
        <f t="shared" si="446"/>
        <v>5.2778</v>
      </c>
      <c r="AY339" s="493">
        <f t="shared" si="447"/>
        <v>5.2778</v>
      </c>
      <c r="AZ339" s="495">
        <f t="shared" si="447"/>
        <v>0</v>
      </c>
    </row>
    <row r="340" spans="1:52" ht="14.1" customHeight="1" x14ac:dyDescent="0.2">
      <c r="A340" s="72">
        <v>69</v>
      </c>
      <c r="B340" s="69">
        <v>2302</v>
      </c>
      <c r="C340" s="70">
        <v>600080366</v>
      </c>
      <c r="D340" s="69">
        <v>70983127</v>
      </c>
      <c r="E340" s="71" t="s">
        <v>707</v>
      </c>
      <c r="F340" s="72">
        <v>3114</v>
      </c>
      <c r="G340" s="84" t="s">
        <v>313</v>
      </c>
      <c r="H340" s="73" t="s">
        <v>279</v>
      </c>
      <c r="I340" s="494">
        <v>771052</v>
      </c>
      <c r="J340" s="489">
        <v>567785</v>
      </c>
      <c r="K340" s="489">
        <v>0</v>
      </c>
      <c r="L340" s="489">
        <v>191911</v>
      </c>
      <c r="M340" s="489">
        <v>11356</v>
      </c>
      <c r="N340" s="489">
        <v>0</v>
      </c>
      <c r="O340" s="490">
        <v>1.64</v>
      </c>
      <c r="P340" s="491">
        <v>1.64</v>
      </c>
      <c r="Q340" s="500">
        <v>0</v>
      </c>
      <c r="R340" s="502">
        <f t="shared" si="427"/>
        <v>0</v>
      </c>
      <c r="S340" s="489">
        <v>0</v>
      </c>
      <c r="T340" s="492">
        <v>0</v>
      </c>
      <c r="U340" s="492">
        <v>0</v>
      </c>
      <c r="V340" s="492">
        <f t="shared" si="433"/>
        <v>0</v>
      </c>
      <c r="W340" s="492">
        <v>0</v>
      </c>
      <c r="X340" s="492">
        <v>0</v>
      </c>
      <c r="Y340" s="492">
        <v>0</v>
      </c>
      <c r="Z340" s="492">
        <f t="shared" si="434"/>
        <v>0</v>
      </c>
      <c r="AA340" s="492">
        <f t="shared" si="435"/>
        <v>0</v>
      </c>
      <c r="AB340" s="74">
        <f t="shared" si="436"/>
        <v>0</v>
      </c>
      <c r="AC340" s="74">
        <f t="shared" si="437"/>
        <v>0</v>
      </c>
      <c r="AD340" s="492">
        <v>0</v>
      </c>
      <c r="AE340" s="492">
        <v>0</v>
      </c>
      <c r="AF340" s="492">
        <f t="shared" si="438"/>
        <v>0</v>
      </c>
      <c r="AG340" s="492">
        <f t="shared" si="439"/>
        <v>0</v>
      </c>
      <c r="AH340" s="493">
        <v>0</v>
      </c>
      <c r="AI340" s="493">
        <v>0</v>
      </c>
      <c r="AJ340" s="493">
        <v>0</v>
      </c>
      <c r="AK340" s="493">
        <v>0</v>
      </c>
      <c r="AL340" s="493">
        <v>0</v>
      </c>
      <c r="AM340" s="493">
        <v>0</v>
      </c>
      <c r="AN340" s="493">
        <v>0</v>
      </c>
      <c r="AO340" s="493">
        <f t="shared" si="428"/>
        <v>0</v>
      </c>
      <c r="AP340" s="493">
        <f t="shared" si="429"/>
        <v>0</v>
      </c>
      <c r="AQ340" s="495">
        <f t="shared" si="440"/>
        <v>0</v>
      </c>
      <c r="AR340" s="501">
        <f t="shared" si="441"/>
        <v>771052</v>
      </c>
      <c r="AS340" s="492">
        <f t="shared" si="442"/>
        <v>567785</v>
      </c>
      <c r="AT340" s="492">
        <f t="shared" si="443"/>
        <v>0</v>
      </c>
      <c r="AU340" s="492">
        <f t="shared" si="444"/>
        <v>191911</v>
      </c>
      <c r="AV340" s="492">
        <f t="shared" si="444"/>
        <v>11356</v>
      </c>
      <c r="AW340" s="492">
        <f t="shared" si="445"/>
        <v>0</v>
      </c>
      <c r="AX340" s="493">
        <f t="shared" si="446"/>
        <v>1.64</v>
      </c>
      <c r="AY340" s="493">
        <f t="shared" si="447"/>
        <v>1.64</v>
      </c>
      <c r="AZ340" s="495">
        <f t="shared" si="447"/>
        <v>0</v>
      </c>
    </row>
    <row r="341" spans="1:52" ht="14.1" customHeight="1" x14ac:dyDescent="0.2">
      <c r="A341" s="72">
        <v>69</v>
      </c>
      <c r="B341" s="69">
        <v>2302</v>
      </c>
      <c r="C341" s="70">
        <v>600080366</v>
      </c>
      <c r="D341" s="69">
        <v>70983127</v>
      </c>
      <c r="E341" s="71" t="s">
        <v>707</v>
      </c>
      <c r="F341" s="72">
        <v>3141</v>
      </c>
      <c r="G341" s="71" t="s">
        <v>316</v>
      </c>
      <c r="H341" s="73" t="s">
        <v>279</v>
      </c>
      <c r="I341" s="494">
        <v>509877</v>
      </c>
      <c r="J341" s="489">
        <v>372524</v>
      </c>
      <c r="K341" s="489">
        <v>0</v>
      </c>
      <c r="L341" s="489">
        <v>125913</v>
      </c>
      <c r="M341" s="489">
        <v>7450</v>
      </c>
      <c r="N341" s="489">
        <v>3990</v>
      </c>
      <c r="O341" s="490">
        <v>1.17</v>
      </c>
      <c r="P341" s="491">
        <v>0</v>
      </c>
      <c r="Q341" s="500">
        <v>1.17</v>
      </c>
      <c r="R341" s="502">
        <f t="shared" si="427"/>
        <v>0</v>
      </c>
      <c r="S341" s="492">
        <v>0</v>
      </c>
      <c r="T341" s="492">
        <v>0</v>
      </c>
      <c r="U341" s="492">
        <v>0</v>
      </c>
      <c r="V341" s="492">
        <f t="shared" si="433"/>
        <v>0</v>
      </c>
      <c r="W341" s="492">
        <v>0</v>
      </c>
      <c r="X341" s="492">
        <v>0</v>
      </c>
      <c r="Y341" s="492">
        <v>0</v>
      </c>
      <c r="Z341" s="492">
        <f t="shared" si="434"/>
        <v>0</v>
      </c>
      <c r="AA341" s="492">
        <f t="shared" si="435"/>
        <v>0</v>
      </c>
      <c r="AB341" s="74">
        <f t="shared" si="436"/>
        <v>0</v>
      </c>
      <c r="AC341" s="74">
        <f t="shared" si="437"/>
        <v>0</v>
      </c>
      <c r="AD341" s="492">
        <v>0</v>
      </c>
      <c r="AE341" s="492">
        <v>0</v>
      </c>
      <c r="AF341" s="492">
        <f t="shared" si="438"/>
        <v>0</v>
      </c>
      <c r="AG341" s="492">
        <f t="shared" si="439"/>
        <v>0</v>
      </c>
      <c r="AH341" s="493">
        <v>0</v>
      </c>
      <c r="AI341" s="493">
        <v>0</v>
      </c>
      <c r="AJ341" s="493">
        <v>0</v>
      </c>
      <c r="AK341" s="493">
        <v>0</v>
      </c>
      <c r="AL341" s="493">
        <v>0</v>
      </c>
      <c r="AM341" s="493">
        <v>0</v>
      </c>
      <c r="AN341" s="493">
        <v>0</v>
      </c>
      <c r="AO341" s="493">
        <f t="shared" si="428"/>
        <v>0</v>
      </c>
      <c r="AP341" s="493">
        <f t="shared" si="429"/>
        <v>0</v>
      </c>
      <c r="AQ341" s="495">
        <f t="shared" si="440"/>
        <v>0</v>
      </c>
      <c r="AR341" s="501">
        <f t="shared" si="441"/>
        <v>509877</v>
      </c>
      <c r="AS341" s="492">
        <f t="shared" si="442"/>
        <v>372524</v>
      </c>
      <c r="AT341" s="492">
        <f t="shared" si="443"/>
        <v>0</v>
      </c>
      <c r="AU341" s="492">
        <f t="shared" si="444"/>
        <v>125913</v>
      </c>
      <c r="AV341" s="492">
        <f t="shared" si="444"/>
        <v>7450</v>
      </c>
      <c r="AW341" s="492">
        <f t="shared" si="445"/>
        <v>3990</v>
      </c>
      <c r="AX341" s="493">
        <f t="shared" si="446"/>
        <v>1.17</v>
      </c>
      <c r="AY341" s="493">
        <f t="shared" si="447"/>
        <v>0</v>
      </c>
      <c r="AZ341" s="495">
        <f t="shared" si="447"/>
        <v>1.17</v>
      </c>
    </row>
    <row r="342" spans="1:52" ht="14.1" customHeight="1" x14ac:dyDescent="0.2">
      <c r="A342" s="72">
        <v>69</v>
      </c>
      <c r="B342" s="69">
        <v>2302</v>
      </c>
      <c r="C342" s="70">
        <v>600080366</v>
      </c>
      <c r="D342" s="69">
        <v>70983127</v>
      </c>
      <c r="E342" s="71" t="s">
        <v>707</v>
      </c>
      <c r="F342" s="72">
        <v>3143</v>
      </c>
      <c r="G342" s="84" t="s">
        <v>629</v>
      </c>
      <c r="H342" s="73" t="s">
        <v>278</v>
      </c>
      <c r="I342" s="494">
        <v>651482</v>
      </c>
      <c r="J342" s="489">
        <v>479736</v>
      </c>
      <c r="K342" s="489">
        <v>0</v>
      </c>
      <c r="L342" s="489">
        <v>162151</v>
      </c>
      <c r="M342" s="489">
        <v>9595</v>
      </c>
      <c r="N342" s="489">
        <v>0</v>
      </c>
      <c r="O342" s="490">
        <v>1</v>
      </c>
      <c r="P342" s="490">
        <v>1</v>
      </c>
      <c r="Q342" s="500">
        <v>0</v>
      </c>
      <c r="R342" s="502">
        <f t="shared" si="427"/>
        <v>0</v>
      </c>
      <c r="S342" s="492">
        <v>0</v>
      </c>
      <c r="T342" s="492">
        <v>0</v>
      </c>
      <c r="U342" s="492">
        <v>0</v>
      </c>
      <c r="V342" s="492">
        <f t="shared" si="433"/>
        <v>0</v>
      </c>
      <c r="W342" s="492">
        <v>0</v>
      </c>
      <c r="X342" s="492">
        <v>0</v>
      </c>
      <c r="Y342" s="492">
        <v>0</v>
      </c>
      <c r="Z342" s="492">
        <f t="shared" si="434"/>
        <v>0</v>
      </c>
      <c r="AA342" s="492">
        <f t="shared" si="435"/>
        <v>0</v>
      </c>
      <c r="AB342" s="74">
        <f t="shared" si="436"/>
        <v>0</v>
      </c>
      <c r="AC342" s="74">
        <f t="shared" si="437"/>
        <v>0</v>
      </c>
      <c r="AD342" s="492">
        <v>0</v>
      </c>
      <c r="AE342" s="492">
        <v>0</v>
      </c>
      <c r="AF342" s="492">
        <f t="shared" si="438"/>
        <v>0</v>
      </c>
      <c r="AG342" s="492">
        <f t="shared" si="439"/>
        <v>0</v>
      </c>
      <c r="AH342" s="493">
        <v>0</v>
      </c>
      <c r="AI342" s="493">
        <v>0</v>
      </c>
      <c r="AJ342" s="493">
        <v>0</v>
      </c>
      <c r="AK342" s="493">
        <v>0</v>
      </c>
      <c r="AL342" s="493">
        <v>0</v>
      </c>
      <c r="AM342" s="493">
        <v>0</v>
      </c>
      <c r="AN342" s="493">
        <v>0</v>
      </c>
      <c r="AO342" s="493">
        <f t="shared" si="428"/>
        <v>0</v>
      </c>
      <c r="AP342" s="493">
        <f t="shared" si="429"/>
        <v>0</v>
      </c>
      <c r="AQ342" s="495">
        <f t="shared" si="440"/>
        <v>0</v>
      </c>
      <c r="AR342" s="501">
        <f t="shared" si="441"/>
        <v>651482</v>
      </c>
      <c r="AS342" s="492">
        <f t="shared" si="442"/>
        <v>479736</v>
      </c>
      <c r="AT342" s="492">
        <f t="shared" si="443"/>
        <v>0</v>
      </c>
      <c r="AU342" s="492">
        <f t="shared" si="444"/>
        <v>162151</v>
      </c>
      <c r="AV342" s="492">
        <f t="shared" si="444"/>
        <v>9595</v>
      </c>
      <c r="AW342" s="492">
        <f t="shared" si="445"/>
        <v>0</v>
      </c>
      <c r="AX342" s="493">
        <f t="shared" si="446"/>
        <v>1</v>
      </c>
      <c r="AY342" s="493">
        <f t="shared" si="447"/>
        <v>1</v>
      </c>
      <c r="AZ342" s="495">
        <f t="shared" si="447"/>
        <v>0</v>
      </c>
    </row>
    <row r="343" spans="1:52" ht="14.1" customHeight="1" x14ac:dyDescent="0.2">
      <c r="A343" s="72">
        <v>69</v>
      </c>
      <c r="B343" s="69">
        <v>2302</v>
      </c>
      <c r="C343" s="70">
        <v>600080366</v>
      </c>
      <c r="D343" s="69">
        <v>70983127</v>
      </c>
      <c r="E343" s="71" t="s">
        <v>707</v>
      </c>
      <c r="F343" s="72">
        <v>3143</v>
      </c>
      <c r="G343" s="84" t="s">
        <v>630</v>
      </c>
      <c r="H343" s="73" t="s">
        <v>279</v>
      </c>
      <c r="I343" s="494">
        <v>11339</v>
      </c>
      <c r="J343" s="489">
        <v>8019</v>
      </c>
      <c r="K343" s="489">
        <v>0</v>
      </c>
      <c r="L343" s="489">
        <v>2710</v>
      </c>
      <c r="M343" s="489">
        <v>160</v>
      </c>
      <c r="N343" s="489">
        <v>450</v>
      </c>
      <c r="O343" s="490">
        <v>0.03</v>
      </c>
      <c r="P343" s="491">
        <v>0</v>
      </c>
      <c r="Q343" s="500">
        <v>0.03</v>
      </c>
      <c r="R343" s="502">
        <f t="shared" si="427"/>
        <v>0</v>
      </c>
      <c r="S343" s="492">
        <v>0</v>
      </c>
      <c r="T343" s="492">
        <v>0</v>
      </c>
      <c r="U343" s="492">
        <v>0</v>
      </c>
      <c r="V343" s="492">
        <f t="shared" si="433"/>
        <v>0</v>
      </c>
      <c r="W343" s="492">
        <v>0</v>
      </c>
      <c r="X343" s="492">
        <v>0</v>
      </c>
      <c r="Y343" s="492">
        <v>0</v>
      </c>
      <c r="Z343" s="492">
        <f t="shared" si="434"/>
        <v>0</v>
      </c>
      <c r="AA343" s="492">
        <f t="shared" si="435"/>
        <v>0</v>
      </c>
      <c r="AB343" s="74">
        <f t="shared" si="436"/>
        <v>0</v>
      </c>
      <c r="AC343" s="74">
        <f t="shared" si="437"/>
        <v>0</v>
      </c>
      <c r="AD343" s="492">
        <v>0</v>
      </c>
      <c r="AE343" s="492">
        <v>0</v>
      </c>
      <c r="AF343" s="492">
        <f t="shared" si="438"/>
        <v>0</v>
      </c>
      <c r="AG343" s="492">
        <f t="shared" si="439"/>
        <v>0</v>
      </c>
      <c r="AH343" s="493">
        <v>0</v>
      </c>
      <c r="AI343" s="493">
        <v>0</v>
      </c>
      <c r="AJ343" s="493">
        <v>0</v>
      </c>
      <c r="AK343" s="493">
        <v>0</v>
      </c>
      <c r="AL343" s="493">
        <v>0</v>
      </c>
      <c r="AM343" s="493">
        <v>0</v>
      </c>
      <c r="AN343" s="493">
        <v>0</v>
      </c>
      <c r="AO343" s="493">
        <f t="shared" si="428"/>
        <v>0</v>
      </c>
      <c r="AP343" s="493">
        <f t="shared" si="429"/>
        <v>0</v>
      </c>
      <c r="AQ343" s="495">
        <f t="shared" si="440"/>
        <v>0</v>
      </c>
      <c r="AR343" s="501">
        <f t="shared" si="441"/>
        <v>11339</v>
      </c>
      <c r="AS343" s="492">
        <f t="shared" si="442"/>
        <v>8019</v>
      </c>
      <c r="AT343" s="492">
        <f t="shared" si="443"/>
        <v>0</v>
      </c>
      <c r="AU343" s="492">
        <f t="shared" si="444"/>
        <v>2710</v>
      </c>
      <c r="AV343" s="492">
        <f t="shared" si="444"/>
        <v>160</v>
      </c>
      <c r="AW343" s="492">
        <f t="shared" si="445"/>
        <v>450</v>
      </c>
      <c r="AX343" s="493">
        <f t="shared" si="446"/>
        <v>0.03</v>
      </c>
      <c r="AY343" s="493">
        <f t="shared" si="447"/>
        <v>0</v>
      </c>
      <c r="AZ343" s="495">
        <f t="shared" si="447"/>
        <v>0.03</v>
      </c>
    </row>
    <row r="344" spans="1:52" ht="14.1" customHeight="1" x14ac:dyDescent="0.2">
      <c r="A344" s="78">
        <v>69</v>
      </c>
      <c r="B344" s="75">
        <v>2302</v>
      </c>
      <c r="C344" s="76">
        <v>600080366</v>
      </c>
      <c r="D344" s="75">
        <v>70983127</v>
      </c>
      <c r="E344" s="77" t="s">
        <v>708</v>
      </c>
      <c r="F344" s="78"/>
      <c r="G344" s="77"/>
      <c r="H344" s="79"/>
      <c r="I344" s="80">
        <v>20837005</v>
      </c>
      <c r="J344" s="81">
        <v>15189205</v>
      </c>
      <c r="K344" s="81">
        <v>52000</v>
      </c>
      <c r="L344" s="81">
        <v>5151526</v>
      </c>
      <c r="M344" s="81">
        <v>303784</v>
      </c>
      <c r="N344" s="81">
        <v>140490</v>
      </c>
      <c r="O344" s="82">
        <v>32.062400000000004</v>
      </c>
      <c r="P344" s="82">
        <v>25.363099999999999</v>
      </c>
      <c r="Q344" s="452">
        <v>6.6993</v>
      </c>
      <c r="R344" s="80">
        <f t="shared" ref="R344:AZ344" si="448">SUM(R336:R343)</f>
        <v>0</v>
      </c>
      <c r="S344" s="81">
        <f t="shared" si="448"/>
        <v>0</v>
      </c>
      <c r="T344" s="81">
        <f t="shared" si="448"/>
        <v>0</v>
      </c>
      <c r="U344" s="81">
        <f t="shared" si="448"/>
        <v>0</v>
      </c>
      <c r="V344" s="81">
        <f t="shared" si="448"/>
        <v>0</v>
      </c>
      <c r="W344" s="81">
        <f t="shared" si="448"/>
        <v>0</v>
      </c>
      <c r="X344" s="81">
        <f t="shared" si="448"/>
        <v>0</v>
      </c>
      <c r="Y344" s="81">
        <f t="shared" si="448"/>
        <v>0</v>
      </c>
      <c r="Z344" s="81">
        <f t="shared" si="448"/>
        <v>0</v>
      </c>
      <c r="AA344" s="81">
        <f t="shared" si="448"/>
        <v>0</v>
      </c>
      <c r="AB344" s="81">
        <f t="shared" si="448"/>
        <v>0</v>
      </c>
      <c r="AC344" s="81">
        <f t="shared" si="448"/>
        <v>0</v>
      </c>
      <c r="AD344" s="81">
        <f t="shared" si="448"/>
        <v>0</v>
      </c>
      <c r="AE344" s="81">
        <f t="shared" si="448"/>
        <v>0</v>
      </c>
      <c r="AF344" s="81">
        <f t="shared" si="448"/>
        <v>0</v>
      </c>
      <c r="AG344" s="81">
        <f t="shared" si="448"/>
        <v>0</v>
      </c>
      <c r="AH344" s="82">
        <f t="shared" si="448"/>
        <v>0</v>
      </c>
      <c r="AI344" s="82">
        <f t="shared" si="448"/>
        <v>0</v>
      </c>
      <c r="AJ344" s="82">
        <f t="shared" si="448"/>
        <v>0</v>
      </c>
      <c r="AK344" s="82">
        <f t="shared" ref="AK344:AL344" si="449">SUM(AK336:AK343)</f>
        <v>0</v>
      </c>
      <c r="AL344" s="82">
        <f t="shared" si="449"/>
        <v>0</v>
      </c>
      <c r="AM344" s="82">
        <f t="shared" si="448"/>
        <v>0</v>
      </c>
      <c r="AN344" s="82">
        <f t="shared" si="448"/>
        <v>0</v>
      </c>
      <c r="AO344" s="82">
        <f t="shared" si="448"/>
        <v>0</v>
      </c>
      <c r="AP344" s="82">
        <f t="shared" si="448"/>
        <v>0</v>
      </c>
      <c r="AQ344" s="83">
        <f t="shared" si="448"/>
        <v>0</v>
      </c>
      <c r="AR344" s="438">
        <f t="shared" si="448"/>
        <v>20837005</v>
      </c>
      <c r="AS344" s="81">
        <f t="shared" si="448"/>
        <v>15189205</v>
      </c>
      <c r="AT344" s="81">
        <f t="shared" si="448"/>
        <v>52000</v>
      </c>
      <c r="AU344" s="81">
        <f t="shared" si="448"/>
        <v>5151526</v>
      </c>
      <c r="AV344" s="81">
        <f t="shared" si="448"/>
        <v>303784</v>
      </c>
      <c r="AW344" s="81">
        <f t="shared" si="448"/>
        <v>140490</v>
      </c>
      <c r="AX344" s="82">
        <f t="shared" si="448"/>
        <v>32.062400000000004</v>
      </c>
      <c r="AY344" s="82">
        <f t="shared" si="448"/>
        <v>25.363099999999999</v>
      </c>
      <c r="AZ344" s="83">
        <f t="shared" si="448"/>
        <v>6.6993</v>
      </c>
    </row>
    <row r="345" spans="1:52" ht="14.1" customHeight="1" x14ac:dyDescent="0.2">
      <c r="A345" s="72">
        <v>70</v>
      </c>
      <c r="B345" s="69">
        <v>2454</v>
      </c>
      <c r="C345" s="70">
        <v>600079759</v>
      </c>
      <c r="D345" s="69">
        <v>70983119</v>
      </c>
      <c r="E345" s="71" t="s">
        <v>709</v>
      </c>
      <c r="F345" s="72">
        <v>3117</v>
      </c>
      <c r="G345" s="71" t="s">
        <v>315</v>
      </c>
      <c r="H345" s="73" t="s">
        <v>278</v>
      </c>
      <c r="I345" s="494">
        <v>6612672</v>
      </c>
      <c r="J345" s="489">
        <v>4693524</v>
      </c>
      <c r="K345" s="489">
        <v>52000</v>
      </c>
      <c r="L345" s="489">
        <v>1603988</v>
      </c>
      <c r="M345" s="489">
        <v>93870</v>
      </c>
      <c r="N345" s="489">
        <v>169290</v>
      </c>
      <c r="O345" s="490">
        <v>8.9672999999999998</v>
      </c>
      <c r="P345" s="490">
        <v>6.3195999999999994</v>
      </c>
      <c r="Q345" s="500">
        <v>2.6476999999999999</v>
      </c>
      <c r="R345" s="502">
        <f t="shared" si="427"/>
        <v>0</v>
      </c>
      <c r="S345" s="492">
        <v>0</v>
      </c>
      <c r="T345" s="492">
        <v>0</v>
      </c>
      <c r="U345" s="492">
        <v>0</v>
      </c>
      <c r="V345" s="492">
        <f>SUM(R345:U345)</f>
        <v>0</v>
      </c>
      <c r="W345" s="492">
        <v>0</v>
      </c>
      <c r="X345" s="492">
        <v>0</v>
      </c>
      <c r="Y345" s="492">
        <v>0</v>
      </c>
      <c r="Z345" s="492">
        <f t="shared" si="434"/>
        <v>0</v>
      </c>
      <c r="AA345" s="492">
        <f t="shared" si="435"/>
        <v>0</v>
      </c>
      <c r="AB345" s="74">
        <f t="shared" si="436"/>
        <v>0</v>
      </c>
      <c r="AC345" s="74">
        <f t="shared" si="437"/>
        <v>0</v>
      </c>
      <c r="AD345" s="492">
        <v>0</v>
      </c>
      <c r="AE345" s="492">
        <v>0</v>
      </c>
      <c r="AF345" s="492">
        <f>SUM(AD345:AE345)</f>
        <v>0</v>
      </c>
      <c r="AG345" s="492">
        <f>AA345+AB345+AC345+AF345</f>
        <v>0</v>
      </c>
      <c r="AH345" s="493">
        <v>0</v>
      </c>
      <c r="AI345" s="493">
        <v>0</v>
      </c>
      <c r="AJ345" s="493">
        <v>0</v>
      </c>
      <c r="AK345" s="493">
        <v>0</v>
      </c>
      <c r="AL345" s="493">
        <v>0</v>
      </c>
      <c r="AM345" s="493">
        <v>0</v>
      </c>
      <c r="AN345" s="493">
        <v>0</v>
      </c>
      <c r="AO345" s="493">
        <f t="shared" si="428"/>
        <v>0</v>
      </c>
      <c r="AP345" s="493">
        <f t="shared" si="429"/>
        <v>0</v>
      </c>
      <c r="AQ345" s="495">
        <f t="shared" si="440"/>
        <v>0</v>
      </c>
      <c r="AR345" s="501">
        <f>I345+AG345</f>
        <v>6612672</v>
      </c>
      <c r="AS345" s="492">
        <f>J345+V345</f>
        <v>4693524</v>
      </c>
      <c r="AT345" s="492">
        <f t="shared" ref="AT345:AT349" si="450">K345+Z345</f>
        <v>52000</v>
      </c>
      <c r="AU345" s="492">
        <f t="shared" ref="AU345:AV349" si="451">L345+AB345</f>
        <v>1603988</v>
      </c>
      <c r="AV345" s="492">
        <f t="shared" si="451"/>
        <v>93870</v>
      </c>
      <c r="AW345" s="492">
        <f>N345+AF345</f>
        <v>169290</v>
      </c>
      <c r="AX345" s="493">
        <f>O345+AQ345</f>
        <v>8.9672999999999998</v>
      </c>
      <c r="AY345" s="493">
        <f t="shared" ref="AY345:AZ349" si="452">P345+AO345</f>
        <v>6.3195999999999994</v>
      </c>
      <c r="AZ345" s="495">
        <f t="shared" si="452"/>
        <v>2.6476999999999999</v>
      </c>
    </row>
    <row r="346" spans="1:52" ht="14.1" customHeight="1" x14ac:dyDescent="0.2">
      <c r="A346" s="72">
        <v>70</v>
      </c>
      <c r="B346" s="69">
        <v>2454</v>
      </c>
      <c r="C346" s="70">
        <v>600079759</v>
      </c>
      <c r="D346" s="69">
        <v>70983119</v>
      </c>
      <c r="E346" s="71" t="s">
        <v>709</v>
      </c>
      <c r="F346" s="72">
        <v>3117</v>
      </c>
      <c r="G346" s="84" t="s">
        <v>313</v>
      </c>
      <c r="H346" s="73" t="s">
        <v>279</v>
      </c>
      <c r="I346" s="494">
        <v>1749352</v>
      </c>
      <c r="J346" s="489">
        <v>1287815</v>
      </c>
      <c r="K346" s="489">
        <v>0</v>
      </c>
      <c r="L346" s="489">
        <v>435281</v>
      </c>
      <c r="M346" s="489">
        <v>25756</v>
      </c>
      <c r="N346" s="489">
        <v>500</v>
      </c>
      <c r="O346" s="490">
        <v>3.6399999999999997</v>
      </c>
      <c r="P346" s="491">
        <v>3.6399999999999997</v>
      </c>
      <c r="Q346" s="500">
        <v>0</v>
      </c>
      <c r="R346" s="502">
        <f t="shared" si="427"/>
        <v>0</v>
      </c>
      <c r="S346" s="489">
        <v>0</v>
      </c>
      <c r="T346" s="492">
        <v>0</v>
      </c>
      <c r="U346" s="492">
        <v>0</v>
      </c>
      <c r="V346" s="492">
        <f>SUM(R346:U346)</f>
        <v>0</v>
      </c>
      <c r="W346" s="492">
        <v>0</v>
      </c>
      <c r="X346" s="492">
        <v>0</v>
      </c>
      <c r="Y346" s="492">
        <v>0</v>
      </c>
      <c r="Z346" s="492">
        <f t="shared" si="434"/>
        <v>0</v>
      </c>
      <c r="AA346" s="492">
        <f t="shared" si="435"/>
        <v>0</v>
      </c>
      <c r="AB346" s="74">
        <f t="shared" si="436"/>
        <v>0</v>
      </c>
      <c r="AC346" s="74">
        <f t="shared" si="437"/>
        <v>0</v>
      </c>
      <c r="AD346" s="492">
        <v>0</v>
      </c>
      <c r="AE346" s="492">
        <v>0</v>
      </c>
      <c r="AF346" s="492">
        <f>SUM(AD346:AE346)</f>
        <v>0</v>
      </c>
      <c r="AG346" s="492">
        <f>AA346+AB346+AC346+AF346</f>
        <v>0</v>
      </c>
      <c r="AH346" s="493">
        <v>0</v>
      </c>
      <c r="AI346" s="493">
        <v>0</v>
      </c>
      <c r="AJ346" s="493">
        <v>0</v>
      </c>
      <c r="AK346" s="493">
        <v>0</v>
      </c>
      <c r="AL346" s="493">
        <v>0</v>
      </c>
      <c r="AM346" s="493">
        <v>0</v>
      </c>
      <c r="AN346" s="493">
        <v>0</v>
      </c>
      <c r="AO346" s="493">
        <f t="shared" si="428"/>
        <v>0</v>
      </c>
      <c r="AP346" s="493">
        <f t="shared" si="429"/>
        <v>0</v>
      </c>
      <c r="AQ346" s="495">
        <f t="shared" si="440"/>
        <v>0</v>
      </c>
      <c r="AR346" s="501">
        <f>I346+AG346</f>
        <v>1749352</v>
      </c>
      <c r="AS346" s="492">
        <f>J346+V346</f>
        <v>1287815</v>
      </c>
      <c r="AT346" s="492">
        <f t="shared" si="450"/>
        <v>0</v>
      </c>
      <c r="AU346" s="492">
        <f t="shared" si="451"/>
        <v>435281</v>
      </c>
      <c r="AV346" s="492">
        <f t="shared" si="451"/>
        <v>25756</v>
      </c>
      <c r="AW346" s="492">
        <f>N346+AF346</f>
        <v>500</v>
      </c>
      <c r="AX346" s="493">
        <f>O346+AQ346</f>
        <v>3.6399999999999997</v>
      </c>
      <c r="AY346" s="493">
        <f t="shared" si="452"/>
        <v>3.6399999999999997</v>
      </c>
      <c r="AZ346" s="495">
        <f t="shared" si="452"/>
        <v>0</v>
      </c>
    </row>
    <row r="347" spans="1:52" ht="14.1" customHeight="1" x14ac:dyDescent="0.2">
      <c r="A347" s="72">
        <v>70</v>
      </c>
      <c r="B347" s="69">
        <v>2454</v>
      </c>
      <c r="C347" s="70">
        <v>600079759</v>
      </c>
      <c r="D347" s="69">
        <v>70983119</v>
      </c>
      <c r="E347" s="71" t="s">
        <v>709</v>
      </c>
      <c r="F347" s="72">
        <v>3141</v>
      </c>
      <c r="G347" s="71" t="s">
        <v>316</v>
      </c>
      <c r="H347" s="73" t="s">
        <v>279</v>
      </c>
      <c r="I347" s="494">
        <v>332788</v>
      </c>
      <c r="J347" s="489">
        <v>242483</v>
      </c>
      <c r="K347" s="489">
        <v>0</v>
      </c>
      <c r="L347" s="489">
        <v>81959</v>
      </c>
      <c r="M347" s="489">
        <v>4850</v>
      </c>
      <c r="N347" s="489">
        <v>3496</v>
      </c>
      <c r="O347" s="490">
        <v>0.76</v>
      </c>
      <c r="P347" s="491">
        <v>0</v>
      </c>
      <c r="Q347" s="500">
        <v>0.76</v>
      </c>
      <c r="R347" s="502">
        <f t="shared" si="427"/>
        <v>0</v>
      </c>
      <c r="S347" s="492">
        <v>0</v>
      </c>
      <c r="T347" s="492">
        <v>0</v>
      </c>
      <c r="U347" s="492">
        <v>0</v>
      </c>
      <c r="V347" s="492">
        <f>SUM(R347:U347)</f>
        <v>0</v>
      </c>
      <c r="W347" s="492">
        <v>0</v>
      </c>
      <c r="X347" s="492">
        <v>0</v>
      </c>
      <c r="Y347" s="492">
        <v>0</v>
      </c>
      <c r="Z347" s="492">
        <f t="shared" si="434"/>
        <v>0</v>
      </c>
      <c r="AA347" s="492">
        <f t="shared" si="435"/>
        <v>0</v>
      </c>
      <c r="AB347" s="74">
        <f t="shared" si="436"/>
        <v>0</v>
      </c>
      <c r="AC347" s="74">
        <f t="shared" si="437"/>
        <v>0</v>
      </c>
      <c r="AD347" s="492">
        <v>0</v>
      </c>
      <c r="AE347" s="492">
        <v>0</v>
      </c>
      <c r="AF347" s="492">
        <f>SUM(AD347:AE347)</f>
        <v>0</v>
      </c>
      <c r="AG347" s="492">
        <f>AA347+AB347+AC347+AF347</f>
        <v>0</v>
      </c>
      <c r="AH347" s="493">
        <v>0</v>
      </c>
      <c r="AI347" s="493">
        <v>0</v>
      </c>
      <c r="AJ347" s="493">
        <v>0</v>
      </c>
      <c r="AK347" s="493">
        <v>0</v>
      </c>
      <c r="AL347" s="493">
        <v>0</v>
      </c>
      <c r="AM347" s="493">
        <v>0</v>
      </c>
      <c r="AN347" s="493">
        <v>0</v>
      </c>
      <c r="AO347" s="493">
        <f t="shared" si="428"/>
        <v>0</v>
      </c>
      <c r="AP347" s="493">
        <f t="shared" si="429"/>
        <v>0</v>
      </c>
      <c r="AQ347" s="495">
        <f t="shared" si="440"/>
        <v>0</v>
      </c>
      <c r="AR347" s="501">
        <f>I347+AG347</f>
        <v>332788</v>
      </c>
      <c r="AS347" s="492">
        <f>J347+V347</f>
        <v>242483</v>
      </c>
      <c r="AT347" s="492">
        <f t="shared" si="450"/>
        <v>0</v>
      </c>
      <c r="AU347" s="492">
        <f t="shared" si="451"/>
        <v>81959</v>
      </c>
      <c r="AV347" s="492">
        <f t="shared" si="451"/>
        <v>4850</v>
      </c>
      <c r="AW347" s="492">
        <f>N347+AF347</f>
        <v>3496</v>
      </c>
      <c r="AX347" s="493">
        <f>O347+AQ347</f>
        <v>0.76</v>
      </c>
      <c r="AY347" s="493">
        <f t="shared" si="452"/>
        <v>0</v>
      </c>
      <c r="AZ347" s="495">
        <f t="shared" si="452"/>
        <v>0.76</v>
      </c>
    </row>
    <row r="348" spans="1:52" ht="14.1" customHeight="1" x14ac:dyDescent="0.2">
      <c r="A348" s="72">
        <v>70</v>
      </c>
      <c r="B348" s="69">
        <v>2454</v>
      </c>
      <c r="C348" s="70">
        <v>600079759</v>
      </c>
      <c r="D348" s="69">
        <v>70983119</v>
      </c>
      <c r="E348" s="71" t="s">
        <v>709</v>
      </c>
      <c r="F348" s="72">
        <v>3143</v>
      </c>
      <c r="G348" s="84" t="s">
        <v>629</v>
      </c>
      <c r="H348" s="73" t="s">
        <v>278</v>
      </c>
      <c r="I348" s="494">
        <v>932377</v>
      </c>
      <c r="J348" s="489">
        <v>686581</v>
      </c>
      <c r="K348" s="489">
        <v>0</v>
      </c>
      <c r="L348" s="489">
        <v>232064</v>
      </c>
      <c r="M348" s="489">
        <v>13732</v>
      </c>
      <c r="N348" s="489">
        <v>0</v>
      </c>
      <c r="O348" s="490">
        <v>1.45</v>
      </c>
      <c r="P348" s="490">
        <v>1.45</v>
      </c>
      <c r="Q348" s="500">
        <v>0</v>
      </c>
      <c r="R348" s="502">
        <f t="shared" si="427"/>
        <v>0</v>
      </c>
      <c r="S348" s="492">
        <v>0</v>
      </c>
      <c r="T348" s="492">
        <v>0</v>
      </c>
      <c r="U348" s="492">
        <v>0</v>
      </c>
      <c r="V348" s="492">
        <f>SUM(R348:U348)</f>
        <v>0</v>
      </c>
      <c r="W348" s="492">
        <v>0</v>
      </c>
      <c r="X348" s="492">
        <v>0</v>
      </c>
      <c r="Y348" s="492">
        <v>0</v>
      </c>
      <c r="Z348" s="492">
        <f t="shared" si="434"/>
        <v>0</v>
      </c>
      <c r="AA348" s="492">
        <f t="shared" si="435"/>
        <v>0</v>
      </c>
      <c r="AB348" s="74">
        <f t="shared" si="436"/>
        <v>0</v>
      </c>
      <c r="AC348" s="74">
        <f t="shared" si="437"/>
        <v>0</v>
      </c>
      <c r="AD348" s="492">
        <v>0</v>
      </c>
      <c r="AE348" s="492">
        <v>0</v>
      </c>
      <c r="AF348" s="492">
        <f>SUM(AD348:AE348)</f>
        <v>0</v>
      </c>
      <c r="AG348" s="492">
        <f>AA348+AB348+AC348+AF348</f>
        <v>0</v>
      </c>
      <c r="AH348" s="493">
        <v>0</v>
      </c>
      <c r="AI348" s="493">
        <v>0</v>
      </c>
      <c r="AJ348" s="493">
        <v>0</v>
      </c>
      <c r="AK348" s="493">
        <v>0</v>
      </c>
      <c r="AL348" s="493">
        <v>0</v>
      </c>
      <c r="AM348" s="493">
        <v>0</v>
      </c>
      <c r="AN348" s="493">
        <v>0</v>
      </c>
      <c r="AO348" s="493">
        <f t="shared" si="428"/>
        <v>0</v>
      </c>
      <c r="AP348" s="493">
        <f t="shared" si="429"/>
        <v>0</v>
      </c>
      <c r="AQ348" s="495">
        <f t="shared" si="440"/>
        <v>0</v>
      </c>
      <c r="AR348" s="501">
        <f>I348+AG348</f>
        <v>932377</v>
      </c>
      <c r="AS348" s="492">
        <f>J348+V348</f>
        <v>686581</v>
      </c>
      <c r="AT348" s="492">
        <f t="shared" si="450"/>
        <v>0</v>
      </c>
      <c r="AU348" s="492">
        <f t="shared" si="451"/>
        <v>232064</v>
      </c>
      <c r="AV348" s="492">
        <f t="shared" si="451"/>
        <v>13732</v>
      </c>
      <c r="AW348" s="492">
        <f>N348+AF348</f>
        <v>0</v>
      </c>
      <c r="AX348" s="493">
        <f>O348+AQ348</f>
        <v>1.45</v>
      </c>
      <c r="AY348" s="493">
        <f t="shared" si="452"/>
        <v>1.45</v>
      </c>
      <c r="AZ348" s="495">
        <f t="shared" si="452"/>
        <v>0</v>
      </c>
    </row>
    <row r="349" spans="1:52" ht="14.1" customHeight="1" x14ac:dyDescent="0.2">
      <c r="A349" s="72">
        <v>70</v>
      </c>
      <c r="B349" s="69">
        <v>2454</v>
      </c>
      <c r="C349" s="70">
        <v>600079759</v>
      </c>
      <c r="D349" s="69">
        <v>70983119</v>
      </c>
      <c r="E349" s="71" t="s">
        <v>709</v>
      </c>
      <c r="F349" s="72">
        <v>3143</v>
      </c>
      <c r="G349" s="84" t="s">
        <v>630</v>
      </c>
      <c r="H349" s="73" t="s">
        <v>279</v>
      </c>
      <c r="I349" s="494">
        <v>37800</v>
      </c>
      <c r="J349" s="489">
        <v>26730</v>
      </c>
      <c r="K349" s="489">
        <v>0</v>
      </c>
      <c r="L349" s="489">
        <v>9035</v>
      </c>
      <c r="M349" s="489">
        <v>535</v>
      </c>
      <c r="N349" s="489">
        <v>1500</v>
      </c>
      <c r="O349" s="490">
        <v>0.1</v>
      </c>
      <c r="P349" s="491">
        <v>0</v>
      </c>
      <c r="Q349" s="500">
        <v>0.1</v>
      </c>
      <c r="R349" s="502">
        <f t="shared" si="427"/>
        <v>0</v>
      </c>
      <c r="S349" s="492">
        <v>0</v>
      </c>
      <c r="T349" s="492">
        <v>0</v>
      </c>
      <c r="U349" s="492">
        <v>0</v>
      </c>
      <c r="V349" s="492">
        <f>SUM(R349:U349)</f>
        <v>0</v>
      </c>
      <c r="W349" s="492">
        <v>0</v>
      </c>
      <c r="X349" s="492">
        <v>0</v>
      </c>
      <c r="Y349" s="492">
        <v>0</v>
      </c>
      <c r="Z349" s="492">
        <f t="shared" si="434"/>
        <v>0</v>
      </c>
      <c r="AA349" s="492">
        <f t="shared" si="435"/>
        <v>0</v>
      </c>
      <c r="AB349" s="74">
        <f t="shared" si="436"/>
        <v>0</v>
      </c>
      <c r="AC349" s="74">
        <f t="shared" si="437"/>
        <v>0</v>
      </c>
      <c r="AD349" s="492">
        <v>0</v>
      </c>
      <c r="AE349" s="492">
        <v>0</v>
      </c>
      <c r="AF349" s="492">
        <f>SUM(AD349:AE349)</f>
        <v>0</v>
      </c>
      <c r="AG349" s="492">
        <f>AA349+AB349+AC349+AF349</f>
        <v>0</v>
      </c>
      <c r="AH349" s="493">
        <v>0</v>
      </c>
      <c r="AI349" s="493">
        <v>0</v>
      </c>
      <c r="AJ349" s="493">
        <v>0</v>
      </c>
      <c r="AK349" s="493">
        <v>0</v>
      </c>
      <c r="AL349" s="493">
        <v>0</v>
      </c>
      <c r="AM349" s="493">
        <v>0</v>
      </c>
      <c r="AN349" s="493">
        <v>0</v>
      </c>
      <c r="AO349" s="493">
        <f t="shared" si="428"/>
        <v>0</v>
      </c>
      <c r="AP349" s="493">
        <f t="shared" si="429"/>
        <v>0</v>
      </c>
      <c r="AQ349" s="495">
        <f t="shared" si="440"/>
        <v>0</v>
      </c>
      <c r="AR349" s="501">
        <f>I349+AG349</f>
        <v>37800</v>
      </c>
      <c r="AS349" s="492">
        <f>J349+V349</f>
        <v>26730</v>
      </c>
      <c r="AT349" s="492">
        <f t="shared" si="450"/>
        <v>0</v>
      </c>
      <c r="AU349" s="492">
        <f t="shared" si="451"/>
        <v>9035</v>
      </c>
      <c r="AV349" s="492">
        <f t="shared" si="451"/>
        <v>535</v>
      </c>
      <c r="AW349" s="492">
        <f>N349+AF349</f>
        <v>1500</v>
      </c>
      <c r="AX349" s="493">
        <f>O349+AQ349</f>
        <v>0.1</v>
      </c>
      <c r="AY349" s="493">
        <f t="shared" si="452"/>
        <v>0</v>
      </c>
      <c r="AZ349" s="495">
        <f t="shared" si="452"/>
        <v>0.1</v>
      </c>
    </row>
    <row r="350" spans="1:52" ht="14.1" customHeight="1" x14ac:dyDescent="0.2">
      <c r="A350" s="78">
        <v>70</v>
      </c>
      <c r="B350" s="75">
        <v>2454</v>
      </c>
      <c r="C350" s="76">
        <v>600079759</v>
      </c>
      <c r="D350" s="75">
        <v>70983119</v>
      </c>
      <c r="E350" s="77" t="s">
        <v>710</v>
      </c>
      <c r="F350" s="78"/>
      <c r="G350" s="77"/>
      <c r="H350" s="79"/>
      <c r="I350" s="80">
        <v>9664989</v>
      </c>
      <c r="J350" s="81">
        <v>6937133</v>
      </c>
      <c r="K350" s="81">
        <v>52000</v>
      </c>
      <c r="L350" s="81">
        <v>2362327</v>
      </c>
      <c r="M350" s="81">
        <v>138743</v>
      </c>
      <c r="N350" s="81">
        <v>174786</v>
      </c>
      <c r="O350" s="82">
        <v>14.917299999999997</v>
      </c>
      <c r="P350" s="82">
        <v>11.409599999999998</v>
      </c>
      <c r="Q350" s="452">
        <v>3.5077000000000003</v>
      </c>
      <c r="R350" s="80">
        <f t="shared" ref="R350:AZ350" si="453">SUM(R345:R349)</f>
        <v>0</v>
      </c>
      <c r="S350" s="81">
        <f t="shared" si="453"/>
        <v>0</v>
      </c>
      <c r="T350" s="81">
        <f t="shared" si="453"/>
        <v>0</v>
      </c>
      <c r="U350" s="81">
        <f t="shared" si="453"/>
        <v>0</v>
      </c>
      <c r="V350" s="81">
        <f t="shared" si="453"/>
        <v>0</v>
      </c>
      <c r="W350" s="81">
        <f t="shared" si="453"/>
        <v>0</v>
      </c>
      <c r="X350" s="81">
        <f t="shared" si="453"/>
        <v>0</v>
      </c>
      <c r="Y350" s="81">
        <f t="shared" si="453"/>
        <v>0</v>
      </c>
      <c r="Z350" s="81">
        <f t="shared" si="453"/>
        <v>0</v>
      </c>
      <c r="AA350" s="81">
        <f t="shared" si="453"/>
        <v>0</v>
      </c>
      <c r="AB350" s="81">
        <f t="shared" si="453"/>
        <v>0</v>
      </c>
      <c r="AC350" s="81">
        <f t="shared" si="453"/>
        <v>0</v>
      </c>
      <c r="AD350" s="81">
        <f t="shared" si="453"/>
        <v>0</v>
      </c>
      <c r="AE350" s="81">
        <f t="shared" si="453"/>
        <v>0</v>
      </c>
      <c r="AF350" s="81">
        <f t="shared" si="453"/>
        <v>0</v>
      </c>
      <c r="AG350" s="81">
        <f t="shared" si="453"/>
        <v>0</v>
      </c>
      <c r="AH350" s="82">
        <f t="shared" si="453"/>
        <v>0</v>
      </c>
      <c r="AI350" s="82">
        <f t="shared" si="453"/>
        <v>0</v>
      </c>
      <c r="AJ350" s="82">
        <f t="shared" si="453"/>
        <v>0</v>
      </c>
      <c r="AK350" s="82">
        <f t="shared" ref="AK350:AL350" si="454">SUM(AK345:AK349)</f>
        <v>0</v>
      </c>
      <c r="AL350" s="82">
        <f t="shared" si="454"/>
        <v>0</v>
      </c>
      <c r="AM350" s="82">
        <f t="shared" si="453"/>
        <v>0</v>
      </c>
      <c r="AN350" s="82">
        <f t="shared" si="453"/>
        <v>0</v>
      </c>
      <c r="AO350" s="82">
        <f t="shared" si="453"/>
        <v>0</v>
      </c>
      <c r="AP350" s="82">
        <f t="shared" si="453"/>
        <v>0</v>
      </c>
      <c r="AQ350" s="83">
        <f t="shared" si="453"/>
        <v>0</v>
      </c>
      <c r="AR350" s="438">
        <f t="shared" si="453"/>
        <v>9664989</v>
      </c>
      <c r="AS350" s="81">
        <f t="shared" si="453"/>
        <v>6937133</v>
      </c>
      <c r="AT350" s="81">
        <f t="shared" si="453"/>
        <v>52000</v>
      </c>
      <c r="AU350" s="81">
        <f t="shared" si="453"/>
        <v>2362327</v>
      </c>
      <c r="AV350" s="81">
        <f t="shared" si="453"/>
        <v>138743</v>
      </c>
      <c r="AW350" s="81">
        <f t="shared" si="453"/>
        <v>174786</v>
      </c>
      <c r="AX350" s="82">
        <f t="shared" si="453"/>
        <v>14.917299999999997</v>
      </c>
      <c r="AY350" s="82">
        <f t="shared" si="453"/>
        <v>11.409599999999998</v>
      </c>
      <c r="AZ350" s="83">
        <f t="shared" si="453"/>
        <v>3.5077000000000003</v>
      </c>
    </row>
    <row r="351" spans="1:52" ht="14.1" customHeight="1" x14ac:dyDescent="0.2">
      <c r="A351" s="72">
        <v>71</v>
      </c>
      <c r="B351" s="69">
        <v>2492</v>
      </c>
      <c r="C351" s="70">
        <v>600079767</v>
      </c>
      <c r="D351" s="69">
        <v>70983011</v>
      </c>
      <c r="E351" s="71" t="s">
        <v>803</v>
      </c>
      <c r="F351" s="72">
        <v>3113</v>
      </c>
      <c r="G351" s="71" t="s">
        <v>315</v>
      </c>
      <c r="H351" s="73" t="s">
        <v>278</v>
      </c>
      <c r="I351" s="494">
        <v>21271341</v>
      </c>
      <c r="J351" s="489">
        <v>15329472</v>
      </c>
      <c r="K351" s="489">
        <v>2600</v>
      </c>
      <c r="L351" s="489">
        <v>5182240</v>
      </c>
      <c r="M351" s="489">
        <v>306589</v>
      </c>
      <c r="N351" s="489">
        <v>450440</v>
      </c>
      <c r="O351" s="490">
        <v>27.6738</v>
      </c>
      <c r="P351" s="490">
        <v>21.363600000000002</v>
      </c>
      <c r="Q351" s="500">
        <v>6.3102</v>
      </c>
      <c r="R351" s="502">
        <f t="shared" si="427"/>
        <v>0</v>
      </c>
      <c r="S351" s="492">
        <v>0</v>
      </c>
      <c r="T351" s="492">
        <v>0</v>
      </c>
      <c r="U351" s="492">
        <v>0</v>
      </c>
      <c r="V351" s="492">
        <f t="shared" ref="V351:V356" si="455">SUM(R351:U351)</f>
        <v>0</v>
      </c>
      <c r="W351" s="492">
        <v>0</v>
      </c>
      <c r="X351" s="492">
        <v>0</v>
      </c>
      <c r="Y351" s="492">
        <v>0</v>
      </c>
      <c r="Z351" s="492">
        <f t="shared" si="434"/>
        <v>0</v>
      </c>
      <c r="AA351" s="492">
        <f t="shared" si="435"/>
        <v>0</v>
      </c>
      <c r="AB351" s="74">
        <f t="shared" si="436"/>
        <v>0</v>
      </c>
      <c r="AC351" s="74">
        <f t="shared" si="437"/>
        <v>0</v>
      </c>
      <c r="AD351" s="492">
        <v>0</v>
      </c>
      <c r="AE351" s="492">
        <v>0</v>
      </c>
      <c r="AF351" s="492">
        <f t="shared" ref="AF351:AF356" si="456">SUM(AD351:AE351)</f>
        <v>0</v>
      </c>
      <c r="AG351" s="492">
        <f t="shared" ref="AG351:AG356" si="457">AA351+AB351+AC351+AF351</f>
        <v>0</v>
      </c>
      <c r="AH351" s="493">
        <v>0</v>
      </c>
      <c r="AI351" s="493">
        <v>0</v>
      </c>
      <c r="AJ351" s="493">
        <v>0</v>
      </c>
      <c r="AK351" s="493">
        <v>0</v>
      </c>
      <c r="AL351" s="493">
        <v>0</v>
      </c>
      <c r="AM351" s="493">
        <v>0</v>
      </c>
      <c r="AN351" s="493">
        <v>0</v>
      </c>
      <c r="AO351" s="493">
        <f t="shared" si="428"/>
        <v>0</v>
      </c>
      <c r="AP351" s="493">
        <f t="shared" si="429"/>
        <v>0</v>
      </c>
      <c r="AQ351" s="495">
        <f t="shared" si="440"/>
        <v>0</v>
      </c>
      <c r="AR351" s="501">
        <f t="shared" ref="AR351:AR356" si="458">I351+AG351</f>
        <v>21271341</v>
      </c>
      <c r="AS351" s="492">
        <f t="shared" ref="AS351:AS356" si="459">J351+V351</f>
        <v>15329472</v>
      </c>
      <c r="AT351" s="492">
        <f t="shared" ref="AT351:AT356" si="460">K351+Z351</f>
        <v>2600</v>
      </c>
      <c r="AU351" s="492">
        <f t="shared" ref="AU351:AV356" si="461">L351+AB351</f>
        <v>5182240</v>
      </c>
      <c r="AV351" s="492">
        <f t="shared" si="461"/>
        <v>306589</v>
      </c>
      <c r="AW351" s="492">
        <f t="shared" ref="AW351:AW356" si="462">N351+AF351</f>
        <v>450440</v>
      </c>
      <c r="AX351" s="493">
        <f t="shared" ref="AX351:AX356" si="463">O351+AQ351</f>
        <v>27.6738</v>
      </c>
      <c r="AY351" s="493">
        <f t="shared" ref="AY351:AZ356" si="464">P351+AO351</f>
        <v>21.363600000000002</v>
      </c>
      <c r="AZ351" s="495">
        <f t="shared" si="464"/>
        <v>6.3102</v>
      </c>
    </row>
    <row r="352" spans="1:52" ht="14.1" customHeight="1" x14ac:dyDescent="0.2">
      <c r="A352" s="72">
        <v>71</v>
      </c>
      <c r="B352" s="69">
        <v>2492</v>
      </c>
      <c r="C352" s="70">
        <v>600079767</v>
      </c>
      <c r="D352" s="69">
        <v>70983011</v>
      </c>
      <c r="E352" s="71" t="s">
        <v>803</v>
      </c>
      <c r="F352" s="72">
        <v>3113</v>
      </c>
      <c r="G352" s="84" t="s">
        <v>313</v>
      </c>
      <c r="H352" s="73" t="s">
        <v>279</v>
      </c>
      <c r="I352" s="494">
        <v>2527573</v>
      </c>
      <c r="J352" s="489">
        <v>1861247</v>
      </c>
      <c r="K352" s="489">
        <v>0</v>
      </c>
      <c r="L352" s="489">
        <v>629101</v>
      </c>
      <c r="M352" s="489">
        <v>37225</v>
      </c>
      <c r="N352" s="489">
        <v>0</v>
      </c>
      <c r="O352" s="490">
        <v>5.34</v>
      </c>
      <c r="P352" s="491">
        <v>5.34</v>
      </c>
      <c r="Q352" s="500">
        <v>0</v>
      </c>
      <c r="R352" s="502">
        <f t="shared" si="427"/>
        <v>0</v>
      </c>
      <c r="S352" s="489">
        <v>0</v>
      </c>
      <c r="T352" s="492">
        <v>0</v>
      </c>
      <c r="U352" s="492">
        <v>0</v>
      </c>
      <c r="V352" s="492">
        <f t="shared" si="455"/>
        <v>0</v>
      </c>
      <c r="W352" s="492">
        <v>0</v>
      </c>
      <c r="X352" s="492">
        <v>0</v>
      </c>
      <c r="Y352" s="492">
        <v>0</v>
      </c>
      <c r="Z352" s="492">
        <f t="shared" si="434"/>
        <v>0</v>
      </c>
      <c r="AA352" s="492">
        <f t="shared" si="435"/>
        <v>0</v>
      </c>
      <c r="AB352" s="74">
        <f t="shared" si="436"/>
        <v>0</v>
      </c>
      <c r="AC352" s="74">
        <f t="shared" si="437"/>
        <v>0</v>
      </c>
      <c r="AD352" s="492">
        <v>0</v>
      </c>
      <c r="AE352" s="492">
        <v>0</v>
      </c>
      <c r="AF352" s="492">
        <f t="shared" si="456"/>
        <v>0</v>
      </c>
      <c r="AG352" s="492">
        <f t="shared" si="457"/>
        <v>0</v>
      </c>
      <c r="AH352" s="493">
        <v>0</v>
      </c>
      <c r="AI352" s="493">
        <v>0</v>
      </c>
      <c r="AJ352" s="493">
        <v>0</v>
      </c>
      <c r="AK352" s="493">
        <v>0</v>
      </c>
      <c r="AL352" s="493">
        <v>0</v>
      </c>
      <c r="AM352" s="493">
        <v>0</v>
      </c>
      <c r="AN352" s="493">
        <v>0</v>
      </c>
      <c r="AO352" s="493">
        <f t="shared" si="428"/>
        <v>0</v>
      </c>
      <c r="AP352" s="493">
        <f t="shared" si="429"/>
        <v>0</v>
      </c>
      <c r="AQ352" s="495">
        <f t="shared" si="440"/>
        <v>0</v>
      </c>
      <c r="AR352" s="501">
        <f t="shared" si="458"/>
        <v>2527573</v>
      </c>
      <c r="AS352" s="492">
        <f t="shared" si="459"/>
        <v>1861247</v>
      </c>
      <c r="AT352" s="492">
        <f t="shared" si="460"/>
        <v>0</v>
      </c>
      <c r="AU352" s="492">
        <f t="shared" si="461"/>
        <v>629101</v>
      </c>
      <c r="AV352" s="492">
        <f t="shared" si="461"/>
        <v>37225</v>
      </c>
      <c r="AW352" s="492">
        <f t="shared" si="462"/>
        <v>0</v>
      </c>
      <c r="AX352" s="493">
        <f t="shared" si="463"/>
        <v>5.34</v>
      </c>
      <c r="AY352" s="493">
        <f t="shared" si="464"/>
        <v>5.34</v>
      </c>
      <c r="AZ352" s="495">
        <f t="shared" si="464"/>
        <v>0</v>
      </c>
    </row>
    <row r="353" spans="1:52" ht="14.1" customHeight="1" x14ac:dyDescent="0.2">
      <c r="A353" s="72">
        <v>71</v>
      </c>
      <c r="B353" s="69">
        <v>2492</v>
      </c>
      <c r="C353" s="70">
        <v>600079767</v>
      </c>
      <c r="D353" s="69">
        <v>70983011</v>
      </c>
      <c r="E353" s="71" t="s">
        <v>803</v>
      </c>
      <c r="F353" s="72">
        <v>3141</v>
      </c>
      <c r="G353" s="71" t="s">
        <v>316</v>
      </c>
      <c r="H353" s="73" t="s">
        <v>279</v>
      </c>
      <c r="I353" s="494">
        <v>3973461</v>
      </c>
      <c r="J353" s="489">
        <v>2901831</v>
      </c>
      <c r="K353" s="489">
        <v>0</v>
      </c>
      <c r="L353" s="489">
        <v>980819</v>
      </c>
      <c r="M353" s="489">
        <v>58037</v>
      </c>
      <c r="N353" s="489">
        <v>32774</v>
      </c>
      <c r="O353" s="490">
        <v>9.14</v>
      </c>
      <c r="P353" s="491">
        <v>0</v>
      </c>
      <c r="Q353" s="500">
        <v>9.14</v>
      </c>
      <c r="R353" s="502">
        <f t="shared" si="427"/>
        <v>0</v>
      </c>
      <c r="S353" s="492">
        <v>0</v>
      </c>
      <c r="T353" s="492">
        <v>0</v>
      </c>
      <c r="U353" s="492">
        <v>0</v>
      </c>
      <c r="V353" s="492">
        <f t="shared" si="455"/>
        <v>0</v>
      </c>
      <c r="W353" s="492">
        <v>0</v>
      </c>
      <c r="X353" s="492">
        <v>0</v>
      </c>
      <c r="Y353" s="492">
        <v>0</v>
      </c>
      <c r="Z353" s="492">
        <f t="shared" si="434"/>
        <v>0</v>
      </c>
      <c r="AA353" s="492">
        <f t="shared" si="435"/>
        <v>0</v>
      </c>
      <c r="AB353" s="74">
        <f t="shared" si="436"/>
        <v>0</v>
      </c>
      <c r="AC353" s="74">
        <f t="shared" si="437"/>
        <v>0</v>
      </c>
      <c r="AD353" s="492">
        <v>0</v>
      </c>
      <c r="AE353" s="492">
        <v>0</v>
      </c>
      <c r="AF353" s="492">
        <f t="shared" si="456"/>
        <v>0</v>
      </c>
      <c r="AG353" s="492">
        <f t="shared" si="457"/>
        <v>0</v>
      </c>
      <c r="AH353" s="493">
        <v>0</v>
      </c>
      <c r="AI353" s="493">
        <v>0</v>
      </c>
      <c r="AJ353" s="493">
        <v>0</v>
      </c>
      <c r="AK353" s="493">
        <v>0</v>
      </c>
      <c r="AL353" s="493">
        <v>0</v>
      </c>
      <c r="AM353" s="493">
        <v>0</v>
      </c>
      <c r="AN353" s="493">
        <v>0</v>
      </c>
      <c r="AO353" s="493">
        <f t="shared" si="428"/>
        <v>0</v>
      </c>
      <c r="AP353" s="493">
        <f t="shared" si="429"/>
        <v>0</v>
      </c>
      <c r="AQ353" s="495">
        <f t="shared" si="440"/>
        <v>0</v>
      </c>
      <c r="AR353" s="501">
        <f t="shared" si="458"/>
        <v>3973461</v>
      </c>
      <c r="AS353" s="492">
        <f t="shared" si="459"/>
        <v>2901831</v>
      </c>
      <c r="AT353" s="492">
        <f t="shared" si="460"/>
        <v>0</v>
      </c>
      <c r="AU353" s="492">
        <f t="shared" si="461"/>
        <v>980819</v>
      </c>
      <c r="AV353" s="492">
        <f t="shared" si="461"/>
        <v>58037</v>
      </c>
      <c r="AW353" s="492">
        <f t="shared" si="462"/>
        <v>32774</v>
      </c>
      <c r="AX353" s="493">
        <f t="shared" si="463"/>
        <v>9.14</v>
      </c>
      <c r="AY353" s="493">
        <f t="shared" si="464"/>
        <v>0</v>
      </c>
      <c r="AZ353" s="495">
        <f t="shared" si="464"/>
        <v>9.14</v>
      </c>
    </row>
    <row r="354" spans="1:52" ht="14.1" customHeight="1" x14ac:dyDescent="0.2">
      <c r="A354" s="72">
        <v>71</v>
      </c>
      <c r="B354" s="69">
        <v>2492</v>
      </c>
      <c r="C354" s="70">
        <v>600079767</v>
      </c>
      <c r="D354" s="69">
        <v>70983011</v>
      </c>
      <c r="E354" s="71" t="s">
        <v>803</v>
      </c>
      <c r="F354" s="72">
        <v>3143</v>
      </c>
      <c r="G354" s="84" t="s">
        <v>629</v>
      </c>
      <c r="H354" s="73" t="s">
        <v>278</v>
      </c>
      <c r="I354" s="494">
        <v>1659026</v>
      </c>
      <c r="J354" s="489">
        <v>1219363</v>
      </c>
      <c r="K354" s="489">
        <v>2340</v>
      </c>
      <c r="L354" s="489">
        <v>412936</v>
      </c>
      <c r="M354" s="489">
        <v>24387</v>
      </c>
      <c r="N354" s="489">
        <v>0</v>
      </c>
      <c r="O354" s="490">
        <v>2.5</v>
      </c>
      <c r="P354" s="490">
        <v>2.5</v>
      </c>
      <c r="Q354" s="500">
        <v>0</v>
      </c>
      <c r="R354" s="502">
        <f t="shared" si="427"/>
        <v>0</v>
      </c>
      <c r="S354" s="492">
        <v>0</v>
      </c>
      <c r="T354" s="492">
        <v>0</v>
      </c>
      <c r="U354" s="492">
        <v>0</v>
      </c>
      <c r="V354" s="492">
        <f t="shared" si="455"/>
        <v>0</v>
      </c>
      <c r="W354" s="492">
        <v>0</v>
      </c>
      <c r="X354" s="492">
        <v>0</v>
      </c>
      <c r="Y354" s="492">
        <v>0</v>
      </c>
      <c r="Z354" s="492">
        <f t="shared" si="434"/>
        <v>0</v>
      </c>
      <c r="AA354" s="492">
        <f t="shared" si="435"/>
        <v>0</v>
      </c>
      <c r="AB354" s="74">
        <f t="shared" si="436"/>
        <v>0</v>
      </c>
      <c r="AC354" s="74">
        <f t="shared" si="437"/>
        <v>0</v>
      </c>
      <c r="AD354" s="492">
        <v>0</v>
      </c>
      <c r="AE354" s="492">
        <v>0</v>
      </c>
      <c r="AF354" s="492">
        <f t="shared" si="456"/>
        <v>0</v>
      </c>
      <c r="AG354" s="492">
        <f t="shared" si="457"/>
        <v>0</v>
      </c>
      <c r="AH354" s="493">
        <v>0</v>
      </c>
      <c r="AI354" s="493">
        <v>0</v>
      </c>
      <c r="AJ354" s="493">
        <v>0</v>
      </c>
      <c r="AK354" s="493">
        <v>0</v>
      </c>
      <c r="AL354" s="493">
        <v>0</v>
      </c>
      <c r="AM354" s="493">
        <v>0</v>
      </c>
      <c r="AN354" s="493">
        <v>0</v>
      </c>
      <c r="AO354" s="493">
        <f t="shared" si="428"/>
        <v>0</v>
      </c>
      <c r="AP354" s="493">
        <f t="shared" si="429"/>
        <v>0</v>
      </c>
      <c r="AQ354" s="495">
        <f t="shared" si="440"/>
        <v>0</v>
      </c>
      <c r="AR354" s="501">
        <f t="shared" si="458"/>
        <v>1659026</v>
      </c>
      <c r="AS354" s="492">
        <f t="shared" si="459"/>
        <v>1219363</v>
      </c>
      <c r="AT354" s="492">
        <f t="shared" si="460"/>
        <v>2340</v>
      </c>
      <c r="AU354" s="492">
        <f t="shared" si="461"/>
        <v>412936</v>
      </c>
      <c r="AV354" s="492">
        <f t="shared" si="461"/>
        <v>24387</v>
      </c>
      <c r="AW354" s="492">
        <f t="shared" si="462"/>
        <v>0</v>
      </c>
      <c r="AX354" s="493">
        <f t="shared" si="463"/>
        <v>2.5</v>
      </c>
      <c r="AY354" s="493">
        <f t="shared" si="464"/>
        <v>2.5</v>
      </c>
      <c r="AZ354" s="495">
        <f t="shared" si="464"/>
        <v>0</v>
      </c>
    </row>
    <row r="355" spans="1:52" ht="14.1" customHeight="1" x14ac:dyDescent="0.2">
      <c r="A355" s="72">
        <v>71</v>
      </c>
      <c r="B355" s="69">
        <v>2492</v>
      </c>
      <c r="C355" s="70">
        <v>600079767</v>
      </c>
      <c r="D355" s="69">
        <v>70983011</v>
      </c>
      <c r="E355" s="71" t="s">
        <v>803</v>
      </c>
      <c r="F355" s="72">
        <v>3143</v>
      </c>
      <c r="G355" s="84" t="s">
        <v>630</v>
      </c>
      <c r="H355" s="73" t="s">
        <v>279</v>
      </c>
      <c r="I355" s="494">
        <v>50652</v>
      </c>
      <c r="J355" s="489">
        <v>35819</v>
      </c>
      <c r="K355" s="489">
        <v>0</v>
      </c>
      <c r="L355" s="489">
        <v>12107</v>
      </c>
      <c r="M355" s="489">
        <v>716</v>
      </c>
      <c r="N355" s="489">
        <v>2010</v>
      </c>
      <c r="O355" s="490">
        <v>0.14000000000000001</v>
      </c>
      <c r="P355" s="491">
        <v>0</v>
      </c>
      <c r="Q355" s="500">
        <v>0.14000000000000001</v>
      </c>
      <c r="R355" s="502">
        <f t="shared" si="427"/>
        <v>0</v>
      </c>
      <c r="S355" s="492">
        <v>0</v>
      </c>
      <c r="T355" s="492">
        <v>0</v>
      </c>
      <c r="U355" s="492">
        <v>0</v>
      </c>
      <c r="V355" s="492">
        <f t="shared" si="455"/>
        <v>0</v>
      </c>
      <c r="W355" s="492">
        <v>0</v>
      </c>
      <c r="X355" s="492">
        <v>0</v>
      </c>
      <c r="Y355" s="492">
        <v>0</v>
      </c>
      <c r="Z355" s="492">
        <f t="shared" si="434"/>
        <v>0</v>
      </c>
      <c r="AA355" s="492">
        <f t="shared" si="435"/>
        <v>0</v>
      </c>
      <c r="AB355" s="74">
        <f t="shared" si="436"/>
        <v>0</v>
      </c>
      <c r="AC355" s="74">
        <f t="shared" si="437"/>
        <v>0</v>
      </c>
      <c r="AD355" s="492">
        <v>0</v>
      </c>
      <c r="AE355" s="492">
        <v>0</v>
      </c>
      <c r="AF355" s="492">
        <f t="shared" si="456"/>
        <v>0</v>
      </c>
      <c r="AG355" s="492">
        <f t="shared" si="457"/>
        <v>0</v>
      </c>
      <c r="AH355" s="493">
        <v>0</v>
      </c>
      <c r="AI355" s="493">
        <v>0</v>
      </c>
      <c r="AJ355" s="493">
        <v>0</v>
      </c>
      <c r="AK355" s="493">
        <v>0</v>
      </c>
      <c r="AL355" s="493">
        <v>0</v>
      </c>
      <c r="AM355" s="493">
        <v>0</v>
      </c>
      <c r="AN355" s="493">
        <v>0</v>
      </c>
      <c r="AO355" s="493">
        <f t="shared" si="428"/>
        <v>0</v>
      </c>
      <c r="AP355" s="493">
        <f t="shared" si="429"/>
        <v>0</v>
      </c>
      <c r="AQ355" s="495">
        <f t="shared" si="440"/>
        <v>0</v>
      </c>
      <c r="AR355" s="501">
        <f t="shared" si="458"/>
        <v>50652</v>
      </c>
      <c r="AS355" s="492">
        <f t="shared" si="459"/>
        <v>35819</v>
      </c>
      <c r="AT355" s="492">
        <f t="shared" si="460"/>
        <v>0</v>
      </c>
      <c r="AU355" s="492">
        <f t="shared" si="461"/>
        <v>12107</v>
      </c>
      <c r="AV355" s="492">
        <f t="shared" si="461"/>
        <v>716</v>
      </c>
      <c r="AW355" s="492">
        <f t="shared" si="462"/>
        <v>2010</v>
      </c>
      <c r="AX355" s="493">
        <f t="shared" si="463"/>
        <v>0.14000000000000001</v>
      </c>
      <c r="AY355" s="493">
        <f t="shared" si="464"/>
        <v>0</v>
      </c>
      <c r="AZ355" s="495">
        <f t="shared" si="464"/>
        <v>0.14000000000000001</v>
      </c>
    </row>
    <row r="356" spans="1:52" ht="14.1" customHeight="1" x14ac:dyDescent="0.2">
      <c r="A356" s="72">
        <v>71</v>
      </c>
      <c r="B356" s="69">
        <v>2492</v>
      </c>
      <c r="C356" s="70">
        <v>600079767</v>
      </c>
      <c r="D356" s="69">
        <v>70983011</v>
      </c>
      <c r="E356" s="71" t="s">
        <v>804</v>
      </c>
      <c r="F356" s="72">
        <v>3231</v>
      </c>
      <c r="G356" s="84" t="s">
        <v>317</v>
      </c>
      <c r="H356" s="73" t="s">
        <v>278</v>
      </c>
      <c r="I356" s="494">
        <v>2082990</v>
      </c>
      <c r="J356" s="489">
        <v>1528936</v>
      </c>
      <c r="K356" s="489">
        <v>0</v>
      </c>
      <c r="L356" s="489">
        <v>516780</v>
      </c>
      <c r="M356" s="489">
        <v>30579</v>
      </c>
      <c r="N356" s="489">
        <v>6695</v>
      </c>
      <c r="O356" s="490">
        <v>2.8395999999999999</v>
      </c>
      <c r="P356" s="491">
        <v>2.5230000000000001</v>
      </c>
      <c r="Q356" s="500">
        <v>0.31659999999999999</v>
      </c>
      <c r="R356" s="502">
        <f t="shared" si="427"/>
        <v>0</v>
      </c>
      <c r="S356" s="492">
        <v>0</v>
      </c>
      <c r="T356" s="492">
        <v>0</v>
      </c>
      <c r="U356" s="492">
        <v>0</v>
      </c>
      <c r="V356" s="492">
        <f t="shared" si="455"/>
        <v>0</v>
      </c>
      <c r="W356" s="492">
        <v>0</v>
      </c>
      <c r="X356" s="492">
        <v>0</v>
      </c>
      <c r="Y356" s="492">
        <v>0</v>
      </c>
      <c r="Z356" s="492">
        <f t="shared" si="434"/>
        <v>0</v>
      </c>
      <c r="AA356" s="492">
        <f t="shared" si="435"/>
        <v>0</v>
      </c>
      <c r="AB356" s="74">
        <f t="shared" si="436"/>
        <v>0</v>
      </c>
      <c r="AC356" s="74">
        <f t="shared" si="437"/>
        <v>0</v>
      </c>
      <c r="AD356" s="492">
        <v>0</v>
      </c>
      <c r="AE356" s="492">
        <v>0</v>
      </c>
      <c r="AF356" s="492">
        <f t="shared" si="456"/>
        <v>0</v>
      </c>
      <c r="AG356" s="492">
        <f t="shared" si="457"/>
        <v>0</v>
      </c>
      <c r="AH356" s="493">
        <v>0</v>
      </c>
      <c r="AI356" s="493">
        <v>0</v>
      </c>
      <c r="AJ356" s="493">
        <v>0</v>
      </c>
      <c r="AK356" s="493">
        <v>0</v>
      </c>
      <c r="AL356" s="493">
        <v>0</v>
      </c>
      <c r="AM356" s="493">
        <v>0</v>
      </c>
      <c r="AN356" s="493">
        <v>0</v>
      </c>
      <c r="AO356" s="493">
        <f t="shared" si="428"/>
        <v>0</v>
      </c>
      <c r="AP356" s="493">
        <f t="shared" si="429"/>
        <v>0</v>
      </c>
      <c r="AQ356" s="495">
        <f t="shared" si="440"/>
        <v>0</v>
      </c>
      <c r="AR356" s="501">
        <f t="shared" si="458"/>
        <v>2082990</v>
      </c>
      <c r="AS356" s="492">
        <f t="shared" si="459"/>
        <v>1528936</v>
      </c>
      <c r="AT356" s="492">
        <f t="shared" si="460"/>
        <v>0</v>
      </c>
      <c r="AU356" s="492">
        <f t="shared" si="461"/>
        <v>516780</v>
      </c>
      <c r="AV356" s="492">
        <f t="shared" si="461"/>
        <v>30579</v>
      </c>
      <c r="AW356" s="492">
        <f t="shared" si="462"/>
        <v>6695</v>
      </c>
      <c r="AX356" s="493">
        <f t="shared" si="463"/>
        <v>2.8395999999999999</v>
      </c>
      <c r="AY356" s="493">
        <f t="shared" si="464"/>
        <v>2.5230000000000001</v>
      </c>
      <c r="AZ356" s="495">
        <f t="shared" si="464"/>
        <v>0.31659999999999999</v>
      </c>
    </row>
    <row r="357" spans="1:52" ht="14.1" customHeight="1" x14ac:dyDescent="0.2">
      <c r="A357" s="78">
        <v>71</v>
      </c>
      <c r="B357" s="75">
        <v>2492</v>
      </c>
      <c r="C357" s="76">
        <v>600079767</v>
      </c>
      <c r="D357" s="75">
        <v>70983011</v>
      </c>
      <c r="E357" s="77" t="s">
        <v>805</v>
      </c>
      <c r="F357" s="78"/>
      <c r="G357" s="77"/>
      <c r="H357" s="79"/>
      <c r="I357" s="80">
        <v>31565043</v>
      </c>
      <c r="J357" s="81">
        <v>22876668</v>
      </c>
      <c r="K357" s="81">
        <v>4940</v>
      </c>
      <c r="L357" s="81">
        <v>7733983</v>
      </c>
      <c r="M357" s="81">
        <v>457533</v>
      </c>
      <c r="N357" s="81">
        <v>491919</v>
      </c>
      <c r="O357" s="82">
        <v>47.633400000000002</v>
      </c>
      <c r="P357" s="82">
        <v>31.726600000000001</v>
      </c>
      <c r="Q357" s="452">
        <v>15.9068</v>
      </c>
      <c r="R357" s="80">
        <f t="shared" ref="R357:AZ357" si="465">SUM(R351:R356)</f>
        <v>0</v>
      </c>
      <c r="S357" s="81">
        <f t="shared" si="465"/>
        <v>0</v>
      </c>
      <c r="T357" s="81">
        <f t="shared" si="465"/>
        <v>0</v>
      </c>
      <c r="U357" s="81">
        <f t="shared" si="465"/>
        <v>0</v>
      </c>
      <c r="V357" s="81">
        <f t="shared" si="465"/>
        <v>0</v>
      </c>
      <c r="W357" s="81">
        <f t="shared" si="465"/>
        <v>0</v>
      </c>
      <c r="X357" s="81">
        <f t="shared" si="465"/>
        <v>0</v>
      </c>
      <c r="Y357" s="81">
        <f t="shared" si="465"/>
        <v>0</v>
      </c>
      <c r="Z357" s="81">
        <f t="shared" si="465"/>
        <v>0</v>
      </c>
      <c r="AA357" s="81">
        <f t="shared" si="465"/>
        <v>0</v>
      </c>
      <c r="AB357" s="81">
        <f t="shared" si="465"/>
        <v>0</v>
      </c>
      <c r="AC357" s="81">
        <f t="shared" si="465"/>
        <v>0</v>
      </c>
      <c r="AD357" s="81">
        <f t="shared" si="465"/>
        <v>0</v>
      </c>
      <c r="AE357" s="81">
        <f t="shared" si="465"/>
        <v>0</v>
      </c>
      <c r="AF357" s="81">
        <f t="shared" si="465"/>
        <v>0</v>
      </c>
      <c r="AG357" s="81">
        <f t="shared" si="465"/>
        <v>0</v>
      </c>
      <c r="AH357" s="82">
        <f t="shared" si="465"/>
        <v>0</v>
      </c>
      <c r="AI357" s="82">
        <f t="shared" si="465"/>
        <v>0</v>
      </c>
      <c r="AJ357" s="82">
        <f t="shared" si="465"/>
        <v>0</v>
      </c>
      <c r="AK357" s="82">
        <f t="shared" ref="AK357:AL357" si="466">SUM(AK351:AK356)</f>
        <v>0</v>
      </c>
      <c r="AL357" s="82">
        <f t="shared" si="466"/>
        <v>0</v>
      </c>
      <c r="AM357" s="82">
        <f t="shared" si="465"/>
        <v>0</v>
      </c>
      <c r="AN357" s="82">
        <f t="shared" si="465"/>
        <v>0</v>
      </c>
      <c r="AO357" s="82">
        <f t="shared" si="465"/>
        <v>0</v>
      </c>
      <c r="AP357" s="82">
        <f t="shared" si="465"/>
        <v>0</v>
      </c>
      <c r="AQ357" s="83">
        <f t="shared" si="465"/>
        <v>0</v>
      </c>
      <c r="AR357" s="438">
        <f t="shared" si="465"/>
        <v>31565043</v>
      </c>
      <c r="AS357" s="81">
        <f t="shared" si="465"/>
        <v>22876668</v>
      </c>
      <c r="AT357" s="81">
        <f t="shared" si="465"/>
        <v>4940</v>
      </c>
      <c r="AU357" s="81">
        <f t="shared" si="465"/>
        <v>7733983</v>
      </c>
      <c r="AV357" s="81">
        <f t="shared" si="465"/>
        <v>457533</v>
      </c>
      <c r="AW357" s="81">
        <f t="shared" si="465"/>
        <v>491919</v>
      </c>
      <c r="AX357" s="82">
        <f t="shared" si="465"/>
        <v>47.633400000000002</v>
      </c>
      <c r="AY357" s="82">
        <f t="shared" si="465"/>
        <v>31.726600000000001</v>
      </c>
      <c r="AZ357" s="83">
        <f t="shared" si="465"/>
        <v>15.9068</v>
      </c>
    </row>
    <row r="358" spans="1:52" ht="14.1" customHeight="1" x14ac:dyDescent="0.2">
      <c r="A358" s="72">
        <v>72</v>
      </c>
      <c r="B358" s="69">
        <v>2491</v>
      </c>
      <c r="C358" s="70">
        <v>600079775</v>
      </c>
      <c r="D358" s="69">
        <v>70983003</v>
      </c>
      <c r="E358" s="71" t="s">
        <v>711</v>
      </c>
      <c r="F358" s="72">
        <v>3113</v>
      </c>
      <c r="G358" s="71" t="s">
        <v>315</v>
      </c>
      <c r="H358" s="73" t="s">
        <v>278</v>
      </c>
      <c r="I358" s="494">
        <v>27180229</v>
      </c>
      <c r="J358" s="489">
        <v>19636619</v>
      </c>
      <c r="K358" s="489">
        <v>0</v>
      </c>
      <c r="L358" s="489">
        <v>6637177</v>
      </c>
      <c r="M358" s="489">
        <v>392733</v>
      </c>
      <c r="N358" s="489">
        <v>513700</v>
      </c>
      <c r="O358" s="490">
        <v>35.5899</v>
      </c>
      <c r="P358" s="490">
        <v>28.318100000000001</v>
      </c>
      <c r="Q358" s="500">
        <v>7.2717999999999998</v>
      </c>
      <c r="R358" s="502">
        <f t="shared" si="427"/>
        <v>0</v>
      </c>
      <c r="S358" s="492">
        <v>0</v>
      </c>
      <c r="T358" s="492">
        <v>0</v>
      </c>
      <c r="U358" s="492">
        <v>0</v>
      </c>
      <c r="V358" s="492">
        <f>SUM(R358:U358)</f>
        <v>0</v>
      </c>
      <c r="W358" s="492">
        <v>0</v>
      </c>
      <c r="X358" s="492">
        <v>0</v>
      </c>
      <c r="Y358" s="492">
        <v>0</v>
      </c>
      <c r="Z358" s="492">
        <f t="shared" si="434"/>
        <v>0</v>
      </c>
      <c r="AA358" s="492">
        <f t="shared" si="435"/>
        <v>0</v>
      </c>
      <c r="AB358" s="74">
        <f t="shared" si="436"/>
        <v>0</v>
      </c>
      <c r="AC358" s="74">
        <f t="shared" si="437"/>
        <v>0</v>
      </c>
      <c r="AD358" s="492">
        <v>0</v>
      </c>
      <c r="AE358" s="492">
        <v>0</v>
      </c>
      <c r="AF358" s="492">
        <f>SUM(AD358:AE358)</f>
        <v>0</v>
      </c>
      <c r="AG358" s="492">
        <f>AA358+AB358+AC358+AF358</f>
        <v>0</v>
      </c>
      <c r="AH358" s="493">
        <v>0</v>
      </c>
      <c r="AI358" s="493">
        <v>0</v>
      </c>
      <c r="AJ358" s="493">
        <v>0</v>
      </c>
      <c r="AK358" s="493">
        <v>0</v>
      </c>
      <c r="AL358" s="493">
        <v>0</v>
      </c>
      <c r="AM358" s="493">
        <v>0</v>
      </c>
      <c r="AN358" s="493">
        <v>0</v>
      </c>
      <c r="AO358" s="493">
        <f t="shared" si="428"/>
        <v>0</v>
      </c>
      <c r="AP358" s="493">
        <f t="shared" si="429"/>
        <v>0</v>
      </c>
      <c r="AQ358" s="495">
        <f t="shared" si="440"/>
        <v>0</v>
      </c>
      <c r="AR358" s="501">
        <f>I358+AG358</f>
        <v>27180229</v>
      </c>
      <c r="AS358" s="492">
        <f>J358+V358</f>
        <v>19636619</v>
      </c>
      <c r="AT358" s="492">
        <f t="shared" ref="AT358:AT361" si="467">K358+Z358</f>
        <v>0</v>
      </c>
      <c r="AU358" s="492">
        <f t="shared" ref="AU358:AV361" si="468">L358+AB358</f>
        <v>6637177</v>
      </c>
      <c r="AV358" s="492">
        <f t="shared" si="468"/>
        <v>392733</v>
      </c>
      <c r="AW358" s="492">
        <f>N358+AF358</f>
        <v>513700</v>
      </c>
      <c r="AX358" s="493">
        <f>O358+AQ358</f>
        <v>35.5899</v>
      </c>
      <c r="AY358" s="493">
        <f t="shared" ref="AY358:AZ361" si="469">P358+AO358</f>
        <v>28.318100000000001</v>
      </c>
      <c r="AZ358" s="495">
        <f t="shared" si="469"/>
        <v>7.2717999999999998</v>
      </c>
    </row>
    <row r="359" spans="1:52" ht="14.1" customHeight="1" x14ac:dyDescent="0.2">
      <c r="A359" s="72">
        <v>72</v>
      </c>
      <c r="B359" s="69">
        <v>2491</v>
      </c>
      <c r="C359" s="70">
        <v>600079775</v>
      </c>
      <c r="D359" s="69">
        <v>70983003</v>
      </c>
      <c r="E359" s="71" t="s">
        <v>711</v>
      </c>
      <c r="F359" s="72">
        <v>3113</v>
      </c>
      <c r="G359" s="84" t="s">
        <v>313</v>
      </c>
      <c r="H359" s="73" t="s">
        <v>279</v>
      </c>
      <c r="I359" s="494">
        <v>1554212</v>
      </c>
      <c r="J359" s="489">
        <v>1144486</v>
      </c>
      <c r="K359" s="489">
        <v>0</v>
      </c>
      <c r="L359" s="489">
        <v>386836</v>
      </c>
      <c r="M359" s="489">
        <v>22890</v>
      </c>
      <c r="N359" s="489">
        <v>0</v>
      </c>
      <c r="O359" s="490">
        <v>3.05</v>
      </c>
      <c r="P359" s="491">
        <v>3.05</v>
      </c>
      <c r="Q359" s="500">
        <v>0</v>
      </c>
      <c r="R359" s="502">
        <f t="shared" si="427"/>
        <v>0</v>
      </c>
      <c r="S359" s="489">
        <v>0</v>
      </c>
      <c r="T359" s="492">
        <v>0</v>
      </c>
      <c r="U359" s="492">
        <v>0</v>
      </c>
      <c r="V359" s="492">
        <f>SUM(R359:U359)</f>
        <v>0</v>
      </c>
      <c r="W359" s="492">
        <v>0</v>
      </c>
      <c r="X359" s="492">
        <v>0</v>
      </c>
      <c r="Y359" s="492">
        <v>0</v>
      </c>
      <c r="Z359" s="492">
        <f t="shared" si="434"/>
        <v>0</v>
      </c>
      <c r="AA359" s="492">
        <f t="shared" si="435"/>
        <v>0</v>
      </c>
      <c r="AB359" s="74">
        <f t="shared" si="436"/>
        <v>0</v>
      </c>
      <c r="AC359" s="74">
        <f t="shared" si="437"/>
        <v>0</v>
      </c>
      <c r="AD359" s="492">
        <v>0</v>
      </c>
      <c r="AE359" s="492">
        <v>0</v>
      </c>
      <c r="AF359" s="492">
        <f>SUM(AD359:AE359)</f>
        <v>0</v>
      </c>
      <c r="AG359" s="492">
        <f>AA359+AB359+AC359+AF359</f>
        <v>0</v>
      </c>
      <c r="AH359" s="493">
        <v>0</v>
      </c>
      <c r="AI359" s="493">
        <v>0</v>
      </c>
      <c r="AJ359" s="493">
        <v>0</v>
      </c>
      <c r="AK359" s="493">
        <v>0</v>
      </c>
      <c r="AL359" s="493">
        <v>0</v>
      </c>
      <c r="AM359" s="493">
        <v>0</v>
      </c>
      <c r="AN359" s="493">
        <v>0</v>
      </c>
      <c r="AO359" s="493">
        <f t="shared" si="428"/>
        <v>0</v>
      </c>
      <c r="AP359" s="493">
        <f t="shared" si="429"/>
        <v>0</v>
      </c>
      <c r="AQ359" s="495">
        <f t="shared" si="440"/>
        <v>0</v>
      </c>
      <c r="AR359" s="501">
        <f>I359+AG359</f>
        <v>1554212</v>
      </c>
      <c r="AS359" s="492">
        <f>J359+V359</f>
        <v>1144486</v>
      </c>
      <c r="AT359" s="492">
        <f t="shared" si="467"/>
        <v>0</v>
      </c>
      <c r="AU359" s="492">
        <f t="shared" si="468"/>
        <v>386836</v>
      </c>
      <c r="AV359" s="492">
        <f t="shared" si="468"/>
        <v>22890</v>
      </c>
      <c r="AW359" s="492">
        <f>N359+AF359</f>
        <v>0</v>
      </c>
      <c r="AX359" s="493">
        <f>O359+AQ359</f>
        <v>3.05</v>
      </c>
      <c r="AY359" s="493">
        <f t="shared" si="469"/>
        <v>3.05</v>
      </c>
      <c r="AZ359" s="495">
        <f t="shared" si="469"/>
        <v>0</v>
      </c>
    </row>
    <row r="360" spans="1:52" ht="14.1" customHeight="1" x14ac:dyDescent="0.2">
      <c r="A360" s="72">
        <v>72</v>
      </c>
      <c r="B360" s="69">
        <v>2491</v>
      </c>
      <c r="C360" s="70">
        <v>600079775</v>
      </c>
      <c r="D360" s="69">
        <v>70983003</v>
      </c>
      <c r="E360" s="71" t="s">
        <v>711</v>
      </c>
      <c r="F360" s="72">
        <v>3143</v>
      </c>
      <c r="G360" s="84" t="s">
        <v>629</v>
      </c>
      <c r="H360" s="73" t="s">
        <v>278</v>
      </c>
      <c r="I360" s="494">
        <v>2344341</v>
      </c>
      <c r="J360" s="489">
        <v>1726319</v>
      </c>
      <c r="K360" s="489">
        <v>0</v>
      </c>
      <c r="L360" s="489">
        <v>583496</v>
      </c>
      <c r="M360" s="489">
        <v>34526</v>
      </c>
      <c r="N360" s="489">
        <v>0</v>
      </c>
      <c r="O360" s="490">
        <v>3.5714000000000001</v>
      </c>
      <c r="P360" s="490">
        <v>3.5714000000000001</v>
      </c>
      <c r="Q360" s="500">
        <v>0</v>
      </c>
      <c r="R360" s="502">
        <f t="shared" si="427"/>
        <v>0</v>
      </c>
      <c r="S360" s="492">
        <v>0</v>
      </c>
      <c r="T360" s="492">
        <v>0</v>
      </c>
      <c r="U360" s="492">
        <v>0</v>
      </c>
      <c r="V360" s="492">
        <f>SUM(R360:U360)</f>
        <v>0</v>
      </c>
      <c r="W360" s="492">
        <v>0</v>
      </c>
      <c r="X360" s="492">
        <v>0</v>
      </c>
      <c r="Y360" s="492">
        <v>0</v>
      </c>
      <c r="Z360" s="492">
        <f t="shared" si="434"/>
        <v>0</v>
      </c>
      <c r="AA360" s="492">
        <f t="shared" si="435"/>
        <v>0</v>
      </c>
      <c r="AB360" s="74">
        <f t="shared" si="436"/>
        <v>0</v>
      </c>
      <c r="AC360" s="74">
        <f t="shared" si="437"/>
        <v>0</v>
      </c>
      <c r="AD360" s="492">
        <v>0</v>
      </c>
      <c r="AE360" s="492">
        <v>0</v>
      </c>
      <c r="AF360" s="492">
        <f>SUM(AD360:AE360)</f>
        <v>0</v>
      </c>
      <c r="AG360" s="492">
        <f>AA360+AB360+AC360+AF360</f>
        <v>0</v>
      </c>
      <c r="AH360" s="493">
        <v>0</v>
      </c>
      <c r="AI360" s="493">
        <v>0</v>
      </c>
      <c r="AJ360" s="493">
        <v>0</v>
      </c>
      <c r="AK360" s="493">
        <v>0</v>
      </c>
      <c r="AL360" s="493">
        <v>0</v>
      </c>
      <c r="AM360" s="493">
        <v>0</v>
      </c>
      <c r="AN360" s="493">
        <v>0</v>
      </c>
      <c r="AO360" s="493">
        <f t="shared" si="428"/>
        <v>0</v>
      </c>
      <c r="AP360" s="493">
        <f t="shared" si="429"/>
        <v>0</v>
      </c>
      <c r="AQ360" s="495">
        <f t="shared" si="440"/>
        <v>0</v>
      </c>
      <c r="AR360" s="501">
        <f>I360+AG360</f>
        <v>2344341</v>
      </c>
      <c r="AS360" s="492">
        <f>J360+V360</f>
        <v>1726319</v>
      </c>
      <c r="AT360" s="492">
        <f t="shared" si="467"/>
        <v>0</v>
      </c>
      <c r="AU360" s="492">
        <f t="shared" si="468"/>
        <v>583496</v>
      </c>
      <c r="AV360" s="492">
        <f t="shared" si="468"/>
        <v>34526</v>
      </c>
      <c r="AW360" s="492">
        <f>N360+AF360</f>
        <v>0</v>
      </c>
      <c r="AX360" s="493">
        <f>O360+AQ360</f>
        <v>3.5714000000000001</v>
      </c>
      <c r="AY360" s="493">
        <f t="shared" si="469"/>
        <v>3.5714000000000001</v>
      </c>
      <c r="AZ360" s="495">
        <f t="shared" si="469"/>
        <v>0</v>
      </c>
    </row>
    <row r="361" spans="1:52" ht="14.1" customHeight="1" x14ac:dyDescent="0.2">
      <c r="A361" s="72">
        <v>72</v>
      </c>
      <c r="B361" s="69">
        <v>2491</v>
      </c>
      <c r="C361" s="70">
        <v>600079775</v>
      </c>
      <c r="D361" s="69">
        <v>70983003</v>
      </c>
      <c r="E361" s="71" t="s">
        <v>711</v>
      </c>
      <c r="F361" s="72">
        <v>3143</v>
      </c>
      <c r="G361" s="84" t="s">
        <v>630</v>
      </c>
      <c r="H361" s="73" t="s">
        <v>279</v>
      </c>
      <c r="I361" s="494">
        <v>68040</v>
      </c>
      <c r="J361" s="489">
        <v>48115</v>
      </c>
      <c r="K361" s="489">
        <v>0</v>
      </c>
      <c r="L361" s="489">
        <v>16263</v>
      </c>
      <c r="M361" s="489">
        <v>962</v>
      </c>
      <c r="N361" s="489">
        <v>2700</v>
      </c>
      <c r="O361" s="490">
        <v>0.19</v>
      </c>
      <c r="P361" s="491">
        <v>0</v>
      </c>
      <c r="Q361" s="500">
        <v>0.19</v>
      </c>
      <c r="R361" s="502">
        <f t="shared" si="427"/>
        <v>0</v>
      </c>
      <c r="S361" s="492">
        <v>0</v>
      </c>
      <c r="T361" s="492">
        <v>0</v>
      </c>
      <c r="U361" s="492">
        <v>0</v>
      </c>
      <c r="V361" s="492">
        <f>SUM(R361:U361)</f>
        <v>0</v>
      </c>
      <c r="W361" s="492">
        <v>0</v>
      </c>
      <c r="X361" s="492">
        <v>0</v>
      </c>
      <c r="Y361" s="492">
        <v>0</v>
      </c>
      <c r="Z361" s="492">
        <f t="shared" si="434"/>
        <v>0</v>
      </c>
      <c r="AA361" s="492">
        <f t="shared" si="435"/>
        <v>0</v>
      </c>
      <c r="AB361" s="74">
        <f t="shared" si="436"/>
        <v>0</v>
      </c>
      <c r="AC361" s="74">
        <f t="shared" si="437"/>
        <v>0</v>
      </c>
      <c r="AD361" s="492">
        <v>0</v>
      </c>
      <c r="AE361" s="492">
        <v>0</v>
      </c>
      <c r="AF361" s="492">
        <f>SUM(AD361:AE361)</f>
        <v>0</v>
      </c>
      <c r="AG361" s="492">
        <f>AA361+AB361+AC361+AF361</f>
        <v>0</v>
      </c>
      <c r="AH361" s="493">
        <v>0</v>
      </c>
      <c r="AI361" s="493">
        <v>0</v>
      </c>
      <c r="AJ361" s="493">
        <v>0</v>
      </c>
      <c r="AK361" s="493">
        <v>0</v>
      </c>
      <c r="AL361" s="493">
        <v>0</v>
      </c>
      <c r="AM361" s="493">
        <v>0</v>
      </c>
      <c r="AN361" s="493">
        <v>0</v>
      </c>
      <c r="AO361" s="493">
        <f t="shared" si="428"/>
        <v>0</v>
      </c>
      <c r="AP361" s="493">
        <f t="shared" si="429"/>
        <v>0</v>
      </c>
      <c r="AQ361" s="495">
        <f t="shared" si="440"/>
        <v>0</v>
      </c>
      <c r="AR361" s="501">
        <f>I361+AG361</f>
        <v>68040</v>
      </c>
      <c r="AS361" s="492">
        <f>J361+V361</f>
        <v>48115</v>
      </c>
      <c r="AT361" s="492">
        <f t="shared" si="467"/>
        <v>0</v>
      </c>
      <c r="AU361" s="492">
        <f t="shared" si="468"/>
        <v>16263</v>
      </c>
      <c r="AV361" s="492">
        <f t="shared" si="468"/>
        <v>962</v>
      </c>
      <c r="AW361" s="492">
        <f>N361+AF361</f>
        <v>2700</v>
      </c>
      <c r="AX361" s="493">
        <f>O361+AQ361</f>
        <v>0.19</v>
      </c>
      <c r="AY361" s="493">
        <f t="shared" si="469"/>
        <v>0</v>
      </c>
      <c r="AZ361" s="495">
        <f t="shared" si="469"/>
        <v>0.19</v>
      </c>
    </row>
    <row r="362" spans="1:52" ht="14.1" customHeight="1" x14ac:dyDescent="0.2">
      <c r="A362" s="78">
        <v>72</v>
      </c>
      <c r="B362" s="75">
        <v>2491</v>
      </c>
      <c r="C362" s="76">
        <v>600079775</v>
      </c>
      <c r="D362" s="75">
        <v>70983003</v>
      </c>
      <c r="E362" s="77" t="s">
        <v>712</v>
      </c>
      <c r="F362" s="78"/>
      <c r="G362" s="77"/>
      <c r="H362" s="79"/>
      <c r="I362" s="80">
        <v>31146822</v>
      </c>
      <c r="J362" s="81">
        <v>22555539</v>
      </c>
      <c r="K362" s="81">
        <v>0</v>
      </c>
      <c r="L362" s="81">
        <v>7623772</v>
      </c>
      <c r="M362" s="81">
        <v>451111</v>
      </c>
      <c r="N362" s="81">
        <v>516400</v>
      </c>
      <c r="O362" s="82">
        <v>42.401299999999992</v>
      </c>
      <c r="P362" s="82">
        <v>34.939500000000002</v>
      </c>
      <c r="Q362" s="452">
        <v>7.4618000000000002</v>
      </c>
      <c r="R362" s="80">
        <f t="shared" ref="R362:AZ362" si="470">SUM(R358:R361)</f>
        <v>0</v>
      </c>
      <c r="S362" s="81">
        <f t="shared" si="470"/>
        <v>0</v>
      </c>
      <c r="T362" s="81">
        <f t="shared" si="470"/>
        <v>0</v>
      </c>
      <c r="U362" s="81">
        <f t="shared" si="470"/>
        <v>0</v>
      </c>
      <c r="V362" s="81">
        <f t="shared" si="470"/>
        <v>0</v>
      </c>
      <c r="W362" s="81">
        <f t="shared" si="470"/>
        <v>0</v>
      </c>
      <c r="X362" s="81">
        <f t="shared" si="470"/>
        <v>0</v>
      </c>
      <c r="Y362" s="81">
        <f t="shared" si="470"/>
        <v>0</v>
      </c>
      <c r="Z362" s="81">
        <f t="shared" si="470"/>
        <v>0</v>
      </c>
      <c r="AA362" s="81">
        <f t="shared" si="470"/>
        <v>0</v>
      </c>
      <c r="AB362" s="81">
        <f t="shared" si="470"/>
        <v>0</v>
      </c>
      <c r="AC362" s="81">
        <f t="shared" si="470"/>
        <v>0</v>
      </c>
      <c r="AD362" s="81">
        <f t="shared" si="470"/>
        <v>0</v>
      </c>
      <c r="AE362" s="81">
        <f t="shared" si="470"/>
        <v>0</v>
      </c>
      <c r="AF362" s="81">
        <f t="shared" si="470"/>
        <v>0</v>
      </c>
      <c r="AG362" s="81">
        <f t="shared" si="470"/>
        <v>0</v>
      </c>
      <c r="AH362" s="82">
        <f t="shared" si="470"/>
        <v>0</v>
      </c>
      <c r="AI362" s="82">
        <f t="shared" si="470"/>
        <v>0</v>
      </c>
      <c r="AJ362" s="82">
        <f t="shared" si="470"/>
        <v>0</v>
      </c>
      <c r="AK362" s="82">
        <f t="shared" ref="AK362:AL362" si="471">SUM(AK358:AK361)</f>
        <v>0</v>
      </c>
      <c r="AL362" s="82">
        <f t="shared" si="471"/>
        <v>0</v>
      </c>
      <c r="AM362" s="82">
        <f t="shared" si="470"/>
        <v>0</v>
      </c>
      <c r="AN362" s="82">
        <f t="shared" si="470"/>
        <v>0</v>
      </c>
      <c r="AO362" s="82">
        <f t="shared" si="470"/>
        <v>0</v>
      </c>
      <c r="AP362" s="82">
        <f t="shared" si="470"/>
        <v>0</v>
      </c>
      <c r="AQ362" s="83">
        <f t="shared" si="470"/>
        <v>0</v>
      </c>
      <c r="AR362" s="438">
        <f t="shared" si="470"/>
        <v>31146822</v>
      </c>
      <c r="AS362" s="81">
        <f t="shared" si="470"/>
        <v>22555539</v>
      </c>
      <c r="AT362" s="81">
        <f t="shared" si="470"/>
        <v>0</v>
      </c>
      <c r="AU362" s="81">
        <f t="shared" si="470"/>
        <v>7623772</v>
      </c>
      <c r="AV362" s="81">
        <f t="shared" si="470"/>
        <v>451111</v>
      </c>
      <c r="AW362" s="81">
        <f t="shared" si="470"/>
        <v>516400</v>
      </c>
      <c r="AX362" s="82">
        <f t="shared" si="470"/>
        <v>42.401299999999992</v>
      </c>
      <c r="AY362" s="82">
        <f t="shared" si="470"/>
        <v>34.939500000000002</v>
      </c>
      <c r="AZ362" s="83">
        <f t="shared" si="470"/>
        <v>7.4618000000000002</v>
      </c>
    </row>
    <row r="363" spans="1:52" ht="14.1" customHeight="1" x14ac:dyDescent="0.2">
      <c r="A363" s="72">
        <v>73</v>
      </c>
      <c r="B363" s="69">
        <v>2459</v>
      </c>
      <c r="C363" s="70">
        <v>650030583</v>
      </c>
      <c r="D363" s="69">
        <v>72744707</v>
      </c>
      <c r="E363" s="71" t="s">
        <v>713</v>
      </c>
      <c r="F363" s="72">
        <v>3111</v>
      </c>
      <c r="G363" s="71" t="s">
        <v>312</v>
      </c>
      <c r="H363" s="73" t="s">
        <v>278</v>
      </c>
      <c r="I363" s="494">
        <v>3268703</v>
      </c>
      <c r="J363" s="489">
        <v>2391092</v>
      </c>
      <c r="K363" s="489">
        <v>0</v>
      </c>
      <c r="L363" s="489">
        <v>808189</v>
      </c>
      <c r="M363" s="489">
        <v>47822</v>
      </c>
      <c r="N363" s="489">
        <v>21600</v>
      </c>
      <c r="O363" s="490">
        <v>5.0217999999999998</v>
      </c>
      <c r="P363" s="490">
        <v>4</v>
      </c>
      <c r="Q363" s="500">
        <v>1.0218</v>
      </c>
      <c r="R363" s="502">
        <f t="shared" si="427"/>
        <v>0</v>
      </c>
      <c r="S363" s="492">
        <v>0</v>
      </c>
      <c r="T363" s="492">
        <v>0</v>
      </c>
      <c r="U363" s="492">
        <v>0</v>
      </c>
      <c r="V363" s="492">
        <f t="shared" ref="V363:V368" si="472">SUM(R363:U363)</f>
        <v>0</v>
      </c>
      <c r="W363" s="492">
        <v>0</v>
      </c>
      <c r="X363" s="492">
        <v>0</v>
      </c>
      <c r="Y363" s="492">
        <v>0</v>
      </c>
      <c r="Z363" s="492">
        <f t="shared" si="434"/>
        <v>0</v>
      </c>
      <c r="AA363" s="492">
        <f t="shared" si="435"/>
        <v>0</v>
      </c>
      <c r="AB363" s="74">
        <f t="shared" si="436"/>
        <v>0</v>
      </c>
      <c r="AC363" s="74">
        <f t="shared" si="437"/>
        <v>0</v>
      </c>
      <c r="AD363" s="492">
        <v>0</v>
      </c>
      <c r="AE363" s="492">
        <v>0</v>
      </c>
      <c r="AF363" s="492">
        <f t="shared" ref="AF363:AF368" si="473">SUM(AD363:AE363)</f>
        <v>0</v>
      </c>
      <c r="AG363" s="492">
        <f t="shared" ref="AG363:AG368" si="474">AA363+AB363+AC363+AF363</f>
        <v>0</v>
      </c>
      <c r="AH363" s="493">
        <v>0</v>
      </c>
      <c r="AI363" s="493">
        <v>0</v>
      </c>
      <c r="AJ363" s="493">
        <v>0</v>
      </c>
      <c r="AK363" s="493">
        <v>0</v>
      </c>
      <c r="AL363" s="493">
        <v>0</v>
      </c>
      <c r="AM363" s="493">
        <v>0</v>
      </c>
      <c r="AN363" s="493">
        <v>0</v>
      </c>
      <c r="AO363" s="493">
        <f t="shared" si="428"/>
        <v>0</v>
      </c>
      <c r="AP363" s="493">
        <f t="shared" si="429"/>
        <v>0</v>
      </c>
      <c r="AQ363" s="495">
        <f t="shared" si="440"/>
        <v>0</v>
      </c>
      <c r="AR363" s="501">
        <f t="shared" ref="AR363:AR368" si="475">I363+AG363</f>
        <v>3268703</v>
      </c>
      <c r="AS363" s="492">
        <f t="shared" ref="AS363:AS368" si="476">J363+V363</f>
        <v>2391092</v>
      </c>
      <c r="AT363" s="492">
        <f t="shared" ref="AT363:AT368" si="477">K363+Z363</f>
        <v>0</v>
      </c>
      <c r="AU363" s="492">
        <f t="shared" ref="AU363:AV368" si="478">L363+AB363</f>
        <v>808189</v>
      </c>
      <c r="AV363" s="492">
        <f t="shared" si="478"/>
        <v>47822</v>
      </c>
      <c r="AW363" s="492">
        <f t="shared" ref="AW363:AW368" si="479">N363+AF363</f>
        <v>21600</v>
      </c>
      <c r="AX363" s="493">
        <f t="shared" ref="AX363:AX368" si="480">O363+AQ363</f>
        <v>5.0217999999999998</v>
      </c>
      <c r="AY363" s="493">
        <f t="shared" ref="AY363:AZ368" si="481">P363+AO363</f>
        <v>4</v>
      </c>
      <c r="AZ363" s="495">
        <f t="shared" si="481"/>
        <v>1.0218</v>
      </c>
    </row>
    <row r="364" spans="1:52" ht="14.1" customHeight="1" x14ac:dyDescent="0.2">
      <c r="A364" s="72">
        <v>73</v>
      </c>
      <c r="B364" s="69">
        <v>2459</v>
      </c>
      <c r="C364" s="70">
        <v>650030583</v>
      </c>
      <c r="D364" s="69">
        <v>72744707</v>
      </c>
      <c r="E364" s="71" t="s">
        <v>713</v>
      </c>
      <c r="F364" s="72">
        <v>3117</v>
      </c>
      <c r="G364" s="71" t="s">
        <v>315</v>
      </c>
      <c r="H364" s="73" t="s">
        <v>278</v>
      </c>
      <c r="I364" s="494">
        <v>5929378</v>
      </c>
      <c r="J364" s="489">
        <v>4186870</v>
      </c>
      <c r="K364" s="489">
        <v>110500</v>
      </c>
      <c r="L364" s="489">
        <v>1452511</v>
      </c>
      <c r="M364" s="489">
        <v>83737</v>
      </c>
      <c r="N364" s="489">
        <v>95760</v>
      </c>
      <c r="O364" s="490">
        <v>7.6771000000000011</v>
      </c>
      <c r="P364" s="490">
        <v>5.3945000000000007</v>
      </c>
      <c r="Q364" s="500">
        <v>2.2826</v>
      </c>
      <c r="R364" s="502">
        <f t="shared" si="427"/>
        <v>0</v>
      </c>
      <c r="S364" s="492">
        <v>0</v>
      </c>
      <c r="T364" s="492">
        <v>0</v>
      </c>
      <c r="U364" s="492">
        <v>0</v>
      </c>
      <c r="V364" s="492">
        <f t="shared" si="472"/>
        <v>0</v>
      </c>
      <c r="W364" s="492">
        <v>0</v>
      </c>
      <c r="X364" s="492">
        <v>0</v>
      </c>
      <c r="Y364" s="492">
        <v>0</v>
      </c>
      <c r="Z364" s="492">
        <f t="shared" si="434"/>
        <v>0</v>
      </c>
      <c r="AA364" s="492">
        <f t="shared" si="435"/>
        <v>0</v>
      </c>
      <c r="AB364" s="74">
        <f t="shared" si="436"/>
        <v>0</v>
      </c>
      <c r="AC364" s="74">
        <f t="shared" si="437"/>
        <v>0</v>
      </c>
      <c r="AD364" s="492">
        <v>0</v>
      </c>
      <c r="AE364" s="492">
        <v>0</v>
      </c>
      <c r="AF364" s="492">
        <f t="shared" si="473"/>
        <v>0</v>
      </c>
      <c r="AG364" s="492">
        <f t="shared" si="474"/>
        <v>0</v>
      </c>
      <c r="AH364" s="493">
        <v>0</v>
      </c>
      <c r="AI364" s="493">
        <v>0</v>
      </c>
      <c r="AJ364" s="493">
        <v>0</v>
      </c>
      <c r="AK364" s="493">
        <v>0</v>
      </c>
      <c r="AL364" s="493">
        <v>0</v>
      </c>
      <c r="AM364" s="493">
        <v>0</v>
      </c>
      <c r="AN364" s="493">
        <v>0</v>
      </c>
      <c r="AO364" s="493">
        <f t="shared" si="428"/>
        <v>0</v>
      </c>
      <c r="AP364" s="493">
        <f t="shared" si="429"/>
        <v>0</v>
      </c>
      <c r="AQ364" s="495">
        <f t="shared" si="440"/>
        <v>0</v>
      </c>
      <c r="AR364" s="501">
        <f t="shared" si="475"/>
        <v>5929378</v>
      </c>
      <c r="AS364" s="492">
        <f t="shared" si="476"/>
        <v>4186870</v>
      </c>
      <c r="AT364" s="492">
        <f t="shared" si="477"/>
        <v>110500</v>
      </c>
      <c r="AU364" s="492">
        <f t="shared" si="478"/>
        <v>1452511</v>
      </c>
      <c r="AV364" s="492">
        <f t="shared" si="478"/>
        <v>83737</v>
      </c>
      <c r="AW364" s="492">
        <f t="shared" si="479"/>
        <v>95760</v>
      </c>
      <c r="AX364" s="493">
        <f t="shared" si="480"/>
        <v>7.6771000000000011</v>
      </c>
      <c r="AY364" s="493">
        <f t="shared" si="481"/>
        <v>5.3945000000000007</v>
      </c>
      <c r="AZ364" s="495">
        <f t="shared" si="481"/>
        <v>2.2826</v>
      </c>
    </row>
    <row r="365" spans="1:52" ht="14.1" customHeight="1" x14ac:dyDescent="0.2">
      <c r="A365" s="72">
        <v>73</v>
      </c>
      <c r="B365" s="69">
        <v>2459</v>
      </c>
      <c r="C365" s="70">
        <v>650030583</v>
      </c>
      <c r="D365" s="69">
        <v>72744707</v>
      </c>
      <c r="E365" s="71" t="s">
        <v>713</v>
      </c>
      <c r="F365" s="72">
        <v>3117</v>
      </c>
      <c r="G365" s="84" t="s">
        <v>313</v>
      </c>
      <c r="H365" s="73" t="s">
        <v>279</v>
      </c>
      <c r="I365" s="494">
        <v>833889</v>
      </c>
      <c r="J365" s="489">
        <v>614057</v>
      </c>
      <c r="K365" s="489">
        <v>0</v>
      </c>
      <c r="L365" s="489">
        <v>207551</v>
      </c>
      <c r="M365" s="489">
        <v>12281</v>
      </c>
      <c r="N365" s="489">
        <v>0</v>
      </c>
      <c r="O365" s="490">
        <v>1.74</v>
      </c>
      <c r="P365" s="491">
        <v>1.74</v>
      </c>
      <c r="Q365" s="500">
        <v>0</v>
      </c>
      <c r="R365" s="502">
        <f t="shared" si="427"/>
        <v>0</v>
      </c>
      <c r="S365" s="489">
        <v>0</v>
      </c>
      <c r="T365" s="492">
        <v>0</v>
      </c>
      <c r="U365" s="492">
        <v>0</v>
      </c>
      <c r="V365" s="492">
        <f t="shared" si="472"/>
        <v>0</v>
      </c>
      <c r="W365" s="492">
        <v>0</v>
      </c>
      <c r="X365" s="492">
        <v>0</v>
      </c>
      <c r="Y365" s="492">
        <v>0</v>
      </c>
      <c r="Z365" s="492">
        <f t="shared" si="434"/>
        <v>0</v>
      </c>
      <c r="AA365" s="492">
        <f t="shared" si="435"/>
        <v>0</v>
      </c>
      <c r="AB365" s="74">
        <f t="shared" si="436"/>
        <v>0</v>
      </c>
      <c r="AC365" s="74">
        <f t="shared" si="437"/>
        <v>0</v>
      </c>
      <c r="AD365" s="492">
        <v>0</v>
      </c>
      <c r="AE365" s="492">
        <v>0</v>
      </c>
      <c r="AF365" s="492">
        <f t="shared" si="473"/>
        <v>0</v>
      </c>
      <c r="AG365" s="492">
        <f t="shared" si="474"/>
        <v>0</v>
      </c>
      <c r="AH365" s="493">
        <v>0</v>
      </c>
      <c r="AI365" s="493">
        <v>0</v>
      </c>
      <c r="AJ365" s="493">
        <v>0</v>
      </c>
      <c r="AK365" s="493">
        <v>0</v>
      </c>
      <c r="AL365" s="493">
        <v>0</v>
      </c>
      <c r="AM365" s="493">
        <v>0</v>
      </c>
      <c r="AN365" s="493">
        <v>0</v>
      </c>
      <c r="AO365" s="493">
        <f t="shared" si="428"/>
        <v>0</v>
      </c>
      <c r="AP365" s="493">
        <f t="shared" si="429"/>
        <v>0</v>
      </c>
      <c r="AQ365" s="495">
        <f t="shared" si="440"/>
        <v>0</v>
      </c>
      <c r="AR365" s="501">
        <f t="shared" si="475"/>
        <v>833889</v>
      </c>
      <c r="AS365" s="492">
        <f t="shared" si="476"/>
        <v>614057</v>
      </c>
      <c r="AT365" s="492">
        <f t="shared" si="477"/>
        <v>0</v>
      </c>
      <c r="AU365" s="492">
        <f t="shared" si="478"/>
        <v>207551</v>
      </c>
      <c r="AV365" s="492">
        <f t="shared" si="478"/>
        <v>12281</v>
      </c>
      <c r="AW365" s="492">
        <f t="shared" si="479"/>
        <v>0</v>
      </c>
      <c r="AX365" s="493">
        <f t="shared" si="480"/>
        <v>1.74</v>
      </c>
      <c r="AY365" s="493">
        <f t="shared" si="481"/>
        <v>1.74</v>
      </c>
      <c r="AZ365" s="495">
        <f t="shared" si="481"/>
        <v>0</v>
      </c>
    </row>
    <row r="366" spans="1:52" ht="14.1" customHeight="1" x14ac:dyDescent="0.2">
      <c r="A366" s="72">
        <v>73</v>
      </c>
      <c r="B366" s="69">
        <v>2459</v>
      </c>
      <c r="C366" s="70">
        <v>650030583</v>
      </c>
      <c r="D366" s="69">
        <v>72744707</v>
      </c>
      <c r="E366" s="71" t="s">
        <v>713</v>
      </c>
      <c r="F366" s="72">
        <v>3141</v>
      </c>
      <c r="G366" s="71" t="s">
        <v>316</v>
      </c>
      <c r="H366" s="73" t="s">
        <v>279</v>
      </c>
      <c r="I366" s="494">
        <v>1171980</v>
      </c>
      <c r="J366" s="489">
        <v>858962</v>
      </c>
      <c r="K366" s="489">
        <v>0</v>
      </c>
      <c r="L366" s="489">
        <v>290329</v>
      </c>
      <c r="M366" s="489">
        <v>17179</v>
      </c>
      <c r="N366" s="489">
        <v>5510</v>
      </c>
      <c r="O366" s="490">
        <v>2.71</v>
      </c>
      <c r="P366" s="491">
        <v>0</v>
      </c>
      <c r="Q366" s="500">
        <v>2.71</v>
      </c>
      <c r="R366" s="502">
        <f t="shared" si="427"/>
        <v>0</v>
      </c>
      <c r="S366" s="492">
        <v>0</v>
      </c>
      <c r="T366" s="492">
        <v>0</v>
      </c>
      <c r="U366" s="492">
        <v>0</v>
      </c>
      <c r="V366" s="492">
        <f t="shared" si="472"/>
        <v>0</v>
      </c>
      <c r="W366" s="492">
        <v>0</v>
      </c>
      <c r="X366" s="492">
        <v>0</v>
      </c>
      <c r="Y366" s="492">
        <v>0</v>
      </c>
      <c r="Z366" s="492">
        <f t="shared" si="434"/>
        <v>0</v>
      </c>
      <c r="AA366" s="492">
        <f t="shared" si="435"/>
        <v>0</v>
      </c>
      <c r="AB366" s="74">
        <f t="shared" si="436"/>
        <v>0</v>
      </c>
      <c r="AC366" s="74">
        <f t="shared" si="437"/>
        <v>0</v>
      </c>
      <c r="AD366" s="492">
        <v>0</v>
      </c>
      <c r="AE366" s="492">
        <v>0</v>
      </c>
      <c r="AF366" s="492">
        <f t="shared" si="473"/>
        <v>0</v>
      </c>
      <c r="AG366" s="492">
        <f t="shared" si="474"/>
        <v>0</v>
      </c>
      <c r="AH366" s="493">
        <v>0</v>
      </c>
      <c r="AI366" s="493">
        <v>0</v>
      </c>
      <c r="AJ366" s="493">
        <v>0</v>
      </c>
      <c r="AK366" s="493">
        <v>0</v>
      </c>
      <c r="AL366" s="493">
        <v>0</v>
      </c>
      <c r="AM366" s="493">
        <v>0</v>
      </c>
      <c r="AN366" s="493">
        <v>0</v>
      </c>
      <c r="AO366" s="493">
        <f t="shared" si="428"/>
        <v>0</v>
      </c>
      <c r="AP366" s="493">
        <f t="shared" si="429"/>
        <v>0</v>
      </c>
      <c r="AQ366" s="495">
        <f t="shared" si="440"/>
        <v>0</v>
      </c>
      <c r="AR366" s="501">
        <f t="shared" si="475"/>
        <v>1171980</v>
      </c>
      <c r="AS366" s="492">
        <f t="shared" si="476"/>
        <v>858962</v>
      </c>
      <c r="AT366" s="492">
        <f t="shared" si="477"/>
        <v>0</v>
      </c>
      <c r="AU366" s="492">
        <f t="shared" si="478"/>
        <v>290329</v>
      </c>
      <c r="AV366" s="492">
        <f t="shared" si="478"/>
        <v>17179</v>
      </c>
      <c r="AW366" s="492">
        <f t="shared" si="479"/>
        <v>5510</v>
      </c>
      <c r="AX366" s="493">
        <f t="shared" si="480"/>
        <v>2.71</v>
      </c>
      <c r="AY366" s="493">
        <f t="shared" si="481"/>
        <v>0</v>
      </c>
      <c r="AZ366" s="495">
        <f t="shared" si="481"/>
        <v>2.71</v>
      </c>
    </row>
    <row r="367" spans="1:52" ht="14.1" customHeight="1" x14ac:dyDescent="0.2">
      <c r="A367" s="72">
        <v>73</v>
      </c>
      <c r="B367" s="69">
        <v>2459</v>
      </c>
      <c r="C367" s="70">
        <v>650030583</v>
      </c>
      <c r="D367" s="69">
        <v>72744707</v>
      </c>
      <c r="E367" s="71" t="s">
        <v>713</v>
      </c>
      <c r="F367" s="72">
        <v>3143</v>
      </c>
      <c r="G367" s="84" t="s">
        <v>629</v>
      </c>
      <c r="H367" s="73" t="s">
        <v>278</v>
      </c>
      <c r="I367" s="494">
        <v>421329</v>
      </c>
      <c r="J367" s="489">
        <v>310257</v>
      </c>
      <c r="K367" s="489">
        <v>0</v>
      </c>
      <c r="L367" s="489">
        <v>104867</v>
      </c>
      <c r="M367" s="489">
        <v>6205</v>
      </c>
      <c r="N367" s="489">
        <v>0</v>
      </c>
      <c r="O367" s="490">
        <v>0.66</v>
      </c>
      <c r="P367" s="490">
        <v>0.66</v>
      </c>
      <c r="Q367" s="500">
        <v>0</v>
      </c>
      <c r="R367" s="502">
        <f t="shared" si="427"/>
        <v>0</v>
      </c>
      <c r="S367" s="492">
        <v>0</v>
      </c>
      <c r="T367" s="492">
        <v>0</v>
      </c>
      <c r="U367" s="492">
        <v>0</v>
      </c>
      <c r="V367" s="492">
        <f t="shared" si="472"/>
        <v>0</v>
      </c>
      <c r="W367" s="492">
        <v>0</v>
      </c>
      <c r="X367" s="492">
        <v>0</v>
      </c>
      <c r="Y367" s="492">
        <v>0</v>
      </c>
      <c r="Z367" s="492">
        <f t="shared" si="434"/>
        <v>0</v>
      </c>
      <c r="AA367" s="492">
        <f t="shared" si="435"/>
        <v>0</v>
      </c>
      <c r="AB367" s="74">
        <f t="shared" si="436"/>
        <v>0</v>
      </c>
      <c r="AC367" s="74">
        <f t="shared" si="437"/>
        <v>0</v>
      </c>
      <c r="AD367" s="492">
        <v>0</v>
      </c>
      <c r="AE367" s="492">
        <v>0</v>
      </c>
      <c r="AF367" s="492">
        <f t="shared" si="473"/>
        <v>0</v>
      </c>
      <c r="AG367" s="492">
        <f t="shared" si="474"/>
        <v>0</v>
      </c>
      <c r="AH367" s="493">
        <v>0</v>
      </c>
      <c r="AI367" s="493">
        <v>0</v>
      </c>
      <c r="AJ367" s="493">
        <v>0</v>
      </c>
      <c r="AK367" s="493">
        <v>0</v>
      </c>
      <c r="AL367" s="493">
        <v>0</v>
      </c>
      <c r="AM367" s="493">
        <v>0</v>
      </c>
      <c r="AN367" s="493">
        <v>0</v>
      </c>
      <c r="AO367" s="493">
        <f t="shared" si="428"/>
        <v>0</v>
      </c>
      <c r="AP367" s="493">
        <f t="shared" si="429"/>
        <v>0</v>
      </c>
      <c r="AQ367" s="495">
        <f t="shared" si="440"/>
        <v>0</v>
      </c>
      <c r="AR367" s="501">
        <f t="shared" si="475"/>
        <v>421329</v>
      </c>
      <c r="AS367" s="492">
        <f t="shared" si="476"/>
        <v>310257</v>
      </c>
      <c r="AT367" s="492">
        <f t="shared" si="477"/>
        <v>0</v>
      </c>
      <c r="AU367" s="492">
        <f t="shared" si="478"/>
        <v>104867</v>
      </c>
      <c r="AV367" s="492">
        <f t="shared" si="478"/>
        <v>6205</v>
      </c>
      <c r="AW367" s="492">
        <f t="shared" si="479"/>
        <v>0</v>
      </c>
      <c r="AX367" s="493">
        <f t="shared" si="480"/>
        <v>0.66</v>
      </c>
      <c r="AY367" s="493">
        <f t="shared" si="481"/>
        <v>0.66</v>
      </c>
      <c r="AZ367" s="495">
        <f t="shared" si="481"/>
        <v>0</v>
      </c>
    </row>
    <row r="368" spans="1:52" ht="14.1" customHeight="1" x14ac:dyDescent="0.2">
      <c r="A368" s="72">
        <v>73</v>
      </c>
      <c r="B368" s="69">
        <v>2459</v>
      </c>
      <c r="C368" s="70">
        <v>650030583</v>
      </c>
      <c r="D368" s="69">
        <v>72744707</v>
      </c>
      <c r="E368" s="71" t="s">
        <v>713</v>
      </c>
      <c r="F368" s="72">
        <v>3143</v>
      </c>
      <c r="G368" s="84" t="s">
        <v>630</v>
      </c>
      <c r="H368" s="73" t="s">
        <v>279</v>
      </c>
      <c r="I368" s="494">
        <v>18145</v>
      </c>
      <c r="J368" s="489">
        <v>12831</v>
      </c>
      <c r="K368" s="489">
        <v>0</v>
      </c>
      <c r="L368" s="489">
        <v>4337</v>
      </c>
      <c r="M368" s="489">
        <v>257</v>
      </c>
      <c r="N368" s="489">
        <v>720</v>
      </c>
      <c r="O368" s="490">
        <v>0.05</v>
      </c>
      <c r="P368" s="491">
        <v>0</v>
      </c>
      <c r="Q368" s="500">
        <v>0.05</v>
      </c>
      <c r="R368" s="502">
        <f t="shared" si="427"/>
        <v>0</v>
      </c>
      <c r="S368" s="492">
        <v>0</v>
      </c>
      <c r="T368" s="492">
        <v>0</v>
      </c>
      <c r="U368" s="492">
        <v>0</v>
      </c>
      <c r="V368" s="492">
        <f t="shared" si="472"/>
        <v>0</v>
      </c>
      <c r="W368" s="492">
        <v>0</v>
      </c>
      <c r="X368" s="492">
        <v>0</v>
      </c>
      <c r="Y368" s="492">
        <v>0</v>
      </c>
      <c r="Z368" s="492">
        <f t="shared" si="434"/>
        <v>0</v>
      </c>
      <c r="AA368" s="492">
        <f t="shared" si="435"/>
        <v>0</v>
      </c>
      <c r="AB368" s="74">
        <f t="shared" si="436"/>
        <v>0</v>
      </c>
      <c r="AC368" s="74">
        <f t="shared" si="437"/>
        <v>0</v>
      </c>
      <c r="AD368" s="492">
        <v>0</v>
      </c>
      <c r="AE368" s="492">
        <v>0</v>
      </c>
      <c r="AF368" s="492">
        <f t="shared" si="473"/>
        <v>0</v>
      </c>
      <c r="AG368" s="492">
        <f t="shared" si="474"/>
        <v>0</v>
      </c>
      <c r="AH368" s="493">
        <v>0</v>
      </c>
      <c r="AI368" s="493">
        <v>0</v>
      </c>
      <c r="AJ368" s="493">
        <v>0</v>
      </c>
      <c r="AK368" s="493">
        <v>0</v>
      </c>
      <c r="AL368" s="493">
        <v>0</v>
      </c>
      <c r="AM368" s="493">
        <v>0</v>
      </c>
      <c r="AN368" s="493">
        <v>0</v>
      </c>
      <c r="AO368" s="493">
        <f t="shared" si="428"/>
        <v>0</v>
      </c>
      <c r="AP368" s="493">
        <f t="shared" si="429"/>
        <v>0</v>
      </c>
      <c r="AQ368" s="495">
        <f t="shared" si="440"/>
        <v>0</v>
      </c>
      <c r="AR368" s="501">
        <f t="shared" si="475"/>
        <v>18145</v>
      </c>
      <c r="AS368" s="492">
        <f t="shared" si="476"/>
        <v>12831</v>
      </c>
      <c r="AT368" s="492">
        <f t="shared" si="477"/>
        <v>0</v>
      </c>
      <c r="AU368" s="492">
        <f t="shared" si="478"/>
        <v>4337</v>
      </c>
      <c r="AV368" s="492">
        <f t="shared" si="478"/>
        <v>257</v>
      </c>
      <c r="AW368" s="492">
        <f t="shared" si="479"/>
        <v>720</v>
      </c>
      <c r="AX368" s="493">
        <f t="shared" si="480"/>
        <v>0.05</v>
      </c>
      <c r="AY368" s="493">
        <f t="shared" si="481"/>
        <v>0</v>
      </c>
      <c r="AZ368" s="495">
        <f t="shared" si="481"/>
        <v>0.05</v>
      </c>
    </row>
    <row r="369" spans="1:52" ht="14.1" customHeight="1" x14ac:dyDescent="0.2">
      <c r="A369" s="78">
        <v>73</v>
      </c>
      <c r="B369" s="75">
        <v>2459</v>
      </c>
      <c r="C369" s="76">
        <v>650030583</v>
      </c>
      <c r="D369" s="75">
        <v>72744707</v>
      </c>
      <c r="E369" s="77" t="s">
        <v>714</v>
      </c>
      <c r="F369" s="78"/>
      <c r="G369" s="77"/>
      <c r="H369" s="79"/>
      <c r="I369" s="80">
        <v>11643424</v>
      </c>
      <c r="J369" s="81">
        <v>8374069</v>
      </c>
      <c r="K369" s="81">
        <v>110500</v>
      </c>
      <c r="L369" s="81">
        <v>2867784</v>
      </c>
      <c r="M369" s="81">
        <v>167481</v>
      </c>
      <c r="N369" s="81">
        <v>123590</v>
      </c>
      <c r="O369" s="82">
        <v>17.858900000000002</v>
      </c>
      <c r="P369" s="82">
        <v>11.794500000000001</v>
      </c>
      <c r="Q369" s="452">
        <v>6.0644</v>
      </c>
      <c r="R369" s="80">
        <f t="shared" ref="R369:AZ369" si="482">SUM(R363:R368)</f>
        <v>0</v>
      </c>
      <c r="S369" s="81">
        <f t="shared" si="482"/>
        <v>0</v>
      </c>
      <c r="T369" s="81">
        <f t="shared" si="482"/>
        <v>0</v>
      </c>
      <c r="U369" s="81">
        <f t="shared" si="482"/>
        <v>0</v>
      </c>
      <c r="V369" s="81">
        <f t="shared" si="482"/>
        <v>0</v>
      </c>
      <c r="W369" s="81">
        <f t="shared" si="482"/>
        <v>0</v>
      </c>
      <c r="X369" s="81">
        <f t="shared" si="482"/>
        <v>0</v>
      </c>
      <c r="Y369" s="81">
        <f t="shared" si="482"/>
        <v>0</v>
      </c>
      <c r="Z369" s="81">
        <f t="shared" si="482"/>
        <v>0</v>
      </c>
      <c r="AA369" s="81">
        <f t="shared" si="482"/>
        <v>0</v>
      </c>
      <c r="AB369" s="81">
        <f t="shared" si="482"/>
        <v>0</v>
      </c>
      <c r="AC369" s="81">
        <f t="shared" si="482"/>
        <v>0</v>
      </c>
      <c r="AD369" s="81">
        <f t="shared" si="482"/>
        <v>0</v>
      </c>
      <c r="AE369" s="81">
        <f t="shared" si="482"/>
        <v>0</v>
      </c>
      <c r="AF369" s="81">
        <f t="shared" si="482"/>
        <v>0</v>
      </c>
      <c r="AG369" s="81">
        <f t="shared" si="482"/>
        <v>0</v>
      </c>
      <c r="AH369" s="82">
        <f t="shared" si="482"/>
        <v>0</v>
      </c>
      <c r="AI369" s="82">
        <f t="shared" si="482"/>
        <v>0</v>
      </c>
      <c r="AJ369" s="82">
        <f t="shared" si="482"/>
        <v>0</v>
      </c>
      <c r="AK369" s="82">
        <f t="shared" ref="AK369:AL369" si="483">SUM(AK363:AK368)</f>
        <v>0</v>
      </c>
      <c r="AL369" s="82">
        <f t="shared" si="483"/>
        <v>0</v>
      </c>
      <c r="AM369" s="82">
        <f t="shared" si="482"/>
        <v>0</v>
      </c>
      <c r="AN369" s="82">
        <f t="shared" si="482"/>
        <v>0</v>
      </c>
      <c r="AO369" s="82">
        <f t="shared" si="482"/>
        <v>0</v>
      </c>
      <c r="AP369" s="82">
        <f t="shared" si="482"/>
        <v>0</v>
      </c>
      <c r="AQ369" s="83">
        <f t="shared" si="482"/>
        <v>0</v>
      </c>
      <c r="AR369" s="438">
        <f t="shared" si="482"/>
        <v>11643424</v>
      </c>
      <c r="AS369" s="81">
        <f t="shared" si="482"/>
        <v>8374069</v>
      </c>
      <c r="AT369" s="81">
        <f t="shared" si="482"/>
        <v>110500</v>
      </c>
      <c r="AU369" s="81">
        <f t="shared" si="482"/>
        <v>2867784</v>
      </c>
      <c r="AV369" s="81">
        <f t="shared" si="482"/>
        <v>167481</v>
      </c>
      <c r="AW369" s="81">
        <f t="shared" si="482"/>
        <v>123590</v>
      </c>
      <c r="AX369" s="82">
        <f t="shared" si="482"/>
        <v>17.858900000000002</v>
      </c>
      <c r="AY369" s="82">
        <f t="shared" si="482"/>
        <v>11.794500000000001</v>
      </c>
      <c r="AZ369" s="83">
        <f t="shared" si="482"/>
        <v>6.0644</v>
      </c>
    </row>
    <row r="370" spans="1:52" ht="14.1" customHeight="1" x14ac:dyDescent="0.2">
      <c r="A370" s="72">
        <v>74</v>
      </c>
      <c r="B370" s="69">
        <v>2405</v>
      </c>
      <c r="C370" s="70">
        <v>600079023</v>
      </c>
      <c r="D370" s="69">
        <v>72741881</v>
      </c>
      <c r="E370" s="71" t="s">
        <v>715</v>
      </c>
      <c r="F370" s="72">
        <v>3111</v>
      </c>
      <c r="G370" s="71" t="s">
        <v>312</v>
      </c>
      <c r="H370" s="73" t="s">
        <v>278</v>
      </c>
      <c r="I370" s="494">
        <v>14352514</v>
      </c>
      <c r="J370" s="674">
        <v>10506895</v>
      </c>
      <c r="K370" s="674">
        <v>0</v>
      </c>
      <c r="L370" s="489">
        <v>3551331</v>
      </c>
      <c r="M370" s="489">
        <v>210138</v>
      </c>
      <c r="N370" s="489">
        <v>84150</v>
      </c>
      <c r="O370" s="490">
        <v>22.959300000000002</v>
      </c>
      <c r="P370" s="490">
        <v>16.709700000000002</v>
      </c>
      <c r="Q370" s="500">
        <v>6.2496</v>
      </c>
      <c r="R370" s="502">
        <f t="shared" si="427"/>
        <v>0</v>
      </c>
      <c r="S370" s="492">
        <v>0</v>
      </c>
      <c r="T370" s="492">
        <v>0</v>
      </c>
      <c r="U370" s="492">
        <v>0</v>
      </c>
      <c r="V370" s="492">
        <f>SUM(R370:U370)</f>
        <v>0</v>
      </c>
      <c r="W370" s="492">
        <v>0</v>
      </c>
      <c r="X370" s="492">
        <v>0</v>
      </c>
      <c r="Y370" s="492">
        <v>0</v>
      </c>
      <c r="Z370" s="492">
        <f t="shared" si="434"/>
        <v>0</v>
      </c>
      <c r="AA370" s="492">
        <f t="shared" si="435"/>
        <v>0</v>
      </c>
      <c r="AB370" s="74">
        <f t="shared" si="436"/>
        <v>0</v>
      </c>
      <c r="AC370" s="74">
        <f t="shared" si="437"/>
        <v>0</v>
      </c>
      <c r="AD370" s="492">
        <v>0</v>
      </c>
      <c r="AE370" s="492">
        <v>0</v>
      </c>
      <c r="AF370" s="492">
        <f>SUM(AD370:AE370)</f>
        <v>0</v>
      </c>
      <c r="AG370" s="492">
        <f>AA370+AB370+AC370+AF370</f>
        <v>0</v>
      </c>
      <c r="AH370" s="493">
        <v>0</v>
      </c>
      <c r="AI370" s="493">
        <v>0</v>
      </c>
      <c r="AJ370" s="493">
        <v>0</v>
      </c>
      <c r="AK370" s="493">
        <v>0</v>
      </c>
      <c r="AL370" s="493">
        <v>0</v>
      </c>
      <c r="AM370" s="493">
        <v>0</v>
      </c>
      <c r="AN370" s="493">
        <v>0</v>
      </c>
      <c r="AO370" s="493">
        <f t="shared" si="428"/>
        <v>0</v>
      </c>
      <c r="AP370" s="493">
        <f t="shared" si="429"/>
        <v>0</v>
      </c>
      <c r="AQ370" s="495">
        <f t="shared" si="440"/>
        <v>0</v>
      </c>
      <c r="AR370" s="501">
        <f>I370+AG370</f>
        <v>14352514</v>
      </c>
      <c r="AS370" s="492">
        <f>J370+V370</f>
        <v>10506895</v>
      </c>
      <c r="AT370" s="492">
        <f t="shared" ref="AT370:AT372" si="484">K370+Z370</f>
        <v>0</v>
      </c>
      <c r="AU370" s="492">
        <f t="shared" ref="AU370:AV372" si="485">L370+AB370</f>
        <v>3551331</v>
      </c>
      <c r="AV370" s="492">
        <f t="shared" si="485"/>
        <v>210138</v>
      </c>
      <c r="AW370" s="492">
        <f>N370+AF370</f>
        <v>84150</v>
      </c>
      <c r="AX370" s="493">
        <f>O370+AQ370</f>
        <v>22.959300000000002</v>
      </c>
      <c r="AY370" s="493">
        <f t="shared" ref="AY370:AZ372" si="486">P370+AO370</f>
        <v>16.709700000000002</v>
      </c>
      <c r="AZ370" s="495">
        <f t="shared" si="486"/>
        <v>6.2496</v>
      </c>
    </row>
    <row r="371" spans="1:52" ht="14.1" customHeight="1" x14ac:dyDescent="0.2">
      <c r="A371" s="72">
        <v>74</v>
      </c>
      <c r="B371" s="69">
        <v>2405</v>
      </c>
      <c r="C371" s="70">
        <v>600079023</v>
      </c>
      <c r="D371" s="69">
        <v>72741881</v>
      </c>
      <c r="E371" s="71" t="s">
        <v>715</v>
      </c>
      <c r="F371" s="72">
        <v>3111</v>
      </c>
      <c r="G371" s="84" t="s">
        <v>313</v>
      </c>
      <c r="H371" s="73" t="s">
        <v>279</v>
      </c>
      <c r="I371" s="494">
        <v>0</v>
      </c>
      <c r="J371" s="489">
        <v>0</v>
      </c>
      <c r="K371" s="489">
        <v>0</v>
      </c>
      <c r="L371" s="489">
        <v>0</v>
      </c>
      <c r="M371" s="489">
        <v>0</v>
      </c>
      <c r="N371" s="489">
        <v>0</v>
      </c>
      <c r="O371" s="490">
        <v>0</v>
      </c>
      <c r="P371" s="491">
        <v>0</v>
      </c>
      <c r="Q371" s="500">
        <v>0</v>
      </c>
      <c r="R371" s="502">
        <f t="shared" si="427"/>
        <v>0</v>
      </c>
      <c r="S371" s="492">
        <v>0</v>
      </c>
      <c r="T371" s="492">
        <v>0</v>
      </c>
      <c r="U371" s="492">
        <v>0</v>
      </c>
      <c r="V371" s="492">
        <f>SUM(R371:U371)</f>
        <v>0</v>
      </c>
      <c r="W371" s="492">
        <v>0</v>
      </c>
      <c r="X371" s="492">
        <v>0</v>
      </c>
      <c r="Y371" s="492">
        <v>0</v>
      </c>
      <c r="Z371" s="492">
        <f t="shared" si="434"/>
        <v>0</v>
      </c>
      <c r="AA371" s="492">
        <f t="shared" si="435"/>
        <v>0</v>
      </c>
      <c r="AB371" s="74">
        <f t="shared" si="436"/>
        <v>0</v>
      </c>
      <c r="AC371" s="74">
        <f t="shared" si="437"/>
        <v>0</v>
      </c>
      <c r="AD371" s="492">
        <v>0</v>
      </c>
      <c r="AE371" s="492">
        <v>0</v>
      </c>
      <c r="AF371" s="492">
        <f>SUM(AD371:AE371)</f>
        <v>0</v>
      </c>
      <c r="AG371" s="492">
        <f>AA371+AB371+AC371+AF371</f>
        <v>0</v>
      </c>
      <c r="AH371" s="493">
        <v>0</v>
      </c>
      <c r="AI371" s="493">
        <v>0</v>
      </c>
      <c r="AJ371" s="493">
        <v>0</v>
      </c>
      <c r="AK371" s="493">
        <v>0</v>
      </c>
      <c r="AL371" s="493">
        <v>0</v>
      </c>
      <c r="AM371" s="493">
        <v>0</v>
      </c>
      <c r="AN371" s="493">
        <v>0</v>
      </c>
      <c r="AO371" s="493">
        <f t="shared" si="428"/>
        <v>0</v>
      </c>
      <c r="AP371" s="493">
        <f t="shared" si="429"/>
        <v>0</v>
      </c>
      <c r="AQ371" s="495">
        <f t="shared" si="440"/>
        <v>0</v>
      </c>
      <c r="AR371" s="501">
        <f>I371+AG371</f>
        <v>0</v>
      </c>
      <c r="AS371" s="492">
        <f>J371+V371</f>
        <v>0</v>
      </c>
      <c r="AT371" s="492">
        <f t="shared" si="484"/>
        <v>0</v>
      </c>
      <c r="AU371" s="492">
        <f t="shared" si="485"/>
        <v>0</v>
      </c>
      <c r="AV371" s="492">
        <f t="shared" si="485"/>
        <v>0</v>
      </c>
      <c r="AW371" s="492">
        <f>N371+AF371</f>
        <v>0</v>
      </c>
      <c r="AX371" s="493">
        <f>O371+AQ371</f>
        <v>0</v>
      </c>
      <c r="AY371" s="493">
        <f t="shared" si="486"/>
        <v>0</v>
      </c>
      <c r="AZ371" s="495">
        <f t="shared" si="486"/>
        <v>0</v>
      </c>
    </row>
    <row r="372" spans="1:52" ht="14.1" customHeight="1" x14ac:dyDescent="0.2">
      <c r="A372" s="72">
        <v>74</v>
      </c>
      <c r="B372" s="69">
        <v>2405</v>
      </c>
      <c r="C372" s="70">
        <v>600079023</v>
      </c>
      <c r="D372" s="69">
        <v>72741881</v>
      </c>
      <c r="E372" s="71" t="s">
        <v>715</v>
      </c>
      <c r="F372" s="72">
        <v>3141</v>
      </c>
      <c r="G372" s="71" t="s">
        <v>316</v>
      </c>
      <c r="H372" s="73" t="s">
        <v>279</v>
      </c>
      <c r="I372" s="494">
        <v>1364323</v>
      </c>
      <c r="J372" s="489">
        <v>998702</v>
      </c>
      <c r="K372" s="489">
        <v>0</v>
      </c>
      <c r="L372" s="489">
        <v>337561</v>
      </c>
      <c r="M372" s="489">
        <v>19974</v>
      </c>
      <c r="N372" s="489">
        <v>8086</v>
      </c>
      <c r="O372" s="490">
        <v>3.1500000000000004</v>
      </c>
      <c r="P372" s="491">
        <v>0</v>
      </c>
      <c r="Q372" s="500">
        <v>3.1500000000000004</v>
      </c>
      <c r="R372" s="502">
        <f t="shared" si="427"/>
        <v>0</v>
      </c>
      <c r="S372" s="492">
        <v>0</v>
      </c>
      <c r="T372" s="492">
        <v>0</v>
      </c>
      <c r="U372" s="492">
        <v>0</v>
      </c>
      <c r="V372" s="492">
        <f>SUM(R372:U372)</f>
        <v>0</v>
      </c>
      <c r="W372" s="492">
        <v>0</v>
      </c>
      <c r="X372" s="492">
        <v>0</v>
      </c>
      <c r="Y372" s="492">
        <v>0</v>
      </c>
      <c r="Z372" s="492">
        <f t="shared" si="434"/>
        <v>0</v>
      </c>
      <c r="AA372" s="492">
        <f t="shared" si="435"/>
        <v>0</v>
      </c>
      <c r="AB372" s="74">
        <f t="shared" si="436"/>
        <v>0</v>
      </c>
      <c r="AC372" s="74">
        <f t="shared" si="437"/>
        <v>0</v>
      </c>
      <c r="AD372" s="492">
        <v>0</v>
      </c>
      <c r="AE372" s="492">
        <v>0</v>
      </c>
      <c r="AF372" s="492">
        <f>SUM(AD372:AE372)</f>
        <v>0</v>
      </c>
      <c r="AG372" s="492">
        <f>AA372+AB372+AC372+AF372</f>
        <v>0</v>
      </c>
      <c r="AH372" s="493">
        <v>0</v>
      </c>
      <c r="AI372" s="493">
        <v>0</v>
      </c>
      <c r="AJ372" s="493">
        <v>0</v>
      </c>
      <c r="AK372" s="493">
        <v>0</v>
      </c>
      <c r="AL372" s="493">
        <v>0</v>
      </c>
      <c r="AM372" s="493">
        <v>0</v>
      </c>
      <c r="AN372" s="493">
        <v>0</v>
      </c>
      <c r="AO372" s="493">
        <f t="shared" si="428"/>
        <v>0</v>
      </c>
      <c r="AP372" s="493">
        <f t="shared" si="429"/>
        <v>0</v>
      </c>
      <c r="AQ372" s="495">
        <f t="shared" si="440"/>
        <v>0</v>
      </c>
      <c r="AR372" s="501">
        <f>I372+AG372</f>
        <v>1364323</v>
      </c>
      <c r="AS372" s="492">
        <f>J372+V372</f>
        <v>998702</v>
      </c>
      <c r="AT372" s="492">
        <f t="shared" si="484"/>
        <v>0</v>
      </c>
      <c r="AU372" s="492">
        <f t="shared" si="485"/>
        <v>337561</v>
      </c>
      <c r="AV372" s="492">
        <f t="shared" si="485"/>
        <v>19974</v>
      </c>
      <c r="AW372" s="492">
        <f>N372+AF372</f>
        <v>8086</v>
      </c>
      <c r="AX372" s="493">
        <f>O372+AQ372</f>
        <v>3.1500000000000004</v>
      </c>
      <c r="AY372" s="493">
        <f t="shared" si="486"/>
        <v>0</v>
      </c>
      <c r="AZ372" s="495">
        <f t="shared" si="486"/>
        <v>3.1500000000000004</v>
      </c>
    </row>
    <row r="373" spans="1:52" ht="14.1" customHeight="1" x14ac:dyDescent="0.2">
      <c r="A373" s="78">
        <v>74</v>
      </c>
      <c r="B373" s="75">
        <v>2405</v>
      </c>
      <c r="C373" s="76">
        <v>600079023</v>
      </c>
      <c r="D373" s="75">
        <v>72741881</v>
      </c>
      <c r="E373" s="77" t="s">
        <v>716</v>
      </c>
      <c r="F373" s="78"/>
      <c r="G373" s="77"/>
      <c r="H373" s="79"/>
      <c r="I373" s="80">
        <v>15716837</v>
      </c>
      <c r="J373" s="81">
        <v>11505597</v>
      </c>
      <c r="K373" s="81">
        <v>0</v>
      </c>
      <c r="L373" s="81">
        <v>3888892</v>
      </c>
      <c r="M373" s="81">
        <v>230112</v>
      </c>
      <c r="N373" s="81">
        <v>92236</v>
      </c>
      <c r="O373" s="82">
        <v>26.109300000000005</v>
      </c>
      <c r="P373" s="82">
        <v>16.709700000000002</v>
      </c>
      <c r="Q373" s="452">
        <v>9.3995999999999995</v>
      </c>
      <c r="R373" s="80">
        <f t="shared" ref="R373:AZ373" si="487">SUM(R370:R372)</f>
        <v>0</v>
      </c>
      <c r="S373" s="81">
        <f t="shared" si="487"/>
        <v>0</v>
      </c>
      <c r="T373" s="81">
        <f t="shared" si="487"/>
        <v>0</v>
      </c>
      <c r="U373" s="81">
        <f t="shared" si="487"/>
        <v>0</v>
      </c>
      <c r="V373" s="81">
        <f t="shared" si="487"/>
        <v>0</v>
      </c>
      <c r="W373" s="81">
        <f t="shared" si="487"/>
        <v>0</v>
      </c>
      <c r="X373" s="81">
        <f t="shared" si="487"/>
        <v>0</v>
      </c>
      <c r="Y373" s="81">
        <f t="shared" si="487"/>
        <v>0</v>
      </c>
      <c r="Z373" s="81">
        <f t="shared" si="487"/>
        <v>0</v>
      </c>
      <c r="AA373" s="81">
        <f t="shared" si="487"/>
        <v>0</v>
      </c>
      <c r="AB373" s="81">
        <f t="shared" si="487"/>
        <v>0</v>
      </c>
      <c r="AC373" s="81">
        <f t="shared" si="487"/>
        <v>0</v>
      </c>
      <c r="AD373" s="81">
        <f t="shared" si="487"/>
        <v>0</v>
      </c>
      <c r="AE373" s="81">
        <f t="shared" si="487"/>
        <v>0</v>
      </c>
      <c r="AF373" s="81">
        <f t="shared" si="487"/>
        <v>0</v>
      </c>
      <c r="AG373" s="81">
        <f t="shared" si="487"/>
        <v>0</v>
      </c>
      <c r="AH373" s="82">
        <f t="shared" si="487"/>
        <v>0</v>
      </c>
      <c r="AI373" s="82">
        <f t="shared" si="487"/>
        <v>0</v>
      </c>
      <c r="AJ373" s="82">
        <f t="shared" si="487"/>
        <v>0</v>
      </c>
      <c r="AK373" s="82">
        <f t="shared" ref="AK373:AL373" si="488">SUM(AK370:AK372)</f>
        <v>0</v>
      </c>
      <c r="AL373" s="82">
        <f t="shared" si="488"/>
        <v>0</v>
      </c>
      <c r="AM373" s="82">
        <f t="shared" si="487"/>
        <v>0</v>
      </c>
      <c r="AN373" s="82">
        <f t="shared" si="487"/>
        <v>0</v>
      </c>
      <c r="AO373" s="82">
        <f t="shared" si="487"/>
        <v>0</v>
      </c>
      <c r="AP373" s="82">
        <f t="shared" si="487"/>
        <v>0</v>
      </c>
      <c r="AQ373" s="83">
        <f t="shared" si="487"/>
        <v>0</v>
      </c>
      <c r="AR373" s="438">
        <f t="shared" si="487"/>
        <v>15716837</v>
      </c>
      <c r="AS373" s="81">
        <f t="shared" si="487"/>
        <v>11505597</v>
      </c>
      <c r="AT373" s="81">
        <f t="shared" si="487"/>
        <v>0</v>
      </c>
      <c r="AU373" s="81">
        <f t="shared" si="487"/>
        <v>3888892</v>
      </c>
      <c r="AV373" s="81">
        <f t="shared" si="487"/>
        <v>230112</v>
      </c>
      <c r="AW373" s="81">
        <f t="shared" si="487"/>
        <v>92236</v>
      </c>
      <c r="AX373" s="82">
        <f t="shared" si="487"/>
        <v>26.109300000000005</v>
      </c>
      <c r="AY373" s="82">
        <f t="shared" si="487"/>
        <v>16.709700000000002</v>
      </c>
      <c r="AZ373" s="83">
        <f t="shared" si="487"/>
        <v>9.3995999999999995</v>
      </c>
    </row>
    <row r="374" spans="1:52" ht="14.1" customHeight="1" x14ac:dyDescent="0.2">
      <c r="A374" s="72">
        <v>75</v>
      </c>
      <c r="B374" s="69">
        <v>2317</v>
      </c>
      <c r="C374" s="70">
        <v>600080501</v>
      </c>
      <c r="D374" s="69">
        <v>69411123</v>
      </c>
      <c r="E374" s="71" t="s">
        <v>717</v>
      </c>
      <c r="F374" s="72">
        <v>3141</v>
      </c>
      <c r="G374" s="71" t="s">
        <v>316</v>
      </c>
      <c r="H374" s="73" t="s">
        <v>279</v>
      </c>
      <c r="I374" s="494">
        <v>4587433</v>
      </c>
      <c r="J374" s="489">
        <v>3351839</v>
      </c>
      <c r="K374" s="489">
        <v>0</v>
      </c>
      <c r="L374" s="489">
        <v>1132921</v>
      </c>
      <c r="M374" s="489">
        <v>67037</v>
      </c>
      <c r="N374" s="489">
        <v>35636</v>
      </c>
      <c r="O374" s="490">
        <v>10.56</v>
      </c>
      <c r="P374" s="491">
        <v>0</v>
      </c>
      <c r="Q374" s="500">
        <v>10.56</v>
      </c>
      <c r="R374" s="502">
        <f t="shared" si="427"/>
        <v>0</v>
      </c>
      <c r="S374" s="492">
        <v>0</v>
      </c>
      <c r="T374" s="492">
        <v>0</v>
      </c>
      <c r="U374" s="492">
        <v>0</v>
      </c>
      <c r="V374" s="492">
        <f>SUM(R374:U374)</f>
        <v>0</v>
      </c>
      <c r="W374" s="492">
        <v>0</v>
      </c>
      <c r="X374" s="492">
        <v>0</v>
      </c>
      <c r="Y374" s="492">
        <v>0</v>
      </c>
      <c r="Z374" s="492">
        <f t="shared" si="434"/>
        <v>0</v>
      </c>
      <c r="AA374" s="492">
        <f t="shared" si="435"/>
        <v>0</v>
      </c>
      <c r="AB374" s="74">
        <f t="shared" si="436"/>
        <v>0</v>
      </c>
      <c r="AC374" s="74">
        <f t="shared" si="437"/>
        <v>0</v>
      </c>
      <c r="AD374" s="492">
        <v>0</v>
      </c>
      <c r="AE374" s="492">
        <v>0</v>
      </c>
      <c r="AF374" s="492">
        <f>SUM(AD374:AE374)</f>
        <v>0</v>
      </c>
      <c r="AG374" s="492">
        <f>AA374+AB374+AC374+AF374</f>
        <v>0</v>
      </c>
      <c r="AH374" s="493">
        <v>0</v>
      </c>
      <c r="AI374" s="493">
        <v>0</v>
      </c>
      <c r="AJ374" s="493">
        <v>0</v>
      </c>
      <c r="AK374" s="493">
        <v>0</v>
      </c>
      <c r="AL374" s="493">
        <v>0</v>
      </c>
      <c r="AM374" s="493">
        <v>0</v>
      </c>
      <c r="AN374" s="493">
        <v>0</v>
      </c>
      <c r="AO374" s="493">
        <f t="shared" si="428"/>
        <v>0</v>
      </c>
      <c r="AP374" s="493">
        <f t="shared" si="429"/>
        <v>0</v>
      </c>
      <c r="AQ374" s="495">
        <f t="shared" si="440"/>
        <v>0</v>
      </c>
      <c r="AR374" s="501">
        <f>I374+AG374</f>
        <v>4587433</v>
      </c>
      <c r="AS374" s="492">
        <f>J374+V374</f>
        <v>3351839</v>
      </c>
      <c r="AT374" s="492">
        <f>K374+Z374</f>
        <v>0</v>
      </c>
      <c r="AU374" s="492">
        <f>L374+AB374</f>
        <v>1132921</v>
      </c>
      <c r="AV374" s="492">
        <f>M374+AC374</f>
        <v>67037</v>
      </c>
      <c r="AW374" s="492">
        <f>N374+AF374</f>
        <v>35636</v>
      </c>
      <c r="AX374" s="493">
        <f>O374+AQ374</f>
        <v>10.56</v>
      </c>
      <c r="AY374" s="493">
        <f>P374+AO374</f>
        <v>0</v>
      </c>
      <c r="AZ374" s="495">
        <f>Q374+AP374</f>
        <v>10.56</v>
      </c>
    </row>
    <row r="375" spans="1:52" ht="14.1" customHeight="1" x14ac:dyDescent="0.2">
      <c r="A375" s="78">
        <v>75</v>
      </c>
      <c r="B375" s="75">
        <v>2317</v>
      </c>
      <c r="C375" s="76">
        <v>600080501</v>
      </c>
      <c r="D375" s="75">
        <v>69411123</v>
      </c>
      <c r="E375" s="77" t="s">
        <v>718</v>
      </c>
      <c r="F375" s="78"/>
      <c r="G375" s="77"/>
      <c r="H375" s="79"/>
      <c r="I375" s="90">
        <v>4587433</v>
      </c>
      <c r="J375" s="91">
        <v>3351839</v>
      </c>
      <c r="K375" s="91">
        <v>0</v>
      </c>
      <c r="L375" s="91">
        <v>1132921</v>
      </c>
      <c r="M375" s="91">
        <v>67037</v>
      </c>
      <c r="N375" s="91">
        <v>35636</v>
      </c>
      <c r="O375" s="92">
        <v>10.56</v>
      </c>
      <c r="P375" s="92">
        <v>0</v>
      </c>
      <c r="Q375" s="454">
        <v>10.56</v>
      </c>
      <c r="R375" s="90">
        <f t="shared" ref="R375:AZ375" si="489">SUM(R374)</f>
        <v>0</v>
      </c>
      <c r="S375" s="91">
        <f t="shared" si="489"/>
        <v>0</v>
      </c>
      <c r="T375" s="91">
        <f t="shared" si="489"/>
        <v>0</v>
      </c>
      <c r="U375" s="91">
        <f t="shared" si="489"/>
        <v>0</v>
      </c>
      <c r="V375" s="91">
        <f t="shared" si="489"/>
        <v>0</v>
      </c>
      <c r="W375" s="91">
        <f t="shared" si="489"/>
        <v>0</v>
      </c>
      <c r="X375" s="91">
        <f t="shared" si="489"/>
        <v>0</v>
      </c>
      <c r="Y375" s="91">
        <f t="shared" si="489"/>
        <v>0</v>
      </c>
      <c r="Z375" s="91">
        <f t="shared" si="489"/>
        <v>0</v>
      </c>
      <c r="AA375" s="91">
        <f t="shared" si="489"/>
        <v>0</v>
      </c>
      <c r="AB375" s="91">
        <f t="shared" si="489"/>
        <v>0</v>
      </c>
      <c r="AC375" s="91">
        <f t="shared" si="489"/>
        <v>0</v>
      </c>
      <c r="AD375" s="91">
        <f t="shared" si="489"/>
        <v>0</v>
      </c>
      <c r="AE375" s="91">
        <f t="shared" si="489"/>
        <v>0</v>
      </c>
      <c r="AF375" s="91">
        <f t="shared" si="489"/>
        <v>0</v>
      </c>
      <c r="AG375" s="91">
        <f t="shared" si="489"/>
        <v>0</v>
      </c>
      <c r="AH375" s="92">
        <f t="shared" si="489"/>
        <v>0</v>
      </c>
      <c r="AI375" s="92">
        <f t="shared" si="489"/>
        <v>0</v>
      </c>
      <c r="AJ375" s="92">
        <f t="shared" si="489"/>
        <v>0</v>
      </c>
      <c r="AK375" s="92">
        <f t="shared" ref="AK375:AL375" si="490">SUM(AK374)</f>
        <v>0</v>
      </c>
      <c r="AL375" s="92">
        <f t="shared" si="490"/>
        <v>0</v>
      </c>
      <c r="AM375" s="92">
        <f t="shared" si="489"/>
        <v>0</v>
      </c>
      <c r="AN375" s="92">
        <f t="shared" si="489"/>
        <v>0</v>
      </c>
      <c r="AO375" s="92">
        <f t="shared" si="489"/>
        <v>0</v>
      </c>
      <c r="AP375" s="92">
        <f t="shared" si="489"/>
        <v>0</v>
      </c>
      <c r="AQ375" s="93">
        <f t="shared" si="489"/>
        <v>0</v>
      </c>
      <c r="AR375" s="440">
        <f t="shared" si="489"/>
        <v>4587433</v>
      </c>
      <c r="AS375" s="91">
        <f t="shared" si="489"/>
        <v>3351839</v>
      </c>
      <c r="AT375" s="91">
        <f t="shared" si="489"/>
        <v>0</v>
      </c>
      <c r="AU375" s="91">
        <f t="shared" si="489"/>
        <v>1132921</v>
      </c>
      <c r="AV375" s="91">
        <f t="shared" si="489"/>
        <v>67037</v>
      </c>
      <c r="AW375" s="91">
        <f t="shared" si="489"/>
        <v>35636</v>
      </c>
      <c r="AX375" s="92">
        <f t="shared" si="489"/>
        <v>10.56</v>
      </c>
      <c r="AY375" s="92">
        <f t="shared" si="489"/>
        <v>0</v>
      </c>
      <c r="AZ375" s="93">
        <f t="shared" si="489"/>
        <v>10.56</v>
      </c>
    </row>
    <row r="376" spans="1:52" ht="14.1" customHeight="1" x14ac:dyDescent="0.2">
      <c r="A376" s="72">
        <v>76</v>
      </c>
      <c r="B376" s="69">
        <v>2461</v>
      </c>
      <c r="C376" s="70">
        <v>600079805</v>
      </c>
      <c r="D376" s="69">
        <v>72741724</v>
      </c>
      <c r="E376" s="71" t="s">
        <v>719</v>
      </c>
      <c r="F376" s="72">
        <v>3111</v>
      </c>
      <c r="G376" s="71" t="s">
        <v>312</v>
      </c>
      <c r="H376" s="73" t="s">
        <v>278</v>
      </c>
      <c r="I376" s="494">
        <v>1476437</v>
      </c>
      <c r="J376" s="489">
        <v>1080587</v>
      </c>
      <c r="K376" s="489">
        <v>0</v>
      </c>
      <c r="L376" s="489">
        <v>365238</v>
      </c>
      <c r="M376" s="489">
        <v>21612</v>
      </c>
      <c r="N376" s="489">
        <v>9000</v>
      </c>
      <c r="O376" s="490">
        <v>2.4769999999999999</v>
      </c>
      <c r="P376" s="490">
        <v>2.0160999999999998</v>
      </c>
      <c r="Q376" s="500">
        <v>0.46089999999999998</v>
      </c>
      <c r="R376" s="502">
        <f t="shared" si="427"/>
        <v>0</v>
      </c>
      <c r="S376" s="492">
        <v>0</v>
      </c>
      <c r="T376" s="492">
        <v>0</v>
      </c>
      <c r="U376" s="492">
        <v>0</v>
      </c>
      <c r="V376" s="492">
        <f t="shared" ref="V376:V381" si="491">SUM(R376:U376)</f>
        <v>0</v>
      </c>
      <c r="W376" s="492">
        <v>0</v>
      </c>
      <c r="X376" s="492">
        <v>0</v>
      </c>
      <c r="Y376" s="492">
        <v>0</v>
      </c>
      <c r="Z376" s="492">
        <f t="shared" si="434"/>
        <v>0</v>
      </c>
      <c r="AA376" s="492">
        <f t="shared" si="435"/>
        <v>0</v>
      </c>
      <c r="AB376" s="74">
        <f t="shared" si="436"/>
        <v>0</v>
      </c>
      <c r="AC376" s="74">
        <f t="shared" si="437"/>
        <v>0</v>
      </c>
      <c r="AD376" s="492">
        <v>0</v>
      </c>
      <c r="AE376" s="492">
        <v>0</v>
      </c>
      <c r="AF376" s="492">
        <f t="shared" ref="AF376:AF381" si="492">SUM(AD376:AE376)</f>
        <v>0</v>
      </c>
      <c r="AG376" s="492">
        <f t="shared" ref="AG376:AG381" si="493">AA376+AB376+AC376+AF376</f>
        <v>0</v>
      </c>
      <c r="AH376" s="493">
        <v>0</v>
      </c>
      <c r="AI376" s="493">
        <v>0</v>
      </c>
      <c r="AJ376" s="493">
        <v>0</v>
      </c>
      <c r="AK376" s="493">
        <v>0</v>
      </c>
      <c r="AL376" s="493">
        <v>0</v>
      </c>
      <c r="AM376" s="493">
        <v>0</v>
      </c>
      <c r="AN376" s="493">
        <v>0</v>
      </c>
      <c r="AO376" s="493">
        <f t="shared" si="428"/>
        <v>0</v>
      </c>
      <c r="AP376" s="493">
        <f t="shared" si="429"/>
        <v>0</v>
      </c>
      <c r="AQ376" s="495">
        <f t="shared" si="440"/>
        <v>0</v>
      </c>
      <c r="AR376" s="501">
        <f t="shared" ref="AR376:AR381" si="494">I376+AG376</f>
        <v>1476437</v>
      </c>
      <c r="AS376" s="492">
        <f t="shared" ref="AS376:AS381" si="495">J376+V376</f>
        <v>1080587</v>
      </c>
      <c r="AT376" s="492">
        <f t="shared" ref="AT376:AT381" si="496">K376+Z376</f>
        <v>0</v>
      </c>
      <c r="AU376" s="492">
        <f t="shared" ref="AU376:AV381" si="497">L376+AB376</f>
        <v>365238</v>
      </c>
      <c r="AV376" s="492">
        <f t="shared" si="497"/>
        <v>21612</v>
      </c>
      <c r="AW376" s="492">
        <f t="shared" ref="AW376:AW381" si="498">N376+AF376</f>
        <v>9000</v>
      </c>
      <c r="AX376" s="493">
        <f t="shared" ref="AX376:AX381" si="499">O376+AQ376</f>
        <v>2.4769999999999999</v>
      </c>
      <c r="AY376" s="493">
        <f t="shared" ref="AY376:AZ381" si="500">P376+AO376</f>
        <v>2.0160999999999998</v>
      </c>
      <c r="AZ376" s="495">
        <f t="shared" si="500"/>
        <v>0.46089999999999998</v>
      </c>
    </row>
    <row r="377" spans="1:52" ht="14.1" customHeight="1" x14ac:dyDescent="0.2">
      <c r="A377" s="72">
        <v>76</v>
      </c>
      <c r="B377" s="69">
        <v>2461</v>
      </c>
      <c r="C377" s="70">
        <v>600079805</v>
      </c>
      <c r="D377" s="69">
        <v>72741724</v>
      </c>
      <c r="E377" s="71" t="s">
        <v>719</v>
      </c>
      <c r="F377" s="72">
        <v>3117</v>
      </c>
      <c r="G377" s="71" t="s">
        <v>315</v>
      </c>
      <c r="H377" s="73" t="s">
        <v>278</v>
      </c>
      <c r="I377" s="494">
        <v>2602989</v>
      </c>
      <c r="J377" s="489">
        <v>1802621</v>
      </c>
      <c r="K377" s="489">
        <v>87750</v>
      </c>
      <c r="L377" s="489">
        <v>638946</v>
      </c>
      <c r="M377" s="489">
        <v>36052</v>
      </c>
      <c r="N377" s="489">
        <v>37620</v>
      </c>
      <c r="O377" s="490">
        <v>3.4372000000000003</v>
      </c>
      <c r="P377" s="490">
        <v>2.3755000000000002</v>
      </c>
      <c r="Q377" s="500">
        <v>1.0617000000000001</v>
      </c>
      <c r="R377" s="502">
        <f t="shared" si="427"/>
        <v>0</v>
      </c>
      <c r="S377" s="492">
        <v>0</v>
      </c>
      <c r="T377" s="492">
        <v>0</v>
      </c>
      <c r="U377" s="492">
        <v>0</v>
      </c>
      <c r="V377" s="492">
        <f t="shared" si="491"/>
        <v>0</v>
      </c>
      <c r="W377" s="492">
        <v>0</v>
      </c>
      <c r="X377" s="492">
        <v>0</v>
      </c>
      <c r="Y377" s="492">
        <v>0</v>
      </c>
      <c r="Z377" s="492">
        <f t="shared" si="434"/>
        <v>0</v>
      </c>
      <c r="AA377" s="492">
        <f t="shared" si="435"/>
        <v>0</v>
      </c>
      <c r="AB377" s="74">
        <f t="shared" si="436"/>
        <v>0</v>
      </c>
      <c r="AC377" s="74">
        <f t="shared" si="437"/>
        <v>0</v>
      </c>
      <c r="AD377" s="492">
        <v>0</v>
      </c>
      <c r="AE377" s="492">
        <v>0</v>
      </c>
      <c r="AF377" s="492">
        <f t="shared" si="492"/>
        <v>0</v>
      </c>
      <c r="AG377" s="492">
        <f t="shared" si="493"/>
        <v>0</v>
      </c>
      <c r="AH377" s="493">
        <v>0</v>
      </c>
      <c r="AI377" s="493">
        <v>0</v>
      </c>
      <c r="AJ377" s="493">
        <v>0</v>
      </c>
      <c r="AK377" s="493">
        <v>0</v>
      </c>
      <c r="AL377" s="493">
        <v>0</v>
      </c>
      <c r="AM377" s="493">
        <v>0</v>
      </c>
      <c r="AN377" s="493">
        <v>0</v>
      </c>
      <c r="AO377" s="493">
        <f t="shared" si="428"/>
        <v>0</v>
      </c>
      <c r="AP377" s="493">
        <f t="shared" si="429"/>
        <v>0</v>
      </c>
      <c r="AQ377" s="495">
        <f t="shared" si="440"/>
        <v>0</v>
      </c>
      <c r="AR377" s="501">
        <f t="shared" si="494"/>
        <v>2602989</v>
      </c>
      <c r="AS377" s="492">
        <f t="shared" si="495"/>
        <v>1802621</v>
      </c>
      <c r="AT377" s="492">
        <f t="shared" si="496"/>
        <v>87750</v>
      </c>
      <c r="AU377" s="492">
        <f t="shared" si="497"/>
        <v>638946</v>
      </c>
      <c r="AV377" s="492">
        <f t="shared" si="497"/>
        <v>36052</v>
      </c>
      <c r="AW377" s="492">
        <f t="shared" si="498"/>
        <v>37620</v>
      </c>
      <c r="AX377" s="493">
        <f t="shared" si="499"/>
        <v>3.4372000000000003</v>
      </c>
      <c r="AY377" s="493">
        <f t="shared" si="500"/>
        <v>2.3755000000000002</v>
      </c>
      <c r="AZ377" s="495">
        <f t="shared" si="500"/>
        <v>1.0617000000000001</v>
      </c>
    </row>
    <row r="378" spans="1:52" ht="14.1" customHeight="1" x14ac:dyDescent="0.2">
      <c r="A378" s="72">
        <v>76</v>
      </c>
      <c r="B378" s="69">
        <v>2461</v>
      </c>
      <c r="C378" s="70">
        <v>600079805</v>
      </c>
      <c r="D378" s="69">
        <v>72741724</v>
      </c>
      <c r="E378" s="71" t="s">
        <v>719</v>
      </c>
      <c r="F378" s="72">
        <v>3117</v>
      </c>
      <c r="G378" s="84" t="s">
        <v>313</v>
      </c>
      <c r="H378" s="73" t="s">
        <v>279</v>
      </c>
      <c r="I378" s="494">
        <v>873367</v>
      </c>
      <c r="J378" s="489">
        <v>643127</v>
      </c>
      <c r="K378" s="489">
        <v>0</v>
      </c>
      <c r="L378" s="489">
        <v>217377</v>
      </c>
      <c r="M378" s="489">
        <v>12863</v>
      </c>
      <c r="N378" s="489">
        <v>0</v>
      </c>
      <c r="O378" s="490">
        <v>1.74</v>
      </c>
      <c r="P378" s="491">
        <v>1.74</v>
      </c>
      <c r="Q378" s="500">
        <v>0</v>
      </c>
      <c r="R378" s="502">
        <f t="shared" si="427"/>
        <v>0</v>
      </c>
      <c r="S378" s="489">
        <v>0</v>
      </c>
      <c r="T378" s="492">
        <v>0</v>
      </c>
      <c r="U378" s="492">
        <v>0</v>
      </c>
      <c r="V378" s="492">
        <f t="shared" si="491"/>
        <v>0</v>
      </c>
      <c r="W378" s="492">
        <v>0</v>
      </c>
      <c r="X378" s="492">
        <v>0</v>
      </c>
      <c r="Y378" s="492">
        <v>0</v>
      </c>
      <c r="Z378" s="492">
        <f t="shared" si="434"/>
        <v>0</v>
      </c>
      <c r="AA378" s="492">
        <f t="shared" si="435"/>
        <v>0</v>
      </c>
      <c r="AB378" s="74">
        <f t="shared" si="436"/>
        <v>0</v>
      </c>
      <c r="AC378" s="74">
        <f t="shared" si="437"/>
        <v>0</v>
      </c>
      <c r="AD378" s="492">
        <v>0</v>
      </c>
      <c r="AE378" s="492">
        <v>0</v>
      </c>
      <c r="AF378" s="492">
        <f t="shared" si="492"/>
        <v>0</v>
      </c>
      <c r="AG378" s="492">
        <f t="shared" si="493"/>
        <v>0</v>
      </c>
      <c r="AH378" s="493">
        <v>0</v>
      </c>
      <c r="AI378" s="493">
        <v>0</v>
      </c>
      <c r="AJ378" s="493">
        <v>0</v>
      </c>
      <c r="AK378" s="493">
        <v>0</v>
      </c>
      <c r="AL378" s="493">
        <v>0</v>
      </c>
      <c r="AM378" s="493">
        <v>0</v>
      </c>
      <c r="AN378" s="493">
        <v>0</v>
      </c>
      <c r="AO378" s="493">
        <f t="shared" si="428"/>
        <v>0</v>
      </c>
      <c r="AP378" s="493">
        <f t="shared" si="429"/>
        <v>0</v>
      </c>
      <c r="AQ378" s="495">
        <f t="shared" si="440"/>
        <v>0</v>
      </c>
      <c r="AR378" s="501">
        <f t="shared" si="494"/>
        <v>873367</v>
      </c>
      <c r="AS378" s="492">
        <f t="shared" si="495"/>
        <v>643127</v>
      </c>
      <c r="AT378" s="492">
        <f t="shared" si="496"/>
        <v>0</v>
      </c>
      <c r="AU378" s="492">
        <f t="shared" si="497"/>
        <v>217377</v>
      </c>
      <c r="AV378" s="492">
        <f t="shared" si="497"/>
        <v>12863</v>
      </c>
      <c r="AW378" s="492">
        <f t="shared" si="498"/>
        <v>0</v>
      </c>
      <c r="AX378" s="493">
        <f t="shared" si="499"/>
        <v>1.74</v>
      </c>
      <c r="AY378" s="493">
        <f t="shared" si="500"/>
        <v>1.74</v>
      </c>
      <c r="AZ378" s="495">
        <f t="shared" si="500"/>
        <v>0</v>
      </c>
    </row>
    <row r="379" spans="1:52" ht="14.1" customHeight="1" x14ac:dyDescent="0.2">
      <c r="A379" s="72">
        <v>76</v>
      </c>
      <c r="B379" s="69">
        <v>2461</v>
      </c>
      <c r="C379" s="70">
        <v>600079805</v>
      </c>
      <c r="D379" s="69">
        <v>72741724</v>
      </c>
      <c r="E379" s="71" t="s">
        <v>719</v>
      </c>
      <c r="F379" s="72">
        <v>3141</v>
      </c>
      <c r="G379" s="71" t="s">
        <v>316</v>
      </c>
      <c r="H379" s="73" t="s">
        <v>279</v>
      </c>
      <c r="I379" s="494">
        <v>605286</v>
      </c>
      <c r="J379" s="489">
        <v>443968</v>
      </c>
      <c r="K379" s="489">
        <v>0</v>
      </c>
      <c r="L379" s="489">
        <v>150061</v>
      </c>
      <c r="M379" s="489">
        <v>8879</v>
      </c>
      <c r="N379" s="489">
        <v>2378</v>
      </c>
      <c r="O379" s="490">
        <v>1.4</v>
      </c>
      <c r="P379" s="491">
        <v>0</v>
      </c>
      <c r="Q379" s="500">
        <v>1.4</v>
      </c>
      <c r="R379" s="502">
        <f t="shared" si="427"/>
        <v>0</v>
      </c>
      <c r="S379" s="492">
        <v>0</v>
      </c>
      <c r="T379" s="492">
        <v>0</v>
      </c>
      <c r="U379" s="492">
        <v>0</v>
      </c>
      <c r="V379" s="492">
        <f t="shared" si="491"/>
        <v>0</v>
      </c>
      <c r="W379" s="492">
        <v>0</v>
      </c>
      <c r="X379" s="492">
        <v>0</v>
      </c>
      <c r="Y379" s="492">
        <v>0</v>
      </c>
      <c r="Z379" s="492">
        <f t="shared" si="434"/>
        <v>0</v>
      </c>
      <c r="AA379" s="492">
        <f t="shared" si="435"/>
        <v>0</v>
      </c>
      <c r="AB379" s="74">
        <f t="shared" si="436"/>
        <v>0</v>
      </c>
      <c r="AC379" s="74">
        <f t="shared" si="437"/>
        <v>0</v>
      </c>
      <c r="AD379" s="492">
        <v>0</v>
      </c>
      <c r="AE379" s="492">
        <v>0</v>
      </c>
      <c r="AF379" s="492">
        <f t="shared" si="492"/>
        <v>0</v>
      </c>
      <c r="AG379" s="492">
        <f t="shared" si="493"/>
        <v>0</v>
      </c>
      <c r="AH379" s="493">
        <v>0</v>
      </c>
      <c r="AI379" s="493">
        <v>0</v>
      </c>
      <c r="AJ379" s="493">
        <v>0</v>
      </c>
      <c r="AK379" s="493">
        <v>0</v>
      </c>
      <c r="AL379" s="493">
        <v>0</v>
      </c>
      <c r="AM379" s="493">
        <v>0</v>
      </c>
      <c r="AN379" s="493">
        <v>0</v>
      </c>
      <c r="AO379" s="493">
        <f t="shared" si="428"/>
        <v>0</v>
      </c>
      <c r="AP379" s="493">
        <f t="shared" si="429"/>
        <v>0</v>
      </c>
      <c r="AQ379" s="495">
        <f t="shared" si="440"/>
        <v>0</v>
      </c>
      <c r="AR379" s="501">
        <f t="shared" si="494"/>
        <v>605286</v>
      </c>
      <c r="AS379" s="492">
        <f t="shared" si="495"/>
        <v>443968</v>
      </c>
      <c r="AT379" s="492">
        <f t="shared" si="496"/>
        <v>0</v>
      </c>
      <c r="AU379" s="492">
        <f t="shared" si="497"/>
        <v>150061</v>
      </c>
      <c r="AV379" s="492">
        <f t="shared" si="497"/>
        <v>8879</v>
      </c>
      <c r="AW379" s="492">
        <f t="shared" si="498"/>
        <v>2378</v>
      </c>
      <c r="AX379" s="493">
        <f t="shared" si="499"/>
        <v>1.4</v>
      </c>
      <c r="AY379" s="493">
        <f t="shared" si="500"/>
        <v>0</v>
      </c>
      <c r="AZ379" s="495">
        <f t="shared" si="500"/>
        <v>1.4</v>
      </c>
    </row>
    <row r="380" spans="1:52" ht="14.1" customHeight="1" x14ac:dyDescent="0.2">
      <c r="A380" s="72">
        <v>76</v>
      </c>
      <c r="B380" s="69">
        <v>2461</v>
      </c>
      <c r="C380" s="70">
        <v>600079805</v>
      </c>
      <c r="D380" s="69">
        <v>72741724</v>
      </c>
      <c r="E380" s="71" t="s">
        <v>719</v>
      </c>
      <c r="F380" s="72">
        <v>3143</v>
      </c>
      <c r="G380" s="84" t="s">
        <v>629</v>
      </c>
      <c r="H380" s="73" t="s">
        <v>278</v>
      </c>
      <c r="I380" s="494">
        <v>619332</v>
      </c>
      <c r="J380" s="489">
        <v>456062</v>
      </c>
      <c r="K380" s="489">
        <v>0</v>
      </c>
      <c r="L380" s="489">
        <v>154149</v>
      </c>
      <c r="M380" s="489">
        <v>9121</v>
      </c>
      <c r="N380" s="489">
        <v>0</v>
      </c>
      <c r="O380" s="490">
        <v>1</v>
      </c>
      <c r="P380" s="490">
        <v>1</v>
      </c>
      <c r="Q380" s="500">
        <v>0</v>
      </c>
      <c r="R380" s="502">
        <f t="shared" si="427"/>
        <v>0</v>
      </c>
      <c r="S380" s="492">
        <v>0</v>
      </c>
      <c r="T380" s="492">
        <v>0</v>
      </c>
      <c r="U380" s="492">
        <v>0</v>
      </c>
      <c r="V380" s="492">
        <f t="shared" si="491"/>
        <v>0</v>
      </c>
      <c r="W380" s="492">
        <v>0</v>
      </c>
      <c r="X380" s="492">
        <v>0</v>
      </c>
      <c r="Y380" s="492">
        <v>0</v>
      </c>
      <c r="Z380" s="492">
        <f t="shared" si="434"/>
        <v>0</v>
      </c>
      <c r="AA380" s="492">
        <f t="shared" si="435"/>
        <v>0</v>
      </c>
      <c r="AB380" s="74">
        <f t="shared" si="436"/>
        <v>0</v>
      </c>
      <c r="AC380" s="74">
        <f t="shared" si="437"/>
        <v>0</v>
      </c>
      <c r="AD380" s="492">
        <v>0</v>
      </c>
      <c r="AE380" s="492">
        <v>0</v>
      </c>
      <c r="AF380" s="492">
        <f t="shared" si="492"/>
        <v>0</v>
      </c>
      <c r="AG380" s="492">
        <f t="shared" si="493"/>
        <v>0</v>
      </c>
      <c r="AH380" s="493">
        <v>0</v>
      </c>
      <c r="AI380" s="493">
        <v>0</v>
      </c>
      <c r="AJ380" s="493">
        <v>0</v>
      </c>
      <c r="AK380" s="493">
        <v>0</v>
      </c>
      <c r="AL380" s="493">
        <v>0</v>
      </c>
      <c r="AM380" s="493">
        <v>0</v>
      </c>
      <c r="AN380" s="493">
        <v>0</v>
      </c>
      <c r="AO380" s="493">
        <f t="shared" si="428"/>
        <v>0</v>
      </c>
      <c r="AP380" s="493">
        <f t="shared" si="429"/>
        <v>0</v>
      </c>
      <c r="AQ380" s="495">
        <f t="shared" si="440"/>
        <v>0</v>
      </c>
      <c r="AR380" s="501">
        <f t="shared" si="494"/>
        <v>619332</v>
      </c>
      <c r="AS380" s="492">
        <f t="shared" si="495"/>
        <v>456062</v>
      </c>
      <c r="AT380" s="492">
        <f t="shared" si="496"/>
        <v>0</v>
      </c>
      <c r="AU380" s="492">
        <f t="shared" si="497"/>
        <v>154149</v>
      </c>
      <c r="AV380" s="492">
        <f t="shared" si="497"/>
        <v>9121</v>
      </c>
      <c r="AW380" s="492">
        <f t="shared" si="498"/>
        <v>0</v>
      </c>
      <c r="AX380" s="493">
        <f t="shared" si="499"/>
        <v>1</v>
      </c>
      <c r="AY380" s="493">
        <f t="shared" si="500"/>
        <v>1</v>
      </c>
      <c r="AZ380" s="495">
        <f t="shared" si="500"/>
        <v>0</v>
      </c>
    </row>
    <row r="381" spans="1:52" ht="14.1" customHeight="1" x14ac:dyDescent="0.2">
      <c r="A381" s="72">
        <v>76</v>
      </c>
      <c r="B381" s="69">
        <v>2461</v>
      </c>
      <c r="C381" s="70">
        <v>600079805</v>
      </c>
      <c r="D381" s="69">
        <v>72741724</v>
      </c>
      <c r="E381" s="71" t="s">
        <v>719</v>
      </c>
      <c r="F381" s="72">
        <v>3143</v>
      </c>
      <c r="G381" s="84" t="s">
        <v>630</v>
      </c>
      <c r="H381" s="73" t="s">
        <v>279</v>
      </c>
      <c r="I381" s="494">
        <v>17388</v>
      </c>
      <c r="J381" s="489">
        <v>12296</v>
      </c>
      <c r="K381" s="489">
        <v>0</v>
      </c>
      <c r="L381" s="489">
        <v>4156</v>
      </c>
      <c r="M381" s="489">
        <v>246</v>
      </c>
      <c r="N381" s="489">
        <v>690</v>
      </c>
      <c r="O381" s="490">
        <v>0.05</v>
      </c>
      <c r="P381" s="491">
        <v>0</v>
      </c>
      <c r="Q381" s="500">
        <v>0.05</v>
      </c>
      <c r="R381" s="502">
        <f t="shared" si="427"/>
        <v>0</v>
      </c>
      <c r="S381" s="492">
        <v>0</v>
      </c>
      <c r="T381" s="492">
        <v>0</v>
      </c>
      <c r="U381" s="492">
        <v>0</v>
      </c>
      <c r="V381" s="492">
        <f t="shared" si="491"/>
        <v>0</v>
      </c>
      <c r="W381" s="492">
        <v>0</v>
      </c>
      <c r="X381" s="492">
        <v>0</v>
      </c>
      <c r="Y381" s="492">
        <v>0</v>
      </c>
      <c r="Z381" s="492">
        <f t="shared" si="434"/>
        <v>0</v>
      </c>
      <c r="AA381" s="492">
        <f t="shared" si="435"/>
        <v>0</v>
      </c>
      <c r="AB381" s="74">
        <f t="shared" si="436"/>
        <v>0</v>
      </c>
      <c r="AC381" s="74">
        <f t="shared" si="437"/>
        <v>0</v>
      </c>
      <c r="AD381" s="492">
        <v>0</v>
      </c>
      <c r="AE381" s="492">
        <v>0</v>
      </c>
      <c r="AF381" s="492">
        <f t="shared" si="492"/>
        <v>0</v>
      </c>
      <c r="AG381" s="492">
        <f t="shared" si="493"/>
        <v>0</v>
      </c>
      <c r="AH381" s="493">
        <v>0</v>
      </c>
      <c r="AI381" s="493">
        <v>0</v>
      </c>
      <c r="AJ381" s="493">
        <v>0</v>
      </c>
      <c r="AK381" s="493">
        <v>0</v>
      </c>
      <c r="AL381" s="493">
        <v>0</v>
      </c>
      <c r="AM381" s="493">
        <v>0</v>
      </c>
      <c r="AN381" s="493">
        <v>0</v>
      </c>
      <c r="AO381" s="493">
        <f t="shared" si="428"/>
        <v>0</v>
      </c>
      <c r="AP381" s="493">
        <f t="shared" si="429"/>
        <v>0</v>
      </c>
      <c r="AQ381" s="495">
        <f t="shared" si="440"/>
        <v>0</v>
      </c>
      <c r="AR381" s="501">
        <f t="shared" si="494"/>
        <v>17388</v>
      </c>
      <c r="AS381" s="492">
        <f t="shared" si="495"/>
        <v>12296</v>
      </c>
      <c r="AT381" s="492">
        <f t="shared" si="496"/>
        <v>0</v>
      </c>
      <c r="AU381" s="492">
        <f t="shared" si="497"/>
        <v>4156</v>
      </c>
      <c r="AV381" s="492">
        <f t="shared" si="497"/>
        <v>246</v>
      </c>
      <c r="AW381" s="492">
        <f t="shared" si="498"/>
        <v>690</v>
      </c>
      <c r="AX381" s="493">
        <f t="shared" si="499"/>
        <v>0.05</v>
      </c>
      <c r="AY381" s="493">
        <f t="shared" si="500"/>
        <v>0</v>
      </c>
      <c r="AZ381" s="495">
        <f t="shared" si="500"/>
        <v>0.05</v>
      </c>
    </row>
    <row r="382" spans="1:52" ht="14.1" customHeight="1" x14ac:dyDescent="0.2">
      <c r="A382" s="78">
        <v>76</v>
      </c>
      <c r="B382" s="75">
        <v>2461</v>
      </c>
      <c r="C382" s="76">
        <v>600079805</v>
      </c>
      <c r="D382" s="75">
        <v>72741724</v>
      </c>
      <c r="E382" s="77" t="s">
        <v>720</v>
      </c>
      <c r="F382" s="78"/>
      <c r="G382" s="77"/>
      <c r="H382" s="79"/>
      <c r="I382" s="80">
        <v>6194799</v>
      </c>
      <c r="J382" s="81">
        <v>4438661</v>
      </c>
      <c r="K382" s="81">
        <v>87750</v>
      </c>
      <c r="L382" s="81">
        <v>1529927</v>
      </c>
      <c r="M382" s="81">
        <v>88773</v>
      </c>
      <c r="N382" s="81">
        <v>49688</v>
      </c>
      <c r="O382" s="82">
        <v>10.104200000000001</v>
      </c>
      <c r="P382" s="82">
        <v>7.1316000000000006</v>
      </c>
      <c r="Q382" s="452">
        <v>2.9725999999999999</v>
      </c>
      <c r="R382" s="80">
        <f t="shared" ref="R382:AZ382" si="501">SUM(R376:R381)</f>
        <v>0</v>
      </c>
      <c r="S382" s="81">
        <f t="shared" si="501"/>
        <v>0</v>
      </c>
      <c r="T382" s="81">
        <f t="shared" si="501"/>
        <v>0</v>
      </c>
      <c r="U382" s="81">
        <f t="shared" si="501"/>
        <v>0</v>
      </c>
      <c r="V382" s="81">
        <f t="shared" si="501"/>
        <v>0</v>
      </c>
      <c r="W382" s="81">
        <f t="shared" si="501"/>
        <v>0</v>
      </c>
      <c r="X382" s="81">
        <f t="shared" si="501"/>
        <v>0</v>
      </c>
      <c r="Y382" s="81">
        <f t="shared" si="501"/>
        <v>0</v>
      </c>
      <c r="Z382" s="81">
        <f t="shared" si="501"/>
        <v>0</v>
      </c>
      <c r="AA382" s="81">
        <f t="shared" si="501"/>
        <v>0</v>
      </c>
      <c r="AB382" s="81">
        <f t="shared" si="501"/>
        <v>0</v>
      </c>
      <c r="AC382" s="81">
        <f t="shared" si="501"/>
        <v>0</v>
      </c>
      <c r="AD382" s="81">
        <f t="shared" si="501"/>
        <v>0</v>
      </c>
      <c r="AE382" s="81">
        <f t="shared" si="501"/>
        <v>0</v>
      </c>
      <c r="AF382" s="81">
        <f t="shared" si="501"/>
        <v>0</v>
      </c>
      <c r="AG382" s="81">
        <f t="shared" si="501"/>
        <v>0</v>
      </c>
      <c r="AH382" s="82">
        <f t="shared" si="501"/>
        <v>0</v>
      </c>
      <c r="AI382" s="82">
        <f t="shared" si="501"/>
        <v>0</v>
      </c>
      <c r="AJ382" s="82">
        <f t="shared" si="501"/>
        <v>0</v>
      </c>
      <c r="AK382" s="82">
        <f t="shared" ref="AK382:AL382" si="502">SUM(AK376:AK381)</f>
        <v>0</v>
      </c>
      <c r="AL382" s="82">
        <f t="shared" si="502"/>
        <v>0</v>
      </c>
      <c r="AM382" s="82">
        <f t="shared" si="501"/>
        <v>0</v>
      </c>
      <c r="AN382" s="82">
        <f t="shared" si="501"/>
        <v>0</v>
      </c>
      <c r="AO382" s="82">
        <f t="shared" si="501"/>
        <v>0</v>
      </c>
      <c r="AP382" s="82">
        <f t="shared" si="501"/>
        <v>0</v>
      </c>
      <c r="AQ382" s="83">
        <f t="shared" si="501"/>
        <v>0</v>
      </c>
      <c r="AR382" s="438">
        <f t="shared" si="501"/>
        <v>6194799</v>
      </c>
      <c r="AS382" s="81">
        <f t="shared" si="501"/>
        <v>4438661</v>
      </c>
      <c r="AT382" s="81">
        <f t="shared" si="501"/>
        <v>87750</v>
      </c>
      <c r="AU382" s="81">
        <f t="shared" si="501"/>
        <v>1529927</v>
      </c>
      <c r="AV382" s="81">
        <f t="shared" si="501"/>
        <v>88773</v>
      </c>
      <c r="AW382" s="81">
        <f t="shared" si="501"/>
        <v>49688</v>
      </c>
      <c r="AX382" s="82">
        <f t="shared" si="501"/>
        <v>10.104200000000001</v>
      </c>
      <c r="AY382" s="82">
        <f t="shared" si="501"/>
        <v>7.1316000000000006</v>
      </c>
      <c r="AZ382" s="83">
        <f t="shared" si="501"/>
        <v>2.9725999999999999</v>
      </c>
    </row>
    <row r="383" spans="1:52" ht="14.1" customHeight="1" x14ac:dyDescent="0.2">
      <c r="A383" s="72">
        <v>77</v>
      </c>
      <c r="B383" s="69">
        <v>2460</v>
      </c>
      <c r="C383" s="70">
        <v>600079783</v>
      </c>
      <c r="D383" s="69">
        <v>72741643</v>
      </c>
      <c r="E383" s="71" t="s">
        <v>721</v>
      </c>
      <c r="F383" s="72">
        <v>3113</v>
      </c>
      <c r="G383" s="71" t="s">
        <v>315</v>
      </c>
      <c r="H383" s="73" t="s">
        <v>278</v>
      </c>
      <c r="I383" s="494">
        <v>42503703</v>
      </c>
      <c r="J383" s="489">
        <v>30612925</v>
      </c>
      <c r="K383" s="489">
        <v>0</v>
      </c>
      <c r="L383" s="489">
        <v>10347169</v>
      </c>
      <c r="M383" s="489">
        <v>612259</v>
      </c>
      <c r="N383" s="489">
        <v>931350</v>
      </c>
      <c r="O383" s="490">
        <v>54.768900000000002</v>
      </c>
      <c r="P383" s="490">
        <v>42.863300000000002</v>
      </c>
      <c r="Q383" s="500">
        <v>11.9056</v>
      </c>
      <c r="R383" s="502">
        <f t="shared" si="427"/>
        <v>0</v>
      </c>
      <c r="S383" s="492">
        <v>0</v>
      </c>
      <c r="T383" s="492">
        <v>0</v>
      </c>
      <c r="U383" s="492">
        <v>0</v>
      </c>
      <c r="V383" s="492">
        <f>SUM(R383:U383)</f>
        <v>0</v>
      </c>
      <c r="W383" s="492">
        <v>0</v>
      </c>
      <c r="X383" s="492">
        <v>0</v>
      </c>
      <c r="Y383" s="492">
        <v>0</v>
      </c>
      <c r="Z383" s="492">
        <f t="shared" si="434"/>
        <v>0</v>
      </c>
      <c r="AA383" s="492">
        <f t="shared" si="435"/>
        <v>0</v>
      </c>
      <c r="AB383" s="74">
        <f t="shared" si="436"/>
        <v>0</v>
      </c>
      <c r="AC383" s="74">
        <f t="shared" si="437"/>
        <v>0</v>
      </c>
      <c r="AD383" s="492">
        <v>0</v>
      </c>
      <c r="AE383" s="492">
        <v>0</v>
      </c>
      <c r="AF383" s="492">
        <f>SUM(AD383:AE383)</f>
        <v>0</v>
      </c>
      <c r="AG383" s="492">
        <f>AA383+AB383+AC383+AF383</f>
        <v>0</v>
      </c>
      <c r="AH383" s="493">
        <v>0</v>
      </c>
      <c r="AI383" s="493">
        <v>0</v>
      </c>
      <c r="AJ383" s="493">
        <v>0</v>
      </c>
      <c r="AK383" s="493">
        <v>0</v>
      </c>
      <c r="AL383" s="493">
        <v>0</v>
      </c>
      <c r="AM383" s="493">
        <v>0</v>
      </c>
      <c r="AN383" s="493">
        <v>0</v>
      </c>
      <c r="AO383" s="493">
        <f t="shared" si="428"/>
        <v>0</v>
      </c>
      <c r="AP383" s="493">
        <f t="shared" si="429"/>
        <v>0</v>
      </c>
      <c r="AQ383" s="495">
        <f t="shared" si="440"/>
        <v>0</v>
      </c>
      <c r="AR383" s="501">
        <f>I383+AG383</f>
        <v>42503703</v>
      </c>
      <c r="AS383" s="492">
        <f>J383+V383</f>
        <v>30612925</v>
      </c>
      <c r="AT383" s="492">
        <f t="shared" ref="AT383:AT387" si="503">K383+Z383</f>
        <v>0</v>
      </c>
      <c r="AU383" s="492">
        <f t="shared" ref="AU383:AV387" si="504">L383+AB383</f>
        <v>10347169</v>
      </c>
      <c r="AV383" s="492">
        <f t="shared" si="504"/>
        <v>612259</v>
      </c>
      <c r="AW383" s="492">
        <f>N383+AF383</f>
        <v>931350</v>
      </c>
      <c r="AX383" s="493">
        <f>O383+AQ383</f>
        <v>54.768900000000002</v>
      </c>
      <c r="AY383" s="493">
        <f t="shared" ref="AY383:AZ387" si="505">P383+AO383</f>
        <v>42.863300000000002</v>
      </c>
      <c r="AZ383" s="495">
        <f t="shared" si="505"/>
        <v>11.9056</v>
      </c>
    </row>
    <row r="384" spans="1:52" ht="14.1" customHeight="1" x14ac:dyDescent="0.2">
      <c r="A384" s="72">
        <v>77</v>
      </c>
      <c r="B384" s="69">
        <v>2460</v>
      </c>
      <c r="C384" s="70">
        <v>600079783</v>
      </c>
      <c r="D384" s="69">
        <v>72741643</v>
      </c>
      <c r="E384" s="71" t="s">
        <v>721</v>
      </c>
      <c r="F384" s="72">
        <v>3113</v>
      </c>
      <c r="G384" s="48" t="s">
        <v>314</v>
      </c>
      <c r="H384" s="73" t="s">
        <v>278</v>
      </c>
      <c r="I384" s="494">
        <v>257639</v>
      </c>
      <c r="J384" s="489">
        <v>189720</v>
      </c>
      <c r="K384" s="489">
        <v>0</v>
      </c>
      <c r="L384" s="489">
        <v>64125</v>
      </c>
      <c r="M384" s="489">
        <v>3794</v>
      </c>
      <c r="N384" s="489">
        <v>0</v>
      </c>
      <c r="O384" s="490">
        <v>0.5</v>
      </c>
      <c r="P384" s="490">
        <v>0.5</v>
      </c>
      <c r="Q384" s="500">
        <v>0</v>
      </c>
      <c r="R384" s="502">
        <f t="shared" si="427"/>
        <v>0</v>
      </c>
      <c r="S384" s="492">
        <v>0</v>
      </c>
      <c r="T384" s="492">
        <v>0</v>
      </c>
      <c r="U384" s="492">
        <v>0</v>
      </c>
      <c r="V384" s="492">
        <f>SUM(R384:U384)</f>
        <v>0</v>
      </c>
      <c r="W384" s="492">
        <v>0</v>
      </c>
      <c r="X384" s="492">
        <v>0</v>
      </c>
      <c r="Y384" s="492">
        <v>0</v>
      </c>
      <c r="Z384" s="492">
        <f t="shared" si="434"/>
        <v>0</v>
      </c>
      <c r="AA384" s="492">
        <f t="shared" si="435"/>
        <v>0</v>
      </c>
      <c r="AB384" s="74">
        <f t="shared" si="436"/>
        <v>0</v>
      </c>
      <c r="AC384" s="74">
        <f t="shared" si="437"/>
        <v>0</v>
      </c>
      <c r="AD384" s="492">
        <v>0</v>
      </c>
      <c r="AE384" s="492">
        <v>0</v>
      </c>
      <c r="AF384" s="492">
        <f>SUM(AD384:AE384)</f>
        <v>0</v>
      </c>
      <c r="AG384" s="492">
        <f>AA384+AB384+AC384+AF384</f>
        <v>0</v>
      </c>
      <c r="AH384" s="493">
        <v>0</v>
      </c>
      <c r="AI384" s="493">
        <v>0</v>
      </c>
      <c r="AJ384" s="493">
        <v>0</v>
      </c>
      <c r="AK384" s="493">
        <v>0</v>
      </c>
      <c r="AL384" s="493">
        <v>0</v>
      </c>
      <c r="AM384" s="493">
        <v>0</v>
      </c>
      <c r="AN384" s="493">
        <v>0</v>
      </c>
      <c r="AO384" s="493">
        <f t="shared" si="428"/>
        <v>0</v>
      </c>
      <c r="AP384" s="493">
        <f t="shared" si="429"/>
        <v>0</v>
      </c>
      <c r="AQ384" s="495">
        <f t="shared" si="440"/>
        <v>0</v>
      </c>
      <c r="AR384" s="501">
        <f>I384+AG384</f>
        <v>257639</v>
      </c>
      <c r="AS384" s="492">
        <f>J384+V384</f>
        <v>189720</v>
      </c>
      <c r="AT384" s="492">
        <f t="shared" si="503"/>
        <v>0</v>
      </c>
      <c r="AU384" s="492">
        <f t="shared" si="504"/>
        <v>64125</v>
      </c>
      <c r="AV384" s="492">
        <f t="shared" si="504"/>
        <v>3794</v>
      </c>
      <c r="AW384" s="492">
        <f>N384+AF384</f>
        <v>0</v>
      </c>
      <c r="AX384" s="493">
        <f>O384+AQ384</f>
        <v>0.5</v>
      </c>
      <c r="AY384" s="493">
        <f t="shared" si="505"/>
        <v>0.5</v>
      </c>
      <c r="AZ384" s="495">
        <f t="shared" si="505"/>
        <v>0</v>
      </c>
    </row>
    <row r="385" spans="1:52" ht="14.1" customHeight="1" x14ac:dyDescent="0.2">
      <c r="A385" s="72">
        <v>77</v>
      </c>
      <c r="B385" s="69">
        <v>2460</v>
      </c>
      <c r="C385" s="70">
        <v>600079783</v>
      </c>
      <c r="D385" s="69">
        <v>72741643</v>
      </c>
      <c r="E385" s="71" t="s">
        <v>721</v>
      </c>
      <c r="F385" s="72">
        <v>3113</v>
      </c>
      <c r="G385" s="84" t="s">
        <v>313</v>
      </c>
      <c r="H385" s="73" t="s">
        <v>279</v>
      </c>
      <c r="I385" s="494">
        <v>1035198</v>
      </c>
      <c r="J385" s="489">
        <v>762296</v>
      </c>
      <c r="K385" s="489">
        <v>0</v>
      </c>
      <c r="L385" s="489">
        <v>257656</v>
      </c>
      <c r="M385" s="489">
        <v>15246</v>
      </c>
      <c r="N385" s="489">
        <v>0</v>
      </c>
      <c r="O385" s="490">
        <v>2.153</v>
      </c>
      <c r="P385" s="491">
        <v>2.153</v>
      </c>
      <c r="Q385" s="500">
        <v>0</v>
      </c>
      <c r="R385" s="502">
        <f t="shared" si="427"/>
        <v>0</v>
      </c>
      <c r="S385" s="489">
        <v>0</v>
      </c>
      <c r="T385" s="492">
        <v>0</v>
      </c>
      <c r="U385" s="492">
        <v>0</v>
      </c>
      <c r="V385" s="492">
        <f>SUM(R385:U385)</f>
        <v>0</v>
      </c>
      <c r="W385" s="492">
        <v>0</v>
      </c>
      <c r="X385" s="492">
        <v>0</v>
      </c>
      <c r="Y385" s="492">
        <v>0</v>
      </c>
      <c r="Z385" s="492">
        <f t="shared" si="434"/>
        <v>0</v>
      </c>
      <c r="AA385" s="492">
        <f t="shared" si="435"/>
        <v>0</v>
      </c>
      <c r="AB385" s="74">
        <f t="shared" si="436"/>
        <v>0</v>
      </c>
      <c r="AC385" s="74">
        <f t="shared" si="437"/>
        <v>0</v>
      </c>
      <c r="AD385" s="492">
        <v>0</v>
      </c>
      <c r="AE385" s="492">
        <v>0</v>
      </c>
      <c r="AF385" s="492">
        <f>SUM(AD385:AE385)</f>
        <v>0</v>
      </c>
      <c r="AG385" s="492">
        <f>AA385+AB385+AC385+AF385</f>
        <v>0</v>
      </c>
      <c r="AH385" s="493">
        <v>0</v>
      </c>
      <c r="AI385" s="493">
        <v>0</v>
      </c>
      <c r="AJ385" s="493">
        <v>0</v>
      </c>
      <c r="AK385" s="493">
        <v>0</v>
      </c>
      <c r="AL385" s="493">
        <v>0</v>
      </c>
      <c r="AM385" s="493">
        <v>0</v>
      </c>
      <c r="AN385" s="493">
        <v>0</v>
      </c>
      <c r="AO385" s="493">
        <f t="shared" si="428"/>
        <v>0</v>
      </c>
      <c r="AP385" s="493">
        <f t="shared" si="429"/>
        <v>0</v>
      </c>
      <c r="AQ385" s="495">
        <f t="shared" si="440"/>
        <v>0</v>
      </c>
      <c r="AR385" s="501">
        <f>I385+AG385</f>
        <v>1035198</v>
      </c>
      <c r="AS385" s="492">
        <f>J385+V385</f>
        <v>762296</v>
      </c>
      <c r="AT385" s="492">
        <f t="shared" si="503"/>
        <v>0</v>
      </c>
      <c r="AU385" s="492">
        <f t="shared" si="504"/>
        <v>257656</v>
      </c>
      <c r="AV385" s="492">
        <f t="shared" si="504"/>
        <v>15246</v>
      </c>
      <c r="AW385" s="492">
        <f>N385+AF385</f>
        <v>0</v>
      </c>
      <c r="AX385" s="493">
        <f>O385+AQ385</f>
        <v>2.153</v>
      </c>
      <c r="AY385" s="493">
        <f t="shared" si="505"/>
        <v>2.153</v>
      </c>
      <c r="AZ385" s="495">
        <f t="shared" si="505"/>
        <v>0</v>
      </c>
    </row>
    <row r="386" spans="1:52" ht="14.1" customHeight="1" x14ac:dyDescent="0.2">
      <c r="A386" s="72">
        <v>77</v>
      </c>
      <c r="B386" s="69">
        <v>2460</v>
      </c>
      <c r="C386" s="70">
        <v>600079783</v>
      </c>
      <c r="D386" s="69">
        <v>72741643</v>
      </c>
      <c r="E386" s="71" t="s">
        <v>721</v>
      </c>
      <c r="F386" s="72">
        <v>3143</v>
      </c>
      <c r="G386" s="84" t="s">
        <v>629</v>
      </c>
      <c r="H386" s="73" t="s">
        <v>278</v>
      </c>
      <c r="I386" s="494">
        <v>2976266</v>
      </c>
      <c r="J386" s="489">
        <v>2191654</v>
      </c>
      <c r="K386" s="489">
        <v>0</v>
      </c>
      <c r="L386" s="489">
        <v>740779</v>
      </c>
      <c r="M386" s="489">
        <v>43833</v>
      </c>
      <c r="N386" s="489">
        <v>0</v>
      </c>
      <c r="O386" s="490">
        <v>4.3213999999999997</v>
      </c>
      <c r="P386" s="490">
        <v>4.3213999999999997</v>
      </c>
      <c r="Q386" s="500">
        <v>0</v>
      </c>
      <c r="R386" s="502">
        <f t="shared" si="427"/>
        <v>0</v>
      </c>
      <c r="S386" s="492">
        <v>0</v>
      </c>
      <c r="T386" s="492">
        <v>0</v>
      </c>
      <c r="U386" s="492">
        <v>0</v>
      </c>
      <c r="V386" s="492">
        <f>SUM(R386:U386)</f>
        <v>0</v>
      </c>
      <c r="W386" s="492">
        <v>0</v>
      </c>
      <c r="X386" s="492">
        <v>0</v>
      </c>
      <c r="Y386" s="492">
        <v>0</v>
      </c>
      <c r="Z386" s="492">
        <f t="shared" si="434"/>
        <v>0</v>
      </c>
      <c r="AA386" s="492">
        <f t="shared" si="435"/>
        <v>0</v>
      </c>
      <c r="AB386" s="74">
        <f t="shared" si="436"/>
        <v>0</v>
      </c>
      <c r="AC386" s="74">
        <f t="shared" si="437"/>
        <v>0</v>
      </c>
      <c r="AD386" s="492">
        <v>0</v>
      </c>
      <c r="AE386" s="492">
        <v>0</v>
      </c>
      <c r="AF386" s="492">
        <f>SUM(AD386:AE386)</f>
        <v>0</v>
      </c>
      <c r="AG386" s="492">
        <f>AA386+AB386+AC386+AF386</f>
        <v>0</v>
      </c>
      <c r="AH386" s="493">
        <v>0</v>
      </c>
      <c r="AI386" s="493">
        <v>0</v>
      </c>
      <c r="AJ386" s="493">
        <v>0</v>
      </c>
      <c r="AK386" s="493">
        <v>0</v>
      </c>
      <c r="AL386" s="493">
        <v>0</v>
      </c>
      <c r="AM386" s="493">
        <v>0</v>
      </c>
      <c r="AN386" s="493">
        <v>0</v>
      </c>
      <c r="AO386" s="493">
        <f t="shared" si="428"/>
        <v>0</v>
      </c>
      <c r="AP386" s="493">
        <f t="shared" si="429"/>
        <v>0</v>
      </c>
      <c r="AQ386" s="495">
        <f t="shared" si="440"/>
        <v>0</v>
      </c>
      <c r="AR386" s="501">
        <f>I386+AG386</f>
        <v>2976266</v>
      </c>
      <c r="AS386" s="492">
        <f>J386+V386</f>
        <v>2191654</v>
      </c>
      <c r="AT386" s="492">
        <f t="shared" si="503"/>
        <v>0</v>
      </c>
      <c r="AU386" s="492">
        <f t="shared" si="504"/>
        <v>740779</v>
      </c>
      <c r="AV386" s="492">
        <f t="shared" si="504"/>
        <v>43833</v>
      </c>
      <c r="AW386" s="492">
        <f>N386+AF386</f>
        <v>0</v>
      </c>
      <c r="AX386" s="493">
        <f>O386+AQ386</f>
        <v>4.3213999999999997</v>
      </c>
      <c r="AY386" s="493">
        <f t="shared" si="505"/>
        <v>4.3213999999999997</v>
      </c>
      <c r="AZ386" s="495">
        <f t="shared" si="505"/>
        <v>0</v>
      </c>
    </row>
    <row r="387" spans="1:52" ht="14.1" customHeight="1" x14ac:dyDescent="0.2">
      <c r="A387" s="72">
        <v>77</v>
      </c>
      <c r="B387" s="69">
        <v>2460</v>
      </c>
      <c r="C387" s="70">
        <v>600079783</v>
      </c>
      <c r="D387" s="69">
        <v>72741643</v>
      </c>
      <c r="E387" s="71" t="s">
        <v>721</v>
      </c>
      <c r="F387" s="72">
        <v>3143</v>
      </c>
      <c r="G387" s="84" t="s">
        <v>630</v>
      </c>
      <c r="H387" s="73" t="s">
        <v>279</v>
      </c>
      <c r="I387" s="494">
        <v>104328</v>
      </c>
      <c r="J387" s="489">
        <v>73776</v>
      </c>
      <c r="K387" s="489">
        <v>0</v>
      </c>
      <c r="L387" s="489">
        <v>24936</v>
      </c>
      <c r="M387" s="489">
        <v>1476</v>
      </c>
      <c r="N387" s="489">
        <v>4140</v>
      </c>
      <c r="O387" s="490">
        <v>0.28999999999999998</v>
      </c>
      <c r="P387" s="491">
        <v>0</v>
      </c>
      <c r="Q387" s="500">
        <v>0.28999999999999998</v>
      </c>
      <c r="R387" s="502">
        <f t="shared" si="427"/>
        <v>0</v>
      </c>
      <c r="S387" s="492">
        <v>0</v>
      </c>
      <c r="T387" s="492">
        <v>0</v>
      </c>
      <c r="U387" s="492">
        <v>0</v>
      </c>
      <c r="V387" s="492">
        <f>SUM(R387:U387)</f>
        <v>0</v>
      </c>
      <c r="W387" s="492">
        <v>0</v>
      </c>
      <c r="X387" s="492">
        <v>0</v>
      </c>
      <c r="Y387" s="492">
        <v>0</v>
      </c>
      <c r="Z387" s="492">
        <f t="shared" si="434"/>
        <v>0</v>
      </c>
      <c r="AA387" s="492">
        <f t="shared" si="435"/>
        <v>0</v>
      </c>
      <c r="AB387" s="74">
        <f t="shared" si="436"/>
        <v>0</v>
      </c>
      <c r="AC387" s="74">
        <f t="shared" si="437"/>
        <v>0</v>
      </c>
      <c r="AD387" s="492">
        <v>0</v>
      </c>
      <c r="AE387" s="492">
        <v>0</v>
      </c>
      <c r="AF387" s="492">
        <f>SUM(AD387:AE387)</f>
        <v>0</v>
      </c>
      <c r="AG387" s="492">
        <f>AA387+AB387+AC387+AF387</f>
        <v>0</v>
      </c>
      <c r="AH387" s="493">
        <v>0</v>
      </c>
      <c r="AI387" s="493">
        <v>0</v>
      </c>
      <c r="AJ387" s="493">
        <v>0</v>
      </c>
      <c r="AK387" s="493">
        <v>0</v>
      </c>
      <c r="AL387" s="493">
        <v>0</v>
      </c>
      <c r="AM387" s="493">
        <v>0</v>
      </c>
      <c r="AN387" s="493">
        <v>0</v>
      </c>
      <c r="AO387" s="493">
        <f t="shared" si="428"/>
        <v>0</v>
      </c>
      <c r="AP387" s="493">
        <f t="shared" si="429"/>
        <v>0</v>
      </c>
      <c r="AQ387" s="495">
        <f t="shared" si="440"/>
        <v>0</v>
      </c>
      <c r="AR387" s="501">
        <f>I387+AG387</f>
        <v>104328</v>
      </c>
      <c r="AS387" s="492">
        <f>J387+V387</f>
        <v>73776</v>
      </c>
      <c r="AT387" s="492">
        <f t="shared" si="503"/>
        <v>0</v>
      </c>
      <c r="AU387" s="492">
        <f t="shared" si="504"/>
        <v>24936</v>
      </c>
      <c r="AV387" s="492">
        <f t="shared" si="504"/>
        <v>1476</v>
      </c>
      <c r="AW387" s="492">
        <f>N387+AF387</f>
        <v>4140</v>
      </c>
      <c r="AX387" s="493">
        <f>O387+AQ387</f>
        <v>0.28999999999999998</v>
      </c>
      <c r="AY387" s="493">
        <f t="shared" si="505"/>
        <v>0</v>
      </c>
      <c r="AZ387" s="495">
        <f t="shared" si="505"/>
        <v>0.28999999999999998</v>
      </c>
    </row>
    <row r="388" spans="1:52" ht="14.1" customHeight="1" x14ac:dyDescent="0.2">
      <c r="A388" s="78">
        <v>77</v>
      </c>
      <c r="B388" s="75">
        <v>2460</v>
      </c>
      <c r="C388" s="76">
        <v>600079783</v>
      </c>
      <c r="D388" s="75">
        <v>72741643</v>
      </c>
      <c r="E388" s="77" t="s">
        <v>722</v>
      </c>
      <c r="F388" s="78"/>
      <c r="G388" s="77"/>
      <c r="H388" s="79"/>
      <c r="I388" s="80">
        <v>46877134</v>
      </c>
      <c r="J388" s="81">
        <v>33830371</v>
      </c>
      <c r="K388" s="81">
        <v>0</v>
      </c>
      <c r="L388" s="81">
        <v>11434665</v>
      </c>
      <c r="M388" s="81">
        <v>676608</v>
      </c>
      <c r="N388" s="81">
        <v>935490</v>
      </c>
      <c r="O388" s="82">
        <v>62.033299999999997</v>
      </c>
      <c r="P388" s="82">
        <v>49.837699999999998</v>
      </c>
      <c r="Q388" s="452">
        <v>12.195599999999999</v>
      </c>
      <c r="R388" s="80">
        <f t="shared" ref="R388:AZ388" si="506">SUM(R383:R387)</f>
        <v>0</v>
      </c>
      <c r="S388" s="81">
        <f t="shared" si="506"/>
        <v>0</v>
      </c>
      <c r="T388" s="81">
        <f t="shared" si="506"/>
        <v>0</v>
      </c>
      <c r="U388" s="81">
        <f t="shared" si="506"/>
        <v>0</v>
      </c>
      <c r="V388" s="81">
        <f t="shared" si="506"/>
        <v>0</v>
      </c>
      <c r="W388" s="81">
        <f t="shared" si="506"/>
        <v>0</v>
      </c>
      <c r="X388" s="81">
        <f t="shared" si="506"/>
        <v>0</v>
      </c>
      <c r="Y388" s="81">
        <f t="shared" si="506"/>
        <v>0</v>
      </c>
      <c r="Z388" s="81">
        <f t="shared" si="506"/>
        <v>0</v>
      </c>
      <c r="AA388" s="81">
        <f t="shared" si="506"/>
        <v>0</v>
      </c>
      <c r="AB388" s="81">
        <f t="shared" si="506"/>
        <v>0</v>
      </c>
      <c r="AC388" s="81">
        <f t="shared" si="506"/>
        <v>0</v>
      </c>
      <c r="AD388" s="81">
        <f t="shared" si="506"/>
        <v>0</v>
      </c>
      <c r="AE388" s="81">
        <f t="shared" si="506"/>
        <v>0</v>
      </c>
      <c r="AF388" s="81">
        <f t="shared" si="506"/>
        <v>0</v>
      </c>
      <c r="AG388" s="81">
        <f t="shared" si="506"/>
        <v>0</v>
      </c>
      <c r="AH388" s="82">
        <f t="shared" si="506"/>
        <v>0</v>
      </c>
      <c r="AI388" s="82">
        <f t="shared" si="506"/>
        <v>0</v>
      </c>
      <c r="AJ388" s="82">
        <f t="shared" si="506"/>
        <v>0</v>
      </c>
      <c r="AK388" s="82">
        <f t="shared" ref="AK388:AL388" si="507">SUM(AK383:AK387)</f>
        <v>0</v>
      </c>
      <c r="AL388" s="82">
        <f t="shared" si="507"/>
        <v>0</v>
      </c>
      <c r="AM388" s="82">
        <f t="shared" si="506"/>
        <v>0</v>
      </c>
      <c r="AN388" s="82">
        <f t="shared" si="506"/>
        <v>0</v>
      </c>
      <c r="AO388" s="82">
        <f t="shared" si="506"/>
        <v>0</v>
      </c>
      <c r="AP388" s="82">
        <f t="shared" si="506"/>
        <v>0</v>
      </c>
      <c r="AQ388" s="83">
        <f t="shared" si="506"/>
        <v>0</v>
      </c>
      <c r="AR388" s="438">
        <f t="shared" si="506"/>
        <v>46877134</v>
      </c>
      <c r="AS388" s="81">
        <f t="shared" si="506"/>
        <v>33830371</v>
      </c>
      <c r="AT388" s="81">
        <f t="shared" si="506"/>
        <v>0</v>
      </c>
      <c r="AU388" s="81">
        <f t="shared" si="506"/>
        <v>11434665</v>
      </c>
      <c r="AV388" s="81">
        <f t="shared" si="506"/>
        <v>676608</v>
      </c>
      <c r="AW388" s="81">
        <f t="shared" si="506"/>
        <v>935490</v>
      </c>
      <c r="AX388" s="82">
        <f t="shared" si="506"/>
        <v>62.033299999999997</v>
      </c>
      <c r="AY388" s="82">
        <f t="shared" si="506"/>
        <v>49.837699999999998</v>
      </c>
      <c r="AZ388" s="83">
        <f t="shared" si="506"/>
        <v>12.195599999999999</v>
      </c>
    </row>
    <row r="389" spans="1:52" ht="14.1" customHeight="1" x14ac:dyDescent="0.2">
      <c r="A389" s="72">
        <v>78</v>
      </c>
      <c r="B389" s="69">
        <v>2324</v>
      </c>
      <c r="C389" s="70">
        <v>600074030</v>
      </c>
      <c r="D389" s="69">
        <v>71013083</v>
      </c>
      <c r="E389" s="71" t="s">
        <v>723</v>
      </c>
      <c r="F389" s="72">
        <v>3111</v>
      </c>
      <c r="G389" s="71" t="s">
        <v>312</v>
      </c>
      <c r="H389" s="73" t="s">
        <v>278</v>
      </c>
      <c r="I389" s="494">
        <v>11169416</v>
      </c>
      <c r="J389" s="674">
        <v>8158158</v>
      </c>
      <c r="K389" s="674">
        <v>15275</v>
      </c>
      <c r="L389" s="489">
        <v>2762620</v>
      </c>
      <c r="M389" s="489">
        <v>163163</v>
      </c>
      <c r="N389" s="489">
        <v>70200</v>
      </c>
      <c r="O389" s="490">
        <v>18.234999999999999</v>
      </c>
      <c r="P389" s="490">
        <v>13</v>
      </c>
      <c r="Q389" s="500">
        <v>5.2349999999999994</v>
      </c>
      <c r="R389" s="502">
        <f t="shared" si="427"/>
        <v>0</v>
      </c>
      <c r="S389" s="492">
        <v>0</v>
      </c>
      <c r="T389" s="492">
        <v>0</v>
      </c>
      <c r="U389" s="492">
        <v>0</v>
      </c>
      <c r="V389" s="492">
        <f>SUM(R389:U389)</f>
        <v>0</v>
      </c>
      <c r="W389" s="492">
        <v>0</v>
      </c>
      <c r="X389" s="492">
        <v>0</v>
      </c>
      <c r="Y389" s="492">
        <v>0</v>
      </c>
      <c r="Z389" s="492">
        <f t="shared" si="434"/>
        <v>0</v>
      </c>
      <c r="AA389" s="492">
        <f t="shared" si="435"/>
        <v>0</v>
      </c>
      <c r="AB389" s="74">
        <f t="shared" si="436"/>
        <v>0</v>
      </c>
      <c r="AC389" s="74">
        <f t="shared" si="437"/>
        <v>0</v>
      </c>
      <c r="AD389" s="492">
        <v>0</v>
      </c>
      <c r="AE389" s="492">
        <v>0</v>
      </c>
      <c r="AF389" s="492">
        <f>SUM(AD389:AE389)</f>
        <v>0</v>
      </c>
      <c r="AG389" s="492">
        <f>AA389+AB389+AC389+AF389</f>
        <v>0</v>
      </c>
      <c r="AH389" s="493">
        <v>0</v>
      </c>
      <c r="AI389" s="493">
        <v>0</v>
      </c>
      <c r="AJ389" s="493">
        <v>0</v>
      </c>
      <c r="AK389" s="493">
        <v>0</v>
      </c>
      <c r="AL389" s="493">
        <v>0</v>
      </c>
      <c r="AM389" s="493">
        <v>0</v>
      </c>
      <c r="AN389" s="493">
        <v>0</v>
      </c>
      <c r="AO389" s="493">
        <f t="shared" si="428"/>
        <v>0</v>
      </c>
      <c r="AP389" s="493">
        <f t="shared" si="429"/>
        <v>0</v>
      </c>
      <c r="AQ389" s="495">
        <f t="shared" si="440"/>
        <v>0</v>
      </c>
      <c r="AR389" s="501">
        <f>I389+AG389</f>
        <v>11169416</v>
      </c>
      <c r="AS389" s="492">
        <f>J389+V389</f>
        <v>8158158</v>
      </c>
      <c r="AT389" s="492">
        <f t="shared" ref="AT389:AT391" si="508">K389+Z389</f>
        <v>15275</v>
      </c>
      <c r="AU389" s="492">
        <f t="shared" ref="AU389:AV391" si="509">L389+AB389</f>
        <v>2762620</v>
      </c>
      <c r="AV389" s="492">
        <f t="shared" si="509"/>
        <v>163163</v>
      </c>
      <c r="AW389" s="492">
        <f>N389+AF389</f>
        <v>70200</v>
      </c>
      <c r="AX389" s="493">
        <f>O389+AQ389</f>
        <v>18.234999999999999</v>
      </c>
      <c r="AY389" s="493">
        <f t="shared" ref="AY389:AZ391" si="510">P389+AO389</f>
        <v>13</v>
      </c>
      <c r="AZ389" s="495">
        <f t="shared" si="510"/>
        <v>5.2349999999999994</v>
      </c>
    </row>
    <row r="390" spans="1:52" ht="14.1" customHeight="1" x14ac:dyDescent="0.2">
      <c r="A390" s="72">
        <v>78</v>
      </c>
      <c r="B390" s="69">
        <v>2324</v>
      </c>
      <c r="C390" s="70">
        <v>600074030</v>
      </c>
      <c r="D390" s="69">
        <v>71013083</v>
      </c>
      <c r="E390" s="71" t="s">
        <v>723</v>
      </c>
      <c r="F390" s="72">
        <v>3111</v>
      </c>
      <c r="G390" s="84" t="s">
        <v>313</v>
      </c>
      <c r="H390" s="73" t="s">
        <v>279</v>
      </c>
      <c r="I390" s="494">
        <v>1680078</v>
      </c>
      <c r="J390" s="489">
        <v>1237171</v>
      </c>
      <c r="K390" s="489">
        <v>0</v>
      </c>
      <c r="L390" s="489">
        <v>418164</v>
      </c>
      <c r="M390" s="489">
        <v>24743</v>
      </c>
      <c r="N390" s="489">
        <v>0</v>
      </c>
      <c r="O390" s="490">
        <v>3.54</v>
      </c>
      <c r="P390" s="491">
        <v>3.54</v>
      </c>
      <c r="Q390" s="500">
        <v>0</v>
      </c>
      <c r="R390" s="502">
        <f t="shared" si="427"/>
        <v>0</v>
      </c>
      <c r="S390" s="489">
        <v>0</v>
      </c>
      <c r="T390" s="492">
        <v>0</v>
      </c>
      <c r="U390" s="492">
        <v>0</v>
      </c>
      <c r="V390" s="492">
        <f>SUM(R390:U390)</f>
        <v>0</v>
      </c>
      <c r="W390" s="492">
        <v>0</v>
      </c>
      <c r="X390" s="492">
        <v>0</v>
      </c>
      <c r="Y390" s="492">
        <v>0</v>
      </c>
      <c r="Z390" s="492">
        <f t="shared" si="434"/>
        <v>0</v>
      </c>
      <c r="AA390" s="492">
        <f t="shared" si="435"/>
        <v>0</v>
      </c>
      <c r="AB390" s="74">
        <f t="shared" si="436"/>
        <v>0</v>
      </c>
      <c r="AC390" s="74">
        <f t="shared" si="437"/>
        <v>0</v>
      </c>
      <c r="AD390" s="492">
        <v>0</v>
      </c>
      <c r="AE390" s="492">
        <v>0</v>
      </c>
      <c r="AF390" s="492">
        <f>SUM(AD390:AE390)</f>
        <v>0</v>
      </c>
      <c r="AG390" s="492">
        <f>AA390+AB390+AC390+AF390</f>
        <v>0</v>
      </c>
      <c r="AH390" s="493">
        <v>0</v>
      </c>
      <c r="AI390" s="493">
        <v>0</v>
      </c>
      <c r="AJ390" s="493">
        <v>0</v>
      </c>
      <c r="AK390" s="493">
        <v>0</v>
      </c>
      <c r="AL390" s="493">
        <v>0</v>
      </c>
      <c r="AM390" s="493">
        <v>0</v>
      </c>
      <c r="AN390" s="493">
        <v>0</v>
      </c>
      <c r="AO390" s="493">
        <f t="shared" si="428"/>
        <v>0</v>
      </c>
      <c r="AP390" s="493">
        <f t="shared" si="429"/>
        <v>0</v>
      </c>
      <c r="AQ390" s="495">
        <f t="shared" si="440"/>
        <v>0</v>
      </c>
      <c r="AR390" s="501">
        <f>I390+AG390</f>
        <v>1680078</v>
      </c>
      <c r="AS390" s="492">
        <f>J390+V390</f>
        <v>1237171</v>
      </c>
      <c r="AT390" s="492">
        <f t="shared" si="508"/>
        <v>0</v>
      </c>
      <c r="AU390" s="492">
        <f t="shared" si="509"/>
        <v>418164</v>
      </c>
      <c r="AV390" s="492">
        <f t="shared" si="509"/>
        <v>24743</v>
      </c>
      <c r="AW390" s="492">
        <f>N390+AF390</f>
        <v>0</v>
      </c>
      <c r="AX390" s="493">
        <f>O390+AQ390</f>
        <v>3.54</v>
      </c>
      <c r="AY390" s="493">
        <f t="shared" si="510"/>
        <v>3.54</v>
      </c>
      <c r="AZ390" s="495">
        <f t="shared" si="510"/>
        <v>0</v>
      </c>
    </row>
    <row r="391" spans="1:52" ht="14.1" customHeight="1" x14ac:dyDescent="0.2">
      <c r="A391" s="72">
        <v>78</v>
      </c>
      <c r="B391" s="69">
        <v>2324</v>
      </c>
      <c r="C391" s="70">
        <v>600074030</v>
      </c>
      <c r="D391" s="69">
        <v>71013083</v>
      </c>
      <c r="E391" s="71" t="s">
        <v>723</v>
      </c>
      <c r="F391" s="72">
        <v>3141</v>
      </c>
      <c r="G391" s="71" t="s">
        <v>316</v>
      </c>
      <c r="H391" s="73" t="s">
        <v>279</v>
      </c>
      <c r="I391" s="494">
        <v>1214700</v>
      </c>
      <c r="J391" s="489">
        <v>889214</v>
      </c>
      <c r="K391" s="489">
        <v>0</v>
      </c>
      <c r="L391" s="489">
        <v>300554</v>
      </c>
      <c r="M391" s="489">
        <v>17784</v>
      </c>
      <c r="N391" s="489">
        <v>7148</v>
      </c>
      <c r="O391" s="490">
        <v>2.8</v>
      </c>
      <c r="P391" s="491">
        <v>0</v>
      </c>
      <c r="Q391" s="500">
        <v>2.8</v>
      </c>
      <c r="R391" s="502">
        <f t="shared" si="427"/>
        <v>0</v>
      </c>
      <c r="S391" s="492">
        <v>0</v>
      </c>
      <c r="T391" s="492">
        <v>0</v>
      </c>
      <c r="U391" s="492">
        <v>0</v>
      </c>
      <c r="V391" s="492">
        <f>SUM(R391:U391)</f>
        <v>0</v>
      </c>
      <c r="W391" s="492">
        <v>0</v>
      </c>
      <c r="X391" s="492">
        <v>0</v>
      </c>
      <c r="Y391" s="492">
        <v>0</v>
      </c>
      <c r="Z391" s="492">
        <f t="shared" si="434"/>
        <v>0</v>
      </c>
      <c r="AA391" s="492">
        <f t="shared" si="435"/>
        <v>0</v>
      </c>
      <c r="AB391" s="74">
        <f t="shared" si="436"/>
        <v>0</v>
      </c>
      <c r="AC391" s="74">
        <f t="shared" si="437"/>
        <v>0</v>
      </c>
      <c r="AD391" s="492">
        <v>0</v>
      </c>
      <c r="AE391" s="492">
        <v>0</v>
      </c>
      <c r="AF391" s="492">
        <f>SUM(AD391:AE391)</f>
        <v>0</v>
      </c>
      <c r="AG391" s="492">
        <f>AA391+AB391+AC391+AF391</f>
        <v>0</v>
      </c>
      <c r="AH391" s="493">
        <v>0</v>
      </c>
      <c r="AI391" s="493">
        <v>0</v>
      </c>
      <c r="AJ391" s="493">
        <v>0</v>
      </c>
      <c r="AK391" s="493">
        <v>0</v>
      </c>
      <c r="AL391" s="493">
        <v>0</v>
      </c>
      <c r="AM391" s="493">
        <v>0</v>
      </c>
      <c r="AN391" s="493">
        <v>0</v>
      </c>
      <c r="AO391" s="493">
        <f t="shared" si="428"/>
        <v>0</v>
      </c>
      <c r="AP391" s="493">
        <f t="shared" si="429"/>
        <v>0</v>
      </c>
      <c r="AQ391" s="495">
        <f t="shared" si="440"/>
        <v>0</v>
      </c>
      <c r="AR391" s="501">
        <f>I391+AG391</f>
        <v>1214700</v>
      </c>
      <c r="AS391" s="492">
        <f>J391+V391</f>
        <v>889214</v>
      </c>
      <c r="AT391" s="492">
        <f t="shared" si="508"/>
        <v>0</v>
      </c>
      <c r="AU391" s="492">
        <f t="shared" si="509"/>
        <v>300554</v>
      </c>
      <c r="AV391" s="492">
        <f t="shared" si="509"/>
        <v>17784</v>
      </c>
      <c r="AW391" s="492">
        <f>N391+AF391</f>
        <v>7148</v>
      </c>
      <c r="AX391" s="493">
        <f>O391+AQ391</f>
        <v>2.8</v>
      </c>
      <c r="AY391" s="493">
        <f t="shared" si="510"/>
        <v>0</v>
      </c>
      <c r="AZ391" s="495">
        <f t="shared" si="510"/>
        <v>2.8</v>
      </c>
    </row>
    <row r="392" spans="1:52" ht="14.1" customHeight="1" x14ac:dyDescent="0.2">
      <c r="A392" s="78">
        <v>78</v>
      </c>
      <c r="B392" s="75">
        <v>2324</v>
      </c>
      <c r="C392" s="76">
        <v>600074030</v>
      </c>
      <c r="D392" s="75">
        <v>71013083</v>
      </c>
      <c r="E392" s="77" t="s">
        <v>724</v>
      </c>
      <c r="F392" s="78"/>
      <c r="G392" s="77"/>
      <c r="H392" s="79"/>
      <c r="I392" s="80">
        <v>14064194</v>
      </c>
      <c r="J392" s="81">
        <v>10284543</v>
      </c>
      <c r="K392" s="81">
        <v>15275</v>
      </c>
      <c r="L392" s="81">
        <v>3481338</v>
      </c>
      <c r="M392" s="81">
        <v>205690</v>
      </c>
      <c r="N392" s="81">
        <v>77348</v>
      </c>
      <c r="O392" s="82">
        <v>24.574999999999999</v>
      </c>
      <c r="P392" s="82">
        <v>16.54</v>
      </c>
      <c r="Q392" s="452">
        <v>8.0350000000000001</v>
      </c>
      <c r="R392" s="80">
        <f t="shared" ref="R392:AZ392" si="511">SUM(R389:R391)</f>
        <v>0</v>
      </c>
      <c r="S392" s="81">
        <f t="shared" si="511"/>
        <v>0</v>
      </c>
      <c r="T392" s="81">
        <f t="shared" si="511"/>
        <v>0</v>
      </c>
      <c r="U392" s="81">
        <f t="shared" si="511"/>
        <v>0</v>
      </c>
      <c r="V392" s="81">
        <f t="shared" si="511"/>
        <v>0</v>
      </c>
      <c r="W392" s="81">
        <f t="shared" si="511"/>
        <v>0</v>
      </c>
      <c r="X392" s="81">
        <f t="shared" si="511"/>
        <v>0</v>
      </c>
      <c r="Y392" s="81">
        <f t="shared" si="511"/>
        <v>0</v>
      </c>
      <c r="Z392" s="81">
        <f t="shared" si="511"/>
        <v>0</v>
      </c>
      <c r="AA392" s="81">
        <f t="shared" si="511"/>
        <v>0</v>
      </c>
      <c r="AB392" s="81">
        <f t="shared" si="511"/>
        <v>0</v>
      </c>
      <c r="AC392" s="81">
        <f t="shared" si="511"/>
        <v>0</v>
      </c>
      <c r="AD392" s="81">
        <f t="shared" si="511"/>
        <v>0</v>
      </c>
      <c r="AE392" s="81">
        <f t="shared" si="511"/>
        <v>0</v>
      </c>
      <c r="AF392" s="81">
        <f t="shared" si="511"/>
        <v>0</v>
      </c>
      <c r="AG392" s="81">
        <f t="shared" si="511"/>
        <v>0</v>
      </c>
      <c r="AH392" s="82">
        <f t="shared" si="511"/>
        <v>0</v>
      </c>
      <c r="AI392" s="82">
        <f t="shared" si="511"/>
        <v>0</v>
      </c>
      <c r="AJ392" s="82">
        <f t="shared" si="511"/>
        <v>0</v>
      </c>
      <c r="AK392" s="82">
        <f t="shared" ref="AK392:AL392" si="512">SUM(AK389:AK391)</f>
        <v>0</v>
      </c>
      <c r="AL392" s="82">
        <f t="shared" si="512"/>
        <v>0</v>
      </c>
      <c r="AM392" s="82">
        <f t="shared" si="511"/>
        <v>0</v>
      </c>
      <c r="AN392" s="82">
        <f t="shared" si="511"/>
        <v>0</v>
      </c>
      <c r="AO392" s="82">
        <f t="shared" si="511"/>
        <v>0</v>
      </c>
      <c r="AP392" s="82">
        <f t="shared" si="511"/>
        <v>0</v>
      </c>
      <c r="AQ392" s="83">
        <f t="shared" si="511"/>
        <v>0</v>
      </c>
      <c r="AR392" s="438">
        <f t="shared" si="511"/>
        <v>14064194</v>
      </c>
      <c r="AS392" s="81">
        <f t="shared" si="511"/>
        <v>10284543</v>
      </c>
      <c r="AT392" s="81">
        <f t="shared" si="511"/>
        <v>15275</v>
      </c>
      <c r="AU392" s="81">
        <f t="shared" si="511"/>
        <v>3481338</v>
      </c>
      <c r="AV392" s="81">
        <f t="shared" si="511"/>
        <v>205690</v>
      </c>
      <c r="AW392" s="81">
        <f t="shared" si="511"/>
        <v>77348</v>
      </c>
      <c r="AX392" s="82">
        <f t="shared" si="511"/>
        <v>24.574999999999999</v>
      </c>
      <c r="AY392" s="82">
        <f t="shared" si="511"/>
        <v>16.54</v>
      </c>
      <c r="AZ392" s="83">
        <f t="shared" si="511"/>
        <v>8.0350000000000001</v>
      </c>
    </row>
    <row r="393" spans="1:52" ht="14.1" customHeight="1" x14ac:dyDescent="0.2">
      <c r="A393" s="72">
        <v>79</v>
      </c>
      <c r="B393" s="69">
        <v>2325</v>
      </c>
      <c r="C393" s="70">
        <v>600074561</v>
      </c>
      <c r="D393" s="69">
        <v>46750321</v>
      </c>
      <c r="E393" s="71" t="s">
        <v>725</v>
      </c>
      <c r="F393" s="72">
        <v>3113</v>
      </c>
      <c r="G393" s="71" t="s">
        <v>315</v>
      </c>
      <c r="H393" s="73" t="s">
        <v>278</v>
      </c>
      <c r="I393" s="494">
        <v>28973836</v>
      </c>
      <c r="J393" s="489">
        <v>20885809</v>
      </c>
      <c r="K393" s="489">
        <v>14430</v>
      </c>
      <c r="L393" s="489">
        <v>7064281</v>
      </c>
      <c r="M393" s="489">
        <v>417716</v>
      </c>
      <c r="N393" s="489">
        <v>591600</v>
      </c>
      <c r="O393" s="490">
        <v>37.077300000000001</v>
      </c>
      <c r="P393" s="490">
        <v>29.494699999999998</v>
      </c>
      <c r="Q393" s="500">
        <v>7.5826000000000002</v>
      </c>
      <c r="R393" s="502">
        <f t="shared" si="427"/>
        <v>0</v>
      </c>
      <c r="S393" s="492">
        <v>0</v>
      </c>
      <c r="T393" s="492">
        <v>0</v>
      </c>
      <c r="U393" s="492">
        <v>0</v>
      </c>
      <c r="V393" s="492">
        <f t="shared" ref="V393:V398" si="513">SUM(R393:U393)</f>
        <v>0</v>
      </c>
      <c r="W393" s="492">
        <v>0</v>
      </c>
      <c r="X393" s="492">
        <v>0</v>
      </c>
      <c r="Y393" s="492">
        <v>0</v>
      </c>
      <c r="Z393" s="492">
        <f t="shared" si="434"/>
        <v>0</v>
      </c>
      <c r="AA393" s="492">
        <f t="shared" si="435"/>
        <v>0</v>
      </c>
      <c r="AB393" s="74">
        <f t="shared" si="436"/>
        <v>0</v>
      </c>
      <c r="AC393" s="74">
        <f t="shared" si="437"/>
        <v>0</v>
      </c>
      <c r="AD393" s="492">
        <v>0</v>
      </c>
      <c r="AE393" s="492">
        <v>0</v>
      </c>
      <c r="AF393" s="492">
        <f t="shared" ref="AF393:AF398" si="514">SUM(AD393:AE393)</f>
        <v>0</v>
      </c>
      <c r="AG393" s="492">
        <f t="shared" ref="AG393:AG398" si="515">AA393+AB393+AC393+AF393</f>
        <v>0</v>
      </c>
      <c r="AH393" s="493">
        <v>0</v>
      </c>
      <c r="AI393" s="493">
        <v>0</v>
      </c>
      <c r="AJ393" s="493">
        <v>0</v>
      </c>
      <c r="AK393" s="493">
        <v>0</v>
      </c>
      <c r="AL393" s="493">
        <v>0</v>
      </c>
      <c r="AM393" s="493">
        <v>0</v>
      </c>
      <c r="AN393" s="493">
        <v>0</v>
      </c>
      <c r="AO393" s="493">
        <f t="shared" si="428"/>
        <v>0</v>
      </c>
      <c r="AP393" s="493">
        <f t="shared" si="429"/>
        <v>0</v>
      </c>
      <c r="AQ393" s="495">
        <f t="shared" si="440"/>
        <v>0</v>
      </c>
      <c r="AR393" s="501">
        <f t="shared" ref="AR393:AR398" si="516">I393+AG393</f>
        <v>28973836</v>
      </c>
      <c r="AS393" s="492">
        <f t="shared" ref="AS393:AS398" si="517">J393+V393</f>
        <v>20885809</v>
      </c>
      <c r="AT393" s="492">
        <f t="shared" ref="AT393:AT398" si="518">K393+Z393</f>
        <v>14430</v>
      </c>
      <c r="AU393" s="492">
        <f t="shared" ref="AU393:AV398" si="519">L393+AB393</f>
        <v>7064281</v>
      </c>
      <c r="AV393" s="492">
        <f t="shared" si="519"/>
        <v>417716</v>
      </c>
      <c r="AW393" s="492">
        <f t="shared" ref="AW393:AW398" si="520">N393+AF393</f>
        <v>591600</v>
      </c>
      <c r="AX393" s="493">
        <f t="shared" ref="AX393:AX398" si="521">O393+AQ393</f>
        <v>37.077300000000001</v>
      </c>
      <c r="AY393" s="493">
        <f t="shared" ref="AY393:AZ398" si="522">P393+AO393</f>
        <v>29.494699999999998</v>
      </c>
      <c r="AZ393" s="495">
        <f t="shared" si="522"/>
        <v>7.5826000000000002</v>
      </c>
    </row>
    <row r="394" spans="1:52" ht="14.1" customHeight="1" x14ac:dyDescent="0.2">
      <c r="A394" s="72">
        <v>79</v>
      </c>
      <c r="B394" s="69">
        <v>2325</v>
      </c>
      <c r="C394" s="70">
        <v>600074561</v>
      </c>
      <c r="D394" s="69">
        <v>46750321</v>
      </c>
      <c r="E394" s="71" t="s">
        <v>725</v>
      </c>
      <c r="F394" s="72">
        <v>3113</v>
      </c>
      <c r="G394" s="84" t="s">
        <v>313</v>
      </c>
      <c r="H394" s="73" t="s">
        <v>279</v>
      </c>
      <c r="I394" s="494">
        <v>3442547</v>
      </c>
      <c r="J394" s="489">
        <v>2527280</v>
      </c>
      <c r="K394" s="489">
        <v>0</v>
      </c>
      <c r="L394" s="489">
        <v>854221</v>
      </c>
      <c r="M394" s="489">
        <v>50546</v>
      </c>
      <c r="N394" s="489">
        <v>10500</v>
      </c>
      <c r="O394" s="490">
        <v>7.23</v>
      </c>
      <c r="P394" s="491">
        <v>7.23</v>
      </c>
      <c r="Q394" s="500">
        <v>0</v>
      </c>
      <c r="R394" s="502">
        <f t="shared" si="427"/>
        <v>0</v>
      </c>
      <c r="S394" s="489">
        <v>129917</v>
      </c>
      <c r="T394" s="492">
        <v>0</v>
      </c>
      <c r="U394" s="492">
        <v>0</v>
      </c>
      <c r="V394" s="492">
        <f t="shared" si="513"/>
        <v>129917</v>
      </c>
      <c r="W394" s="492">
        <v>0</v>
      </c>
      <c r="X394" s="492">
        <v>0</v>
      </c>
      <c r="Y394" s="492">
        <v>0</v>
      </c>
      <c r="Z394" s="492">
        <f t="shared" si="434"/>
        <v>0</v>
      </c>
      <c r="AA394" s="492">
        <f t="shared" si="435"/>
        <v>129917</v>
      </c>
      <c r="AB394" s="74">
        <f t="shared" si="436"/>
        <v>43912</v>
      </c>
      <c r="AC394" s="74">
        <f t="shared" si="437"/>
        <v>2598</v>
      </c>
      <c r="AD394" s="489">
        <v>0</v>
      </c>
      <c r="AE394" s="492">
        <v>0</v>
      </c>
      <c r="AF394" s="492">
        <f t="shared" si="514"/>
        <v>0</v>
      </c>
      <c r="AG394" s="492">
        <f t="shared" si="515"/>
        <v>176427</v>
      </c>
      <c r="AH394" s="493">
        <v>0</v>
      </c>
      <c r="AI394" s="493">
        <v>0</v>
      </c>
      <c r="AJ394" s="493">
        <v>0.38</v>
      </c>
      <c r="AK394" s="493">
        <v>0</v>
      </c>
      <c r="AL394" s="493">
        <v>0</v>
      </c>
      <c r="AM394" s="493">
        <v>0</v>
      </c>
      <c r="AN394" s="493">
        <v>0</v>
      </c>
      <c r="AO394" s="493">
        <f t="shared" si="428"/>
        <v>0.38</v>
      </c>
      <c r="AP394" s="493">
        <f t="shared" si="429"/>
        <v>0</v>
      </c>
      <c r="AQ394" s="495">
        <f t="shared" si="440"/>
        <v>0.38</v>
      </c>
      <c r="AR394" s="501">
        <f t="shared" si="516"/>
        <v>3618974</v>
      </c>
      <c r="AS394" s="492">
        <f t="shared" si="517"/>
        <v>2657197</v>
      </c>
      <c r="AT394" s="492">
        <f t="shared" si="518"/>
        <v>0</v>
      </c>
      <c r="AU394" s="492">
        <f t="shared" si="519"/>
        <v>898133</v>
      </c>
      <c r="AV394" s="492">
        <f t="shared" si="519"/>
        <v>53144</v>
      </c>
      <c r="AW394" s="492">
        <f t="shared" si="520"/>
        <v>10500</v>
      </c>
      <c r="AX394" s="493">
        <f t="shared" si="521"/>
        <v>7.61</v>
      </c>
      <c r="AY394" s="493">
        <f t="shared" si="522"/>
        <v>7.61</v>
      </c>
      <c r="AZ394" s="495">
        <f t="shared" si="522"/>
        <v>0</v>
      </c>
    </row>
    <row r="395" spans="1:52" ht="14.1" customHeight="1" x14ac:dyDescent="0.2">
      <c r="A395" s="72">
        <v>79</v>
      </c>
      <c r="B395" s="69">
        <v>2325</v>
      </c>
      <c r="C395" s="70">
        <v>600074561</v>
      </c>
      <c r="D395" s="69">
        <v>46750321</v>
      </c>
      <c r="E395" s="71" t="s">
        <v>725</v>
      </c>
      <c r="F395" s="72">
        <v>3141</v>
      </c>
      <c r="G395" s="71" t="s">
        <v>316</v>
      </c>
      <c r="H395" s="73" t="s">
        <v>279</v>
      </c>
      <c r="I395" s="494">
        <v>2719458</v>
      </c>
      <c r="J395" s="489">
        <v>1987161</v>
      </c>
      <c r="K395" s="489">
        <v>0</v>
      </c>
      <c r="L395" s="489">
        <v>671660</v>
      </c>
      <c r="M395" s="489">
        <v>39743</v>
      </c>
      <c r="N395" s="489">
        <v>20894</v>
      </c>
      <c r="O395" s="490">
        <v>6.26</v>
      </c>
      <c r="P395" s="491">
        <v>0</v>
      </c>
      <c r="Q395" s="500">
        <v>6.26</v>
      </c>
      <c r="R395" s="502">
        <f t="shared" si="427"/>
        <v>0</v>
      </c>
      <c r="S395" s="492">
        <v>0</v>
      </c>
      <c r="T395" s="492">
        <v>0</v>
      </c>
      <c r="U395" s="492">
        <v>0</v>
      </c>
      <c r="V395" s="492">
        <f t="shared" si="513"/>
        <v>0</v>
      </c>
      <c r="W395" s="492">
        <v>0</v>
      </c>
      <c r="X395" s="492">
        <v>0</v>
      </c>
      <c r="Y395" s="492">
        <v>0</v>
      </c>
      <c r="Z395" s="492">
        <f t="shared" si="434"/>
        <v>0</v>
      </c>
      <c r="AA395" s="492">
        <f t="shared" si="435"/>
        <v>0</v>
      </c>
      <c r="AB395" s="74">
        <f t="shared" si="436"/>
        <v>0</v>
      </c>
      <c r="AC395" s="74">
        <f t="shared" si="437"/>
        <v>0</v>
      </c>
      <c r="AD395" s="492">
        <v>0</v>
      </c>
      <c r="AE395" s="492">
        <v>0</v>
      </c>
      <c r="AF395" s="492">
        <f t="shared" si="514"/>
        <v>0</v>
      </c>
      <c r="AG395" s="492">
        <f t="shared" si="515"/>
        <v>0</v>
      </c>
      <c r="AH395" s="493">
        <v>0</v>
      </c>
      <c r="AI395" s="493">
        <v>0</v>
      </c>
      <c r="AJ395" s="493">
        <v>0</v>
      </c>
      <c r="AK395" s="493">
        <v>0</v>
      </c>
      <c r="AL395" s="493">
        <v>0</v>
      </c>
      <c r="AM395" s="493">
        <v>0</v>
      </c>
      <c r="AN395" s="493">
        <v>0</v>
      </c>
      <c r="AO395" s="493">
        <f t="shared" si="428"/>
        <v>0</v>
      </c>
      <c r="AP395" s="493">
        <f t="shared" si="429"/>
        <v>0</v>
      </c>
      <c r="AQ395" s="495">
        <f t="shared" si="440"/>
        <v>0</v>
      </c>
      <c r="AR395" s="501">
        <f t="shared" si="516"/>
        <v>2719458</v>
      </c>
      <c r="AS395" s="492">
        <f t="shared" si="517"/>
        <v>1987161</v>
      </c>
      <c r="AT395" s="492">
        <f t="shared" si="518"/>
        <v>0</v>
      </c>
      <c r="AU395" s="492">
        <f t="shared" si="519"/>
        <v>671660</v>
      </c>
      <c r="AV395" s="492">
        <f t="shared" si="519"/>
        <v>39743</v>
      </c>
      <c r="AW395" s="492">
        <f t="shared" si="520"/>
        <v>20894</v>
      </c>
      <c r="AX395" s="493">
        <f t="shared" si="521"/>
        <v>6.26</v>
      </c>
      <c r="AY395" s="493">
        <f t="shared" si="522"/>
        <v>0</v>
      </c>
      <c r="AZ395" s="495">
        <f t="shared" si="522"/>
        <v>6.26</v>
      </c>
    </row>
    <row r="396" spans="1:52" ht="14.1" customHeight="1" x14ac:dyDescent="0.2">
      <c r="A396" s="72">
        <v>79</v>
      </c>
      <c r="B396" s="69">
        <v>2325</v>
      </c>
      <c r="C396" s="70">
        <v>600074561</v>
      </c>
      <c r="D396" s="69">
        <v>46750321</v>
      </c>
      <c r="E396" s="71" t="s">
        <v>725</v>
      </c>
      <c r="F396" s="72">
        <v>3143</v>
      </c>
      <c r="G396" s="84" t="s">
        <v>629</v>
      </c>
      <c r="H396" s="73" t="s">
        <v>278</v>
      </c>
      <c r="I396" s="494">
        <v>2193166</v>
      </c>
      <c r="J396" s="489">
        <v>1597193</v>
      </c>
      <c r="K396" s="489">
        <v>18070</v>
      </c>
      <c r="L396" s="489">
        <v>545959</v>
      </c>
      <c r="M396" s="489">
        <v>31944</v>
      </c>
      <c r="N396" s="489">
        <v>0</v>
      </c>
      <c r="O396" s="490">
        <v>3.46</v>
      </c>
      <c r="P396" s="490">
        <v>3.46</v>
      </c>
      <c r="Q396" s="500">
        <v>0</v>
      </c>
      <c r="R396" s="502">
        <f t="shared" si="427"/>
        <v>0</v>
      </c>
      <c r="S396" s="492">
        <v>0</v>
      </c>
      <c r="T396" s="492">
        <v>0</v>
      </c>
      <c r="U396" s="492">
        <v>0</v>
      </c>
      <c r="V396" s="492">
        <f t="shared" si="513"/>
        <v>0</v>
      </c>
      <c r="W396" s="492">
        <v>0</v>
      </c>
      <c r="X396" s="492">
        <v>0</v>
      </c>
      <c r="Y396" s="492">
        <v>0</v>
      </c>
      <c r="Z396" s="492">
        <f t="shared" si="434"/>
        <v>0</v>
      </c>
      <c r="AA396" s="492">
        <f t="shared" si="435"/>
        <v>0</v>
      </c>
      <c r="AB396" s="74">
        <f t="shared" si="436"/>
        <v>0</v>
      </c>
      <c r="AC396" s="74">
        <f t="shared" si="437"/>
        <v>0</v>
      </c>
      <c r="AD396" s="492">
        <v>0</v>
      </c>
      <c r="AE396" s="492">
        <v>0</v>
      </c>
      <c r="AF396" s="492">
        <f t="shared" si="514"/>
        <v>0</v>
      </c>
      <c r="AG396" s="492">
        <f t="shared" si="515"/>
        <v>0</v>
      </c>
      <c r="AH396" s="493">
        <v>0</v>
      </c>
      <c r="AI396" s="493">
        <v>0</v>
      </c>
      <c r="AJ396" s="493">
        <v>0</v>
      </c>
      <c r="AK396" s="493">
        <v>0</v>
      </c>
      <c r="AL396" s="493">
        <v>0</v>
      </c>
      <c r="AM396" s="493">
        <v>0</v>
      </c>
      <c r="AN396" s="493">
        <v>0</v>
      </c>
      <c r="AO396" s="493">
        <f t="shared" si="428"/>
        <v>0</v>
      </c>
      <c r="AP396" s="493">
        <f t="shared" si="429"/>
        <v>0</v>
      </c>
      <c r="AQ396" s="495">
        <f t="shared" si="440"/>
        <v>0</v>
      </c>
      <c r="AR396" s="501">
        <f t="shared" si="516"/>
        <v>2193166</v>
      </c>
      <c r="AS396" s="492">
        <f t="shared" si="517"/>
        <v>1597193</v>
      </c>
      <c r="AT396" s="492">
        <f t="shared" si="518"/>
        <v>18070</v>
      </c>
      <c r="AU396" s="492">
        <f t="shared" si="519"/>
        <v>545959</v>
      </c>
      <c r="AV396" s="492">
        <f t="shared" si="519"/>
        <v>31944</v>
      </c>
      <c r="AW396" s="492">
        <f t="shared" si="520"/>
        <v>0</v>
      </c>
      <c r="AX396" s="493">
        <f t="shared" si="521"/>
        <v>3.46</v>
      </c>
      <c r="AY396" s="493">
        <f t="shared" si="522"/>
        <v>3.46</v>
      </c>
      <c r="AZ396" s="495">
        <f t="shared" si="522"/>
        <v>0</v>
      </c>
    </row>
    <row r="397" spans="1:52" ht="14.1" customHeight="1" x14ac:dyDescent="0.2">
      <c r="A397" s="72">
        <v>79</v>
      </c>
      <c r="B397" s="69">
        <v>2325</v>
      </c>
      <c r="C397" s="70">
        <v>600074561</v>
      </c>
      <c r="D397" s="69">
        <v>46750321</v>
      </c>
      <c r="E397" s="71" t="s">
        <v>725</v>
      </c>
      <c r="F397" s="72">
        <v>3143</v>
      </c>
      <c r="G397" s="84" t="s">
        <v>630</v>
      </c>
      <c r="H397" s="73" t="s">
        <v>279</v>
      </c>
      <c r="I397" s="494">
        <v>86940</v>
      </c>
      <c r="J397" s="489">
        <v>61480</v>
      </c>
      <c r="K397" s="489">
        <v>0</v>
      </c>
      <c r="L397" s="489">
        <v>20780</v>
      </c>
      <c r="M397" s="489">
        <v>1230</v>
      </c>
      <c r="N397" s="489">
        <v>3450</v>
      </c>
      <c r="O397" s="490">
        <v>0.24</v>
      </c>
      <c r="P397" s="491">
        <v>0</v>
      </c>
      <c r="Q397" s="500">
        <v>0.24</v>
      </c>
      <c r="R397" s="502">
        <f t="shared" ref="R397:R459" si="523">W397*-1</f>
        <v>0</v>
      </c>
      <c r="S397" s="492">
        <v>0</v>
      </c>
      <c r="T397" s="492">
        <v>0</v>
      </c>
      <c r="U397" s="492">
        <v>0</v>
      </c>
      <c r="V397" s="492">
        <f t="shared" si="513"/>
        <v>0</v>
      </c>
      <c r="W397" s="492">
        <v>0</v>
      </c>
      <c r="X397" s="492">
        <v>0</v>
      </c>
      <c r="Y397" s="492">
        <v>0</v>
      </c>
      <c r="Z397" s="492">
        <f t="shared" si="434"/>
        <v>0</v>
      </c>
      <c r="AA397" s="492">
        <f t="shared" si="435"/>
        <v>0</v>
      </c>
      <c r="AB397" s="74">
        <f t="shared" si="436"/>
        <v>0</v>
      </c>
      <c r="AC397" s="74">
        <f t="shared" si="437"/>
        <v>0</v>
      </c>
      <c r="AD397" s="492">
        <v>0</v>
      </c>
      <c r="AE397" s="492">
        <v>0</v>
      </c>
      <c r="AF397" s="492">
        <f t="shared" si="514"/>
        <v>0</v>
      </c>
      <c r="AG397" s="492">
        <f t="shared" si="515"/>
        <v>0</v>
      </c>
      <c r="AH397" s="493">
        <v>0</v>
      </c>
      <c r="AI397" s="493">
        <v>0</v>
      </c>
      <c r="AJ397" s="493">
        <v>0</v>
      </c>
      <c r="AK397" s="493">
        <v>0</v>
      </c>
      <c r="AL397" s="493">
        <v>0</v>
      </c>
      <c r="AM397" s="493">
        <v>0</v>
      </c>
      <c r="AN397" s="493">
        <v>0</v>
      </c>
      <c r="AO397" s="493">
        <f t="shared" ref="AO397:AO459" si="524">AH397+AJ397+AK397+AM397</f>
        <v>0</v>
      </c>
      <c r="AP397" s="493">
        <f t="shared" ref="AP397:AP459" si="525">AI397+AL397+AN397</f>
        <v>0</v>
      </c>
      <c r="AQ397" s="495">
        <f t="shared" si="440"/>
        <v>0</v>
      </c>
      <c r="AR397" s="501">
        <f t="shared" si="516"/>
        <v>86940</v>
      </c>
      <c r="AS397" s="492">
        <f t="shared" si="517"/>
        <v>61480</v>
      </c>
      <c r="AT397" s="492">
        <f t="shared" si="518"/>
        <v>0</v>
      </c>
      <c r="AU397" s="492">
        <f t="shared" si="519"/>
        <v>20780</v>
      </c>
      <c r="AV397" s="492">
        <f t="shared" si="519"/>
        <v>1230</v>
      </c>
      <c r="AW397" s="492">
        <f t="shared" si="520"/>
        <v>3450</v>
      </c>
      <c r="AX397" s="493">
        <f t="shared" si="521"/>
        <v>0.24</v>
      </c>
      <c r="AY397" s="493">
        <f t="shared" si="522"/>
        <v>0</v>
      </c>
      <c r="AZ397" s="495">
        <f t="shared" si="522"/>
        <v>0.24</v>
      </c>
    </row>
    <row r="398" spans="1:52" ht="14.1" customHeight="1" x14ac:dyDescent="0.2">
      <c r="A398" s="72">
        <v>79</v>
      </c>
      <c r="B398" s="69">
        <v>2325</v>
      </c>
      <c r="C398" s="70">
        <v>600074561</v>
      </c>
      <c r="D398" s="69">
        <v>46750321</v>
      </c>
      <c r="E398" s="71" t="s">
        <v>725</v>
      </c>
      <c r="F398" s="72">
        <v>3231</v>
      </c>
      <c r="G398" s="71" t="s">
        <v>317</v>
      </c>
      <c r="H398" s="73" t="s">
        <v>278</v>
      </c>
      <c r="I398" s="494">
        <v>3403096</v>
      </c>
      <c r="J398" s="489">
        <v>2497891</v>
      </c>
      <c r="K398" s="489">
        <v>0</v>
      </c>
      <c r="L398" s="489">
        <v>844287</v>
      </c>
      <c r="M398" s="489">
        <v>49958</v>
      </c>
      <c r="N398" s="489">
        <v>10960</v>
      </c>
      <c r="O398" s="490">
        <v>4.6379000000000001</v>
      </c>
      <c r="P398" s="491">
        <v>4.1239999999999997</v>
      </c>
      <c r="Q398" s="500">
        <v>0.51390000000000002</v>
      </c>
      <c r="R398" s="502">
        <f t="shared" si="523"/>
        <v>0</v>
      </c>
      <c r="S398" s="492">
        <v>0</v>
      </c>
      <c r="T398" s="492">
        <v>0</v>
      </c>
      <c r="U398" s="492">
        <v>0</v>
      </c>
      <c r="V398" s="492">
        <f t="shared" si="513"/>
        <v>0</v>
      </c>
      <c r="W398" s="492">
        <v>0</v>
      </c>
      <c r="X398" s="492">
        <v>0</v>
      </c>
      <c r="Y398" s="492">
        <v>0</v>
      </c>
      <c r="Z398" s="492">
        <f t="shared" si="434"/>
        <v>0</v>
      </c>
      <c r="AA398" s="492">
        <f t="shared" si="435"/>
        <v>0</v>
      </c>
      <c r="AB398" s="74">
        <f t="shared" si="436"/>
        <v>0</v>
      </c>
      <c r="AC398" s="74">
        <f t="shared" si="437"/>
        <v>0</v>
      </c>
      <c r="AD398" s="492">
        <v>0</v>
      </c>
      <c r="AE398" s="492">
        <v>0</v>
      </c>
      <c r="AF398" s="492">
        <f t="shared" si="514"/>
        <v>0</v>
      </c>
      <c r="AG398" s="492">
        <f t="shared" si="515"/>
        <v>0</v>
      </c>
      <c r="AH398" s="493">
        <v>0</v>
      </c>
      <c r="AI398" s="493">
        <v>0</v>
      </c>
      <c r="AJ398" s="493">
        <v>0</v>
      </c>
      <c r="AK398" s="493">
        <v>0</v>
      </c>
      <c r="AL398" s="493">
        <v>0</v>
      </c>
      <c r="AM398" s="493">
        <v>0</v>
      </c>
      <c r="AN398" s="493">
        <v>0</v>
      </c>
      <c r="AO398" s="493">
        <f t="shared" si="524"/>
        <v>0</v>
      </c>
      <c r="AP398" s="493">
        <f t="shared" si="525"/>
        <v>0</v>
      </c>
      <c r="AQ398" s="495">
        <f t="shared" si="440"/>
        <v>0</v>
      </c>
      <c r="AR398" s="501">
        <f t="shared" si="516"/>
        <v>3403096</v>
      </c>
      <c r="AS398" s="492">
        <f t="shared" si="517"/>
        <v>2497891</v>
      </c>
      <c r="AT398" s="492">
        <f t="shared" si="518"/>
        <v>0</v>
      </c>
      <c r="AU398" s="492">
        <f t="shared" si="519"/>
        <v>844287</v>
      </c>
      <c r="AV398" s="492">
        <f t="shared" si="519"/>
        <v>49958</v>
      </c>
      <c r="AW398" s="492">
        <f t="shared" si="520"/>
        <v>10960</v>
      </c>
      <c r="AX398" s="493">
        <f t="shared" si="521"/>
        <v>4.6379000000000001</v>
      </c>
      <c r="AY398" s="493">
        <f t="shared" si="522"/>
        <v>4.1239999999999997</v>
      </c>
      <c r="AZ398" s="495">
        <f t="shared" si="522"/>
        <v>0.51390000000000002</v>
      </c>
    </row>
    <row r="399" spans="1:52" ht="14.1" customHeight="1" x14ac:dyDescent="0.2">
      <c r="A399" s="78">
        <v>79</v>
      </c>
      <c r="B399" s="75">
        <v>2325</v>
      </c>
      <c r="C399" s="76">
        <v>600074561</v>
      </c>
      <c r="D399" s="75">
        <v>46750321</v>
      </c>
      <c r="E399" s="77" t="s">
        <v>726</v>
      </c>
      <c r="F399" s="78"/>
      <c r="G399" s="77"/>
      <c r="H399" s="79"/>
      <c r="I399" s="85">
        <v>40819043</v>
      </c>
      <c r="J399" s="86">
        <v>29556814</v>
      </c>
      <c r="K399" s="86">
        <v>32500</v>
      </c>
      <c r="L399" s="86">
        <v>10001188</v>
      </c>
      <c r="M399" s="86">
        <v>591137</v>
      </c>
      <c r="N399" s="86">
        <v>637404</v>
      </c>
      <c r="O399" s="87">
        <v>58.905200000000001</v>
      </c>
      <c r="P399" s="87">
        <v>44.308700000000002</v>
      </c>
      <c r="Q399" s="453">
        <v>14.596500000000001</v>
      </c>
      <c r="R399" s="85">
        <f t="shared" ref="R399:AZ399" si="526">SUM(R393:R398)</f>
        <v>0</v>
      </c>
      <c r="S399" s="86">
        <f t="shared" si="526"/>
        <v>129917</v>
      </c>
      <c r="T399" s="86">
        <f t="shared" si="526"/>
        <v>0</v>
      </c>
      <c r="U399" s="86">
        <f t="shared" si="526"/>
        <v>0</v>
      </c>
      <c r="V399" s="86">
        <f t="shared" si="526"/>
        <v>129917</v>
      </c>
      <c r="W399" s="86">
        <f t="shared" si="526"/>
        <v>0</v>
      </c>
      <c r="X399" s="86">
        <f t="shared" si="526"/>
        <v>0</v>
      </c>
      <c r="Y399" s="86">
        <f t="shared" si="526"/>
        <v>0</v>
      </c>
      <c r="Z399" s="86">
        <f t="shared" si="526"/>
        <v>0</v>
      </c>
      <c r="AA399" s="86">
        <f t="shared" si="526"/>
        <v>129917</v>
      </c>
      <c r="AB399" s="86">
        <f t="shared" si="526"/>
        <v>43912</v>
      </c>
      <c r="AC399" s="86">
        <f t="shared" si="526"/>
        <v>2598</v>
      </c>
      <c r="AD399" s="86">
        <f t="shared" si="526"/>
        <v>0</v>
      </c>
      <c r="AE399" s="86">
        <f t="shared" si="526"/>
        <v>0</v>
      </c>
      <c r="AF399" s="86">
        <f t="shared" si="526"/>
        <v>0</v>
      </c>
      <c r="AG399" s="86">
        <f t="shared" si="526"/>
        <v>176427</v>
      </c>
      <c r="AH399" s="87">
        <f t="shared" si="526"/>
        <v>0</v>
      </c>
      <c r="AI399" s="87">
        <f t="shared" si="526"/>
        <v>0</v>
      </c>
      <c r="AJ399" s="87">
        <f t="shared" si="526"/>
        <v>0.38</v>
      </c>
      <c r="AK399" s="87">
        <f t="shared" ref="AK399:AL399" si="527">SUM(AK393:AK398)</f>
        <v>0</v>
      </c>
      <c r="AL399" s="87">
        <f t="shared" si="527"/>
        <v>0</v>
      </c>
      <c r="AM399" s="87">
        <f t="shared" si="526"/>
        <v>0</v>
      </c>
      <c r="AN399" s="87">
        <f t="shared" si="526"/>
        <v>0</v>
      </c>
      <c r="AO399" s="87">
        <f t="shared" si="526"/>
        <v>0.38</v>
      </c>
      <c r="AP399" s="87">
        <f t="shared" si="526"/>
        <v>0</v>
      </c>
      <c r="AQ399" s="88">
        <f t="shared" si="526"/>
        <v>0.38</v>
      </c>
      <c r="AR399" s="439">
        <f t="shared" si="526"/>
        <v>40995470</v>
      </c>
      <c r="AS399" s="86">
        <f t="shared" si="526"/>
        <v>29686731</v>
      </c>
      <c r="AT399" s="86">
        <f t="shared" si="526"/>
        <v>32500</v>
      </c>
      <c r="AU399" s="86">
        <f t="shared" si="526"/>
        <v>10045100</v>
      </c>
      <c r="AV399" s="86">
        <f t="shared" si="526"/>
        <v>593735</v>
      </c>
      <c r="AW399" s="86">
        <f t="shared" si="526"/>
        <v>637404</v>
      </c>
      <c r="AX399" s="87">
        <f t="shared" si="526"/>
        <v>59.285200000000003</v>
      </c>
      <c r="AY399" s="87">
        <f t="shared" si="526"/>
        <v>44.688700000000004</v>
      </c>
      <c r="AZ399" s="88">
        <f t="shared" si="526"/>
        <v>14.596500000000001</v>
      </c>
    </row>
    <row r="400" spans="1:52" ht="14.1" customHeight="1" x14ac:dyDescent="0.2">
      <c r="A400" s="72">
        <v>80</v>
      </c>
      <c r="B400" s="69">
        <v>2329</v>
      </c>
      <c r="C400" s="70">
        <v>691007331</v>
      </c>
      <c r="D400" s="69">
        <v>71294171</v>
      </c>
      <c r="E400" s="71" t="s">
        <v>801</v>
      </c>
      <c r="F400" s="72">
        <v>3114</v>
      </c>
      <c r="G400" s="176" t="s">
        <v>559</v>
      </c>
      <c r="H400" s="73" t="s">
        <v>278</v>
      </c>
      <c r="I400" s="494">
        <v>7602798</v>
      </c>
      <c r="J400" s="489">
        <v>5464821</v>
      </c>
      <c r="K400" s="489">
        <v>76480</v>
      </c>
      <c r="L400" s="489">
        <v>1872960</v>
      </c>
      <c r="M400" s="489">
        <v>109297</v>
      </c>
      <c r="N400" s="489">
        <v>79240</v>
      </c>
      <c r="O400" s="490">
        <v>9.9129000000000005</v>
      </c>
      <c r="P400" s="490">
        <v>7.0352000000000006</v>
      </c>
      <c r="Q400" s="500">
        <v>2.8776999999999999</v>
      </c>
      <c r="R400" s="502">
        <f t="shared" si="523"/>
        <v>0</v>
      </c>
      <c r="S400" s="492">
        <v>0</v>
      </c>
      <c r="T400" s="492">
        <v>0</v>
      </c>
      <c r="U400" s="492">
        <v>0</v>
      </c>
      <c r="V400" s="492">
        <f t="shared" ref="V400:V405" si="528">SUM(R400:U400)</f>
        <v>0</v>
      </c>
      <c r="W400" s="492">
        <v>0</v>
      </c>
      <c r="X400" s="492">
        <v>0</v>
      </c>
      <c r="Y400" s="492">
        <v>0</v>
      </c>
      <c r="Z400" s="492">
        <f t="shared" ref="Z400:Z462" si="529">SUM(W400:Y400)</f>
        <v>0</v>
      </c>
      <c r="AA400" s="492">
        <f t="shared" ref="AA400:AA462" si="530">V400+Z400</f>
        <v>0</v>
      </c>
      <c r="AB400" s="74">
        <f t="shared" ref="AB400:AB462" si="531">ROUND((V400+W400+X400)*33.8%,0)</f>
        <v>0</v>
      </c>
      <c r="AC400" s="74">
        <f t="shared" ref="AC400:AC462" si="532">ROUND(V400*2%,0)</f>
        <v>0</v>
      </c>
      <c r="AD400" s="492">
        <v>0</v>
      </c>
      <c r="AE400" s="492">
        <v>0</v>
      </c>
      <c r="AF400" s="492">
        <f t="shared" ref="AF400:AF405" si="533">SUM(AD400:AE400)</f>
        <v>0</v>
      </c>
      <c r="AG400" s="492">
        <f t="shared" ref="AG400:AG405" si="534">AA400+AB400+AC400+AF400</f>
        <v>0</v>
      </c>
      <c r="AH400" s="493">
        <v>0</v>
      </c>
      <c r="AI400" s="493">
        <v>0</v>
      </c>
      <c r="AJ400" s="493">
        <v>0</v>
      </c>
      <c r="AK400" s="493">
        <v>0</v>
      </c>
      <c r="AL400" s="493">
        <v>0</v>
      </c>
      <c r="AM400" s="493">
        <v>0</v>
      </c>
      <c r="AN400" s="493">
        <v>0</v>
      </c>
      <c r="AO400" s="493">
        <f t="shared" si="524"/>
        <v>0</v>
      </c>
      <c r="AP400" s="493">
        <f t="shared" si="525"/>
        <v>0</v>
      </c>
      <c r="AQ400" s="495">
        <f t="shared" ref="AQ400:AQ462" si="535">SUM(AO400:AP400)</f>
        <v>0</v>
      </c>
      <c r="AR400" s="501">
        <f t="shared" ref="AR400:AR405" si="536">I400+AG400</f>
        <v>7602798</v>
      </c>
      <c r="AS400" s="492">
        <f t="shared" ref="AS400:AS405" si="537">J400+V400</f>
        <v>5464821</v>
      </c>
      <c r="AT400" s="492">
        <f t="shared" ref="AT400:AT405" si="538">K400+Z400</f>
        <v>76480</v>
      </c>
      <c r="AU400" s="492">
        <f t="shared" ref="AU400:AV405" si="539">L400+AB400</f>
        <v>1872960</v>
      </c>
      <c r="AV400" s="492">
        <f t="shared" si="539"/>
        <v>109297</v>
      </c>
      <c r="AW400" s="492">
        <f t="shared" ref="AW400:AW405" si="540">N400+AF400</f>
        <v>79240</v>
      </c>
      <c r="AX400" s="493">
        <f t="shared" ref="AX400:AX405" si="541">O400+AQ400</f>
        <v>9.9129000000000005</v>
      </c>
      <c r="AY400" s="493">
        <f t="shared" ref="AY400:AZ405" si="542">P400+AO400</f>
        <v>7.0352000000000006</v>
      </c>
      <c r="AZ400" s="495">
        <f t="shared" si="542"/>
        <v>2.8776999999999999</v>
      </c>
    </row>
    <row r="401" spans="1:52" ht="14.1" customHeight="1" x14ac:dyDescent="0.2">
      <c r="A401" s="72">
        <v>80</v>
      </c>
      <c r="B401" s="69">
        <v>2329</v>
      </c>
      <c r="C401" s="70">
        <v>691007331</v>
      </c>
      <c r="D401" s="69">
        <v>71294171</v>
      </c>
      <c r="E401" s="71" t="s">
        <v>801</v>
      </c>
      <c r="F401" s="72">
        <v>3114</v>
      </c>
      <c r="G401" s="48" t="s">
        <v>314</v>
      </c>
      <c r="H401" s="73" t="s">
        <v>278</v>
      </c>
      <c r="I401" s="494">
        <v>1570542</v>
      </c>
      <c r="J401" s="489">
        <v>1156511</v>
      </c>
      <c r="K401" s="489">
        <v>0</v>
      </c>
      <c r="L401" s="489">
        <v>390901</v>
      </c>
      <c r="M401" s="489">
        <v>23130</v>
      </c>
      <c r="N401" s="489">
        <v>0</v>
      </c>
      <c r="O401" s="490">
        <v>3.0278</v>
      </c>
      <c r="P401" s="490">
        <v>3.0278</v>
      </c>
      <c r="Q401" s="500">
        <v>0</v>
      </c>
      <c r="R401" s="502">
        <f t="shared" si="523"/>
        <v>0</v>
      </c>
      <c r="S401" s="492">
        <v>0</v>
      </c>
      <c r="T401" s="492">
        <v>0</v>
      </c>
      <c r="U401" s="492">
        <v>0</v>
      </c>
      <c r="V401" s="492">
        <f t="shared" si="528"/>
        <v>0</v>
      </c>
      <c r="W401" s="492">
        <v>0</v>
      </c>
      <c r="X401" s="492">
        <v>0</v>
      </c>
      <c r="Y401" s="492">
        <v>0</v>
      </c>
      <c r="Z401" s="492">
        <f t="shared" si="529"/>
        <v>0</v>
      </c>
      <c r="AA401" s="492">
        <f t="shared" si="530"/>
        <v>0</v>
      </c>
      <c r="AB401" s="74">
        <f t="shared" si="531"/>
        <v>0</v>
      </c>
      <c r="AC401" s="74">
        <f t="shared" si="532"/>
        <v>0</v>
      </c>
      <c r="AD401" s="492">
        <v>0</v>
      </c>
      <c r="AE401" s="492">
        <v>0</v>
      </c>
      <c r="AF401" s="492">
        <f t="shared" si="533"/>
        <v>0</v>
      </c>
      <c r="AG401" s="492">
        <f t="shared" si="534"/>
        <v>0</v>
      </c>
      <c r="AH401" s="493">
        <v>0</v>
      </c>
      <c r="AI401" s="493">
        <v>0</v>
      </c>
      <c r="AJ401" s="493">
        <v>0</v>
      </c>
      <c r="AK401" s="493">
        <v>0</v>
      </c>
      <c r="AL401" s="493">
        <v>0</v>
      </c>
      <c r="AM401" s="493">
        <v>0</v>
      </c>
      <c r="AN401" s="493">
        <v>0</v>
      </c>
      <c r="AO401" s="493">
        <f t="shared" si="524"/>
        <v>0</v>
      </c>
      <c r="AP401" s="493">
        <f t="shared" si="525"/>
        <v>0</v>
      </c>
      <c r="AQ401" s="495">
        <f t="shared" si="535"/>
        <v>0</v>
      </c>
      <c r="AR401" s="501">
        <f t="shared" si="536"/>
        <v>1570542</v>
      </c>
      <c r="AS401" s="492">
        <f t="shared" si="537"/>
        <v>1156511</v>
      </c>
      <c r="AT401" s="492">
        <f t="shared" si="538"/>
        <v>0</v>
      </c>
      <c r="AU401" s="492">
        <f t="shared" si="539"/>
        <v>390901</v>
      </c>
      <c r="AV401" s="492">
        <f t="shared" si="539"/>
        <v>23130</v>
      </c>
      <c r="AW401" s="492">
        <f t="shared" si="540"/>
        <v>0</v>
      </c>
      <c r="AX401" s="493">
        <f t="shared" si="541"/>
        <v>3.0278</v>
      </c>
      <c r="AY401" s="493">
        <f t="shared" si="542"/>
        <v>3.0278</v>
      </c>
      <c r="AZ401" s="495">
        <f t="shared" si="542"/>
        <v>0</v>
      </c>
    </row>
    <row r="402" spans="1:52" ht="14.1" customHeight="1" x14ac:dyDescent="0.2">
      <c r="A402" s="72">
        <v>80</v>
      </c>
      <c r="B402" s="69">
        <v>2329</v>
      </c>
      <c r="C402" s="70">
        <v>691007331</v>
      </c>
      <c r="D402" s="69">
        <v>71294171</v>
      </c>
      <c r="E402" s="71" t="s">
        <v>801</v>
      </c>
      <c r="F402" s="72">
        <v>3114</v>
      </c>
      <c r="G402" s="84" t="s">
        <v>313</v>
      </c>
      <c r="H402" s="73" t="s">
        <v>279</v>
      </c>
      <c r="I402" s="494">
        <v>0</v>
      </c>
      <c r="J402" s="489">
        <v>0</v>
      </c>
      <c r="K402" s="489">
        <v>0</v>
      </c>
      <c r="L402" s="489">
        <v>0</v>
      </c>
      <c r="M402" s="489">
        <v>0</v>
      </c>
      <c r="N402" s="489">
        <v>0</v>
      </c>
      <c r="O402" s="490">
        <v>0</v>
      </c>
      <c r="P402" s="491">
        <v>0</v>
      </c>
      <c r="Q402" s="500">
        <v>0</v>
      </c>
      <c r="R402" s="502">
        <f t="shared" si="523"/>
        <v>0</v>
      </c>
      <c r="S402" s="492">
        <v>0</v>
      </c>
      <c r="T402" s="492">
        <v>0</v>
      </c>
      <c r="U402" s="492">
        <v>0</v>
      </c>
      <c r="V402" s="492">
        <f t="shared" si="528"/>
        <v>0</v>
      </c>
      <c r="W402" s="492">
        <v>0</v>
      </c>
      <c r="X402" s="492">
        <v>0</v>
      </c>
      <c r="Y402" s="492">
        <v>0</v>
      </c>
      <c r="Z402" s="492">
        <f t="shared" si="529"/>
        <v>0</v>
      </c>
      <c r="AA402" s="492">
        <f t="shared" si="530"/>
        <v>0</v>
      </c>
      <c r="AB402" s="74">
        <f t="shared" si="531"/>
        <v>0</v>
      </c>
      <c r="AC402" s="74">
        <f t="shared" si="532"/>
        <v>0</v>
      </c>
      <c r="AD402" s="492">
        <v>0</v>
      </c>
      <c r="AE402" s="492">
        <v>0</v>
      </c>
      <c r="AF402" s="492">
        <f t="shared" si="533"/>
        <v>0</v>
      </c>
      <c r="AG402" s="492">
        <f t="shared" si="534"/>
        <v>0</v>
      </c>
      <c r="AH402" s="493">
        <v>0</v>
      </c>
      <c r="AI402" s="493">
        <v>0</v>
      </c>
      <c r="AJ402" s="493">
        <v>0</v>
      </c>
      <c r="AK402" s="493">
        <v>0</v>
      </c>
      <c r="AL402" s="493">
        <v>0</v>
      </c>
      <c r="AM402" s="493">
        <v>0</v>
      </c>
      <c r="AN402" s="493">
        <v>0</v>
      </c>
      <c r="AO402" s="493">
        <f t="shared" si="524"/>
        <v>0</v>
      </c>
      <c r="AP402" s="493">
        <f t="shared" si="525"/>
        <v>0</v>
      </c>
      <c r="AQ402" s="495">
        <f t="shared" si="535"/>
        <v>0</v>
      </c>
      <c r="AR402" s="501">
        <f t="shared" si="536"/>
        <v>0</v>
      </c>
      <c r="AS402" s="492">
        <f t="shared" si="537"/>
        <v>0</v>
      </c>
      <c r="AT402" s="492">
        <f t="shared" si="538"/>
        <v>0</v>
      </c>
      <c r="AU402" s="492">
        <f t="shared" si="539"/>
        <v>0</v>
      </c>
      <c r="AV402" s="492">
        <f t="shared" si="539"/>
        <v>0</v>
      </c>
      <c r="AW402" s="492">
        <f t="shared" si="540"/>
        <v>0</v>
      </c>
      <c r="AX402" s="493">
        <f t="shared" si="541"/>
        <v>0</v>
      </c>
      <c r="AY402" s="493">
        <f t="shared" si="542"/>
        <v>0</v>
      </c>
      <c r="AZ402" s="495">
        <f t="shared" si="542"/>
        <v>0</v>
      </c>
    </row>
    <row r="403" spans="1:52" ht="14.1" customHeight="1" x14ac:dyDescent="0.2">
      <c r="A403" s="72">
        <v>80</v>
      </c>
      <c r="B403" s="69">
        <v>2329</v>
      </c>
      <c r="C403" s="70">
        <v>691007331</v>
      </c>
      <c r="D403" s="69">
        <v>71294171</v>
      </c>
      <c r="E403" s="71" t="s">
        <v>801</v>
      </c>
      <c r="F403" s="72">
        <v>3141</v>
      </c>
      <c r="G403" s="71" t="s">
        <v>316</v>
      </c>
      <c r="H403" s="73" t="s">
        <v>279</v>
      </c>
      <c r="I403" s="494">
        <v>97159</v>
      </c>
      <c r="J403" s="489">
        <v>70986</v>
      </c>
      <c r="K403" s="489">
        <v>0</v>
      </c>
      <c r="L403" s="489">
        <v>23993</v>
      </c>
      <c r="M403" s="489">
        <v>1420</v>
      </c>
      <c r="N403" s="489">
        <v>760</v>
      </c>
      <c r="O403" s="490">
        <v>0.22</v>
      </c>
      <c r="P403" s="491">
        <v>0</v>
      </c>
      <c r="Q403" s="500">
        <v>0.22</v>
      </c>
      <c r="R403" s="502">
        <f t="shared" si="523"/>
        <v>0</v>
      </c>
      <c r="S403" s="492">
        <v>0</v>
      </c>
      <c r="T403" s="492">
        <v>0</v>
      </c>
      <c r="U403" s="492">
        <v>0</v>
      </c>
      <c r="V403" s="492">
        <f t="shared" si="528"/>
        <v>0</v>
      </c>
      <c r="W403" s="492">
        <v>0</v>
      </c>
      <c r="X403" s="492">
        <v>0</v>
      </c>
      <c r="Y403" s="492">
        <v>0</v>
      </c>
      <c r="Z403" s="492">
        <f t="shared" si="529"/>
        <v>0</v>
      </c>
      <c r="AA403" s="492">
        <f t="shared" si="530"/>
        <v>0</v>
      </c>
      <c r="AB403" s="74">
        <f t="shared" si="531"/>
        <v>0</v>
      </c>
      <c r="AC403" s="74">
        <f t="shared" si="532"/>
        <v>0</v>
      </c>
      <c r="AD403" s="492">
        <v>0</v>
      </c>
      <c r="AE403" s="492">
        <v>0</v>
      </c>
      <c r="AF403" s="492">
        <f t="shared" si="533"/>
        <v>0</v>
      </c>
      <c r="AG403" s="492">
        <f t="shared" si="534"/>
        <v>0</v>
      </c>
      <c r="AH403" s="493">
        <v>0</v>
      </c>
      <c r="AI403" s="493">
        <v>0</v>
      </c>
      <c r="AJ403" s="493">
        <v>0</v>
      </c>
      <c r="AK403" s="493">
        <v>0</v>
      </c>
      <c r="AL403" s="493">
        <v>0</v>
      </c>
      <c r="AM403" s="493">
        <v>0</v>
      </c>
      <c r="AN403" s="493">
        <v>0</v>
      </c>
      <c r="AO403" s="493">
        <f t="shared" si="524"/>
        <v>0</v>
      </c>
      <c r="AP403" s="493">
        <f t="shared" si="525"/>
        <v>0</v>
      </c>
      <c r="AQ403" s="495">
        <f t="shared" si="535"/>
        <v>0</v>
      </c>
      <c r="AR403" s="501">
        <f t="shared" si="536"/>
        <v>97159</v>
      </c>
      <c r="AS403" s="492">
        <f t="shared" si="537"/>
        <v>70986</v>
      </c>
      <c r="AT403" s="492">
        <f t="shared" si="538"/>
        <v>0</v>
      </c>
      <c r="AU403" s="492">
        <f t="shared" si="539"/>
        <v>23993</v>
      </c>
      <c r="AV403" s="492">
        <f t="shared" si="539"/>
        <v>1420</v>
      </c>
      <c r="AW403" s="492">
        <f t="shared" si="540"/>
        <v>760</v>
      </c>
      <c r="AX403" s="493">
        <f t="shared" si="541"/>
        <v>0.22</v>
      </c>
      <c r="AY403" s="493">
        <f t="shared" si="542"/>
        <v>0</v>
      </c>
      <c r="AZ403" s="495">
        <f t="shared" si="542"/>
        <v>0.22</v>
      </c>
    </row>
    <row r="404" spans="1:52" ht="14.1" customHeight="1" x14ac:dyDescent="0.2">
      <c r="A404" s="72">
        <v>80</v>
      </c>
      <c r="B404" s="69">
        <v>2329</v>
      </c>
      <c r="C404" s="70">
        <v>691007331</v>
      </c>
      <c r="D404" s="69">
        <v>71294171</v>
      </c>
      <c r="E404" s="71" t="s">
        <v>801</v>
      </c>
      <c r="F404" s="72">
        <v>3143</v>
      </c>
      <c r="G404" s="84" t="s">
        <v>629</v>
      </c>
      <c r="H404" s="73" t="s">
        <v>278</v>
      </c>
      <c r="I404" s="494">
        <v>525643</v>
      </c>
      <c r="J404" s="489">
        <v>387072</v>
      </c>
      <c r="K404" s="489">
        <v>0</v>
      </c>
      <c r="L404" s="489">
        <v>130830</v>
      </c>
      <c r="M404" s="489">
        <v>7741</v>
      </c>
      <c r="N404" s="489">
        <v>0</v>
      </c>
      <c r="O404" s="490">
        <v>0.75</v>
      </c>
      <c r="P404" s="490">
        <v>0.75</v>
      </c>
      <c r="Q404" s="500">
        <v>0</v>
      </c>
      <c r="R404" s="502">
        <f t="shared" si="523"/>
        <v>0</v>
      </c>
      <c r="S404" s="492">
        <v>0</v>
      </c>
      <c r="T404" s="492">
        <v>0</v>
      </c>
      <c r="U404" s="492">
        <v>0</v>
      </c>
      <c r="V404" s="492">
        <f t="shared" si="528"/>
        <v>0</v>
      </c>
      <c r="W404" s="492">
        <v>0</v>
      </c>
      <c r="X404" s="492">
        <v>0</v>
      </c>
      <c r="Y404" s="492">
        <v>0</v>
      </c>
      <c r="Z404" s="492">
        <f t="shared" si="529"/>
        <v>0</v>
      </c>
      <c r="AA404" s="492">
        <f t="shared" si="530"/>
        <v>0</v>
      </c>
      <c r="AB404" s="74">
        <f t="shared" si="531"/>
        <v>0</v>
      </c>
      <c r="AC404" s="74">
        <f t="shared" si="532"/>
        <v>0</v>
      </c>
      <c r="AD404" s="492">
        <v>0</v>
      </c>
      <c r="AE404" s="492">
        <v>0</v>
      </c>
      <c r="AF404" s="492">
        <f t="shared" si="533"/>
        <v>0</v>
      </c>
      <c r="AG404" s="492">
        <f t="shared" si="534"/>
        <v>0</v>
      </c>
      <c r="AH404" s="493">
        <v>0</v>
      </c>
      <c r="AI404" s="493">
        <v>0</v>
      </c>
      <c r="AJ404" s="493">
        <v>0</v>
      </c>
      <c r="AK404" s="493">
        <v>0</v>
      </c>
      <c r="AL404" s="493">
        <v>0</v>
      </c>
      <c r="AM404" s="493">
        <v>0</v>
      </c>
      <c r="AN404" s="493">
        <v>0</v>
      </c>
      <c r="AO404" s="493">
        <f t="shared" si="524"/>
        <v>0</v>
      </c>
      <c r="AP404" s="493">
        <f t="shared" si="525"/>
        <v>0</v>
      </c>
      <c r="AQ404" s="495">
        <f t="shared" si="535"/>
        <v>0</v>
      </c>
      <c r="AR404" s="501">
        <f t="shared" si="536"/>
        <v>525643</v>
      </c>
      <c r="AS404" s="492">
        <f t="shared" si="537"/>
        <v>387072</v>
      </c>
      <c r="AT404" s="492">
        <f t="shared" si="538"/>
        <v>0</v>
      </c>
      <c r="AU404" s="492">
        <f t="shared" si="539"/>
        <v>130830</v>
      </c>
      <c r="AV404" s="492">
        <f t="shared" si="539"/>
        <v>7741</v>
      </c>
      <c r="AW404" s="492">
        <f t="shared" si="540"/>
        <v>0</v>
      </c>
      <c r="AX404" s="493">
        <f t="shared" si="541"/>
        <v>0.75</v>
      </c>
      <c r="AY404" s="493">
        <f t="shared" si="542"/>
        <v>0.75</v>
      </c>
      <c r="AZ404" s="495">
        <f t="shared" si="542"/>
        <v>0</v>
      </c>
    </row>
    <row r="405" spans="1:52" ht="14.1" customHeight="1" x14ac:dyDescent="0.2">
      <c r="A405" s="72">
        <v>80</v>
      </c>
      <c r="B405" s="69">
        <v>2329</v>
      </c>
      <c r="C405" s="70">
        <v>691007331</v>
      </c>
      <c r="D405" s="69">
        <v>71294171</v>
      </c>
      <c r="E405" s="71" t="s">
        <v>801</v>
      </c>
      <c r="F405" s="72">
        <v>3143</v>
      </c>
      <c r="G405" s="84" t="s">
        <v>630</v>
      </c>
      <c r="H405" s="73" t="s">
        <v>279</v>
      </c>
      <c r="I405" s="494">
        <v>10585</v>
      </c>
      <c r="J405" s="489">
        <v>7485</v>
      </c>
      <c r="K405" s="489">
        <v>0</v>
      </c>
      <c r="L405" s="489">
        <v>2530</v>
      </c>
      <c r="M405" s="489">
        <v>150</v>
      </c>
      <c r="N405" s="489">
        <v>420</v>
      </c>
      <c r="O405" s="490">
        <v>0.03</v>
      </c>
      <c r="P405" s="491">
        <v>0</v>
      </c>
      <c r="Q405" s="500">
        <v>0.03</v>
      </c>
      <c r="R405" s="502">
        <f t="shared" si="523"/>
        <v>0</v>
      </c>
      <c r="S405" s="492">
        <v>0</v>
      </c>
      <c r="T405" s="492">
        <v>0</v>
      </c>
      <c r="U405" s="492">
        <v>0</v>
      </c>
      <c r="V405" s="492">
        <f t="shared" si="528"/>
        <v>0</v>
      </c>
      <c r="W405" s="492">
        <v>0</v>
      </c>
      <c r="X405" s="492">
        <v>0</v>
      </c>
      <c r="Y405" s="492">
        <v>0</v>
      </c>
      <c r="Z405" s="492">
        <f t="shared" si="529"/>
        <v>0</v>
      </c>
      <c r="AA405" s="492">
        <f t="shared" si="530"/>
        <v>0</v>
      </c>
      <c r="AB405" s="74">
        <f t="shared" si="531"/>
        <v>0</v>
      </c>
      <c r="AC405" s="74">
        <f t="shared" si="532"/>
        <v>0</v>
      </c>
      <c r="AD405" s="492">
        <v>0</v>
      </c>
      <c r="AE405" s="492">
        <v>0</v>
      </c>
      <c r="AF405" s="492">
        <f t="shared" si="533"/>
        <v>0</v>
      </c>
      <c r="AG405" s="492">
        <f t="shared" si="534"/>
        <v>0</v>
      </c>
      <c r="AH405" s="493">
        <v>0</v>
      </c>
      <c r="AI405" s="493">
        <v>0</v>
      </c>
      <c r="AJ405" s="493">
        <v>0</v>
      </c>
      <c r="AK405" s="493">
        <v>0</v>
      </c>
      <c r="AL405" s="493">
        <v>0</v>
      </c>
      <c r="AM405" s="493">
        <v>0</v>
      </c>
      <c r="AN405" s="493">
        <v>0</v>
      </c>
      <c r="AO405" s="493">
        <f t="shared" si="524"/>
        <v>0</v>
      </c>
      <c r="AP405" s="493">
        <f t="shared" si="525"/>
        <v>0</v>
      </c>
      <c r="AQ405" s="495">
        <f t="shared" si="535"/>
        <v>0</v>
      </c>
      <c r="AR405" s="501">
        <f t="shared" si="536"/>
        <v>10585</v>
      </c>
      <c r="AS405" s="492">
        <f t="shared" si="537"/>
        <v>7485</v>
      </c>
      <c r="AT405" s="492">
        <f t="shared" si="538"/>
        <v>0</v>
      </c>
      <c r="AU405" s="492">
        <f t="shared" si="539"/>
        <v>2530</v>
      </c>
      <c r="AV405" s="492">
        <f t="shared" si="539"/>
        <v>150</v>
      </c>
      <c r="AW405" s="492">
        <f t="shared" si="540"/>
        <v>420</v>
      </c>
      <c r="AX405" s="493">
        <f t="shared" si="541"/>
        <v>0.03</v>
      </c>
      <c r="AY405" s="493">
        <f t="shared" si="542"/>
        <v>0</v>
      </c>
      <c r="AZ405" s="495">
        <f t="shared" si="542"/>
        <v>0.03</v>
      </c>
    </row>
    <row r="406" spans="1:52" ht="14.1" customHeight="1" x14ac:dyDescent="0.2">
      <c r="A406" s="78">
        <v>80</v>
      </c>
      <c r="B406" s="75">
        <v>2329</v>
      </c>
      <c r="C406" s="76">
        <v>691007331</v>
      </c>
      <c r="D406" s="75">
        <v>71294171</v>
      </c>
      <c r="E406" s="77" t="s">
        <v>825</v>
      </c>
      <c r="F406" s="78"/>
      <c r="G406" s="77"/>
      <c r="H406" s="79"/>
      <c r="I406" s="90">
        <v>9806727</v>
      </c>
      <c r="J406" s="91">
        <v>7086875</v>
      </c>
      <c r="K406" s="91">
        <v>76480</v>
      </c>
      <c r="L406" s="91">
        <v>2421214</v>
      </c>
      <c r="M406" s="91">
        <v>141738</v>
      </c>
      <c r="N406" s="91">
        <v>80420</v>
      </c>
      <c r="O406" s="92">
        <v>13.9407</v>
      </c>
      <c r="P406" s="92">
        <v>10.813000000000001</v>
      </c>
      <c r="Q406" s="454">
        <v>3.1276999999999999</v>
      </c>
      <c r="R406" s="90">
        <f t="shared" ref="R406:AZ406" si="543">SUM(R400:R405)</f>
        <v>0</v>
      </c>
      <c r="S406" s="91">
        <f t="shared" si="543"/>
        <v>0</v>
      </c>
      <c r="T406" s="91">
        <f t="shared" si="543"/>
        <v>0</v>
      </c>
      <c r="U406" s="91">
        <f t="shared" si="543"/>
        <v>0</v>
      </c>
      <c r="V406" s="91">
        <f t="shared" si="543"/>
        <v>0</v>
      </c>
      <c r="W406" s="91">
        <f t="shared" si="543"/>
        <v>0</v>
      </c>
      <c r="X406" s="91">
        <f t="shared" si="543"/>
        <v>0</v>
      </c>
      <c r="Y406" s="91">
        <f t="shared" si="543"/>
        <v>0</v>
      </c>
      <c r="Z406" s="91">
        <f t="shared" si="543"/>
        <v>0</v>
      </c>
      <c r="AA406" s="91">
        <f t="shared" si="543"/>
        <v>0</v>
      </c>
      <c r="AB406" s="91">
        <f t="shared" si="543"/>
        <v>0</v>
      </c>
      <c r="AC406" s="91">
        <f t="shared" si="543"/>
        <v>0</v>
      </c>
      <c r="AD406" s="91">
        <f t="shared" si="543"/>
        <v>0</v>
      </c>
      <c r="AE406" s="91">
        <f t="shared" si="543"/>
        <v>0</v>
      </c>
      <c r="AF406" s="91">
        <f t="shared" si="543"/>
        <v>0</v>
      </c>
      <c r="AG406" s="91">
        <f t="shared" si="543"/>
        <v>0</v>
      </c>
      <c r="AH406" s="92">
        <f t="shared" si="543"/>
        <v>0</v>
      </c>
      <c r="AI406" s="92">
        <f t="shared" si="543"/>
        <v>0</v>
      </c>
      <c r="AJ406" s="92">
        <f t="shared" si="543"/>
        <v>0</v>
      </c>
      <c r="AK406" s="92">
        <f t="shared" ref="AK406:AL406" si="544">SUM(AK400:AK405)</f>
        <v>0</v>
      </c>
      <c r="AL406" s="92">
        <f t="shared" si="544"/>
        <v>0</v>
      </c>
      <c r="AM406" s="92">
        <f t="shared" si="543"/>
        <v>0</v>
      </c>
      <c r="AN406" s="92">
        <f t="shared" si="543"/>
        <v>0</v>
      </c>
      <c r="AO406" s="92">
        <f t="shared" si="543"/>
        <v>0</v>
      </c>
      <c r="AP406" s="92">
        <f t="shared" si="543"/>
        <v>0</v>
      </c>
      <c r="AQ406" s="93">
        <f t="shared" si="543"/>
        <v>0</v>
      </c>
      <c r="AR406" s="440">
        <f t="shared" si="543"/>
        <v>9806727</v>
      </c>
      <c r="AS406" s="91">
        <f t="shared" si="543"/>
        <v>7086875</v>
      </c>
      <c r="AT406" s="91">
        <f t="shared" si="543"/>
        <v>76480</v>
      </c>
      <c r="AU406" s="91">
        <f t="shared" si="543"/>
        <v>2421214</v>
      </c>
      <c r="AV406" s="91">
        <f t="shared" si="543"/>
        <v>141738</v>
      </c>
      <c r="AW406" s="91">
        <f t="shared" si="543"/>
        <v>80420</v>
      </c>
      <c r="AX406" s="92">
        <f t="shared" si="543"/>
        <v>13.9407</v>
      </c>
      <c r="AY406" s="92">
        <f t="shared" si="543"/>
        <v>10.813000000000001</v>
      </c>
      <c r="AZ406" s="93">
        <f t="shared" si="543"/>
        <v>3.1276999999999999</v>
      </c>
    </row>
    <row r="407" spans="1:52" ht="14.1" customHeight="1" x14ac:dyDescent="0.2">
      <c r="A407" s="72">
        <v>81</v>
      </c>
      <c r="B407" s="69">
        <v>2406</v>
      </c>
      <c r="C407" s="70">
        <v>600079031</v>
      </c>
      <c r="D407" s="69">
        <v>70695091</v>
      </c>
      <c r="E407" s="71" t="s">
        <v>727</v>
      </c>
      <c r="F407" s="72">
        <v>3111</v>
      </c>
      <c r="G407" s="71" t="s">
        <v>312</v>
      </c>
      <c r="H407" s="73" t="s">
        <v>278</v>
      </c>
      <c r="I407" s="494">
        <v>3475640</v>
      </c>
      <c r="J407" s="674">
        <v>2545795</v>
      </c>
      <c r="K407" s="674">
        <v>0</v>
      </c>
      <c r="L407" s="489">
        <v>860479</v>
      </c>
      <c r="M407" s="489">
        <v>50916</v>
      </c>
      <c r="N407" s="489">
        <v>18450</v>
      </c>
      <c r="O407" s="490">
        <v>5.7897999999999996</v>
      </c>
      <c r="P407" s="490">
        <v>4</v>
      </c>
      <c r="Q407" s="500">
        <v>1.7898000000000001</v>
      </c>
      <c r="R407" s="502">
        <f t="shared" si="523"/>
        <v>0</v>
      </c>
      <c r="S407" s="492">
        <v>0</v>
      </c>
      <c r="T407" s="492">
        <v>0</v>
      </c>
      <c r="U407" s="492">
        <v>0</v>
      </c>
      <c r="V407" s="492">
        <f>SUM(R407:U407)</f>
        <v>0</v>
      </c>
      <c r="W407" s="492">
        <v>0</v>
      </c>
      <c r="X407" s="492">
        <v>0</v>
      </c>
      <c r="Y407" s="492">
        <v>0</v>
      </c>
      <c r="Z407" s="492">
        <f t="shared" si="529"/>
        <v>0</v>
      </c>
      <c r="AA407" s="492">
        <f t="shared" si="530"/>
        <v>0</v>
      </c>
      <c r="AB407" s="74">
        <f t="shared" si="531"/>
        <v>0</v>
      </c>
      <c r="AC407" s="74">
        <f t="shared" si="532"/>
        <v>0</v>
      </c>
      <c r="AD407" s="492">
        <v>0</v>
      </c>
      <c r="AE407" s="492">
        <v>0</v>
      </c>
      <c r="AF407" s="492">
        <f>SUM(AD407:AE407)</f>
        <v>0</v>
      </c>
      <c r="AG407" s="492">
        <f>AA407+AB407+AC407+AF407</f>
        <v>0</v>
      </c>
      <c r="AH407" s="493">
        <v>0</v>
      </c>
      <c r="AI407" s="493">
        <v>0</v>
      </c>
      <c r="AJ407" s="493">
        <v>0</v>
      </c>
      <c r="AK407" s="493">
        <v>0</v>
      </c>
      <c r="AL407" s="493">
        <v>0</v>
      </c>
      <c r="AM407" s="493">
        <v>0</v>
      </c>
      <c r="AN407" s="493">
        <v>0</v>
      </c>
      <c r="AO407" s="493">
        <f t="shared" si="524"/>
        <v>0</v>
      </c>
      <c r="AP407" s="493">
        <f t="shared" si="525"/>
        <v>0</v>
      </c>
      <c r="AQ407" s="495">
        <f t="shared" si="535"/>
        <v>0</v>
      </c>
      <c r="AR407" s="501">
        <f>I407+AG407</f>
        <v>3475640</v>
      </c>
      <c r="AS407" s="492">
        <f>J407+V407</f>
        <v>2545795</v>
      </c>
      <c r="AT407" s="492">
        <f t="shared" ref="AT407:AT408" si="545">K407+Z407</f>
        <v>0</v>
      </c>
      <c r="AU407" s="492">
        <f>L407+AB407</f>
        <v>860479</v>
      </c>
      <c r="AV407" s="492">
        <f>M407+AC407</f>
        <v>50916</v>
      </c>
      <c r="AW407" s="492">
        <f>N407+AF407</f>
        <v>18450</v>
      </c>
      <c r="AX407" s="493">
        <f>O407+AQ407</f>
        <v>5.7897999999999996</v>
      </c>
      <c r="AY407" s="493">
        <f>P407+AO407</f>
        <v>4</v>
      </c>
      <c r="AZ407" s="495">
        <f>Q407+AP407</f>
        <v>1.7898000000000001</v>
      </c>
    </row>
    <row r="408" spans="1:52" ht="14.1" customHeight="1" x14ac:dyDescent="0.2">
      <c r="A408" s="72">
        <v>81</v>
      </c>
      <c r="B408" s="69">
        <v>2406</v>
      </c>
      <c r="C408" s="70">
        <v>600079031</v>
      </c>
      <c r="D408" s="69">
        <v>70695091</v>
      </c>
      <c r="E408" s="71" t="s">
        <v>727</v>
      </c>
      <c r="F408" s="72">
        <v>3141</v>
      </c>
      <c r="G408" s="71" t="s">
        <v>316</v>
      </c>
      <c r="H408" s="73" t="s">
        <v>279</v>
      </c>
      <c r="I408" s="494">
        <v>404755</v>
      </c>
      <c r="J408" s="489">
        <v>297027</v>
      </c>
      <c r="K408" s="489">
        <v>0</v>
      </c>
      <c r="L408" s="489">
        <v>100395</v>
      </c>
      <c r="M408" s="489">
        <v>5941</v>
      </c>
      <c r="N408" s="489">
        <v>1392</v>
      </c>
      <c r="O408" s="490">
        <v>0.94</v>
      </c>
      <c r="P408" s="491">
        <v>0</v>
      </c>
      <c r="Q408" s="500">
        <v>0.94</v>
      </c>
      <c r="R408" s="502">
        <f t="shared" si="523"/>
        <v>0</v>
      </c>
      <c r="S408" s="492">
        <v>0</v>
      </c>
      <c r="T408" s="492">
        <v>0</v>
      </c>
      <c r="U408" s="492">
        <v>0</v>
      </c>
      <c r="V408" s="492">
        <f>SUM(R408:U408)</f>
        <v>0</v>
      </c>
      <c r="W408" s="492">
        <v>0</v>
      </c>
      <c r="X408" s="492">
        <v>0</v>
      </c>
      <c r="Y408" s="492">
        <v>0</v>
      </c>
      <c r="Z408" s="492">
        <f t="shared" si="529"/>
        <v>0</v>
      </c>
      <c r="AA408" s="492">
        <f t="shared" si="530"/>
        <v>0</v>
      </c>
      <c r="AB408" s="74">
        <f t="shared" si="531"/>
        <v>0</v>
      </c>
      <c r="AC408" s="74">
        <f t="shared" si="532"/>
        <v>0</v>
      </c>
      <c r="AD408" s="492">
        <v>0</v>
      </c>
      <c r="AE408" s="492">
        <v>0</v>
      </c>
      <c r="AF408" s="492">
        <f>SUM(AD408:AE408)</f>
        <v>0</v>
      </c>
      <c r="AG408" s="492">
        <f>AA408+AB408+AC408+AF408</f>
        <v>0</v>
      </c>
      <c r="AH408" s="493">
        <v>0</v>
      </c>
      <c r="AI408" s="493">
        <v>0</v>
      </c>
      <c r="AJ408" s="493">
        <v>0</v>
      </c>
      <c r="AK408" s="493">
        <v>0</v>
      </c>
      <c r="AL408" s="493">
        <v>0</v>
      </c>
      <c r="AM408" s="493">
        <v>0</v>
      </c>
      <c r="AN408" s="493">
        <v>0</v>
      </c>
      <c r="AO408" s="493">
        <f t="shared" si="524"/>
        <v>0</v>
      </c>
      <c r="AP408" s="493">
        <f t="shared" si="525"/>
        <v>0</v>
      </c>
      <c r="AQ408" s="495">
        <f t="shared" si="535"/>
        <v>0</v>
      </c>
      <c r="AR408" s="501">
        <f>I408+AG408</f>
        <v>404755</v>
      </c>
      <c r="AS408" s="492">
        <f>J408+V408</f>
        <v>297027</v>
      </c>
      <c r="AT408" s="492">
        <f t="shared" si="545"/>
        <v>0</v>
      </c>
      <c r="AU408" s="492">
        <f>L408+AB408</f>
        <v>100395</v>
      </c>
      <c r="AV408" s="492">
        <f>M408+AC408</f>
        <v>5941</v>
      </c>
      <c r="AW408" s="492">
        <f>N408+AF408</f>
        <v>1392</v>
      </c>
      <c r="AX408" s="493">
        <f>O408+AQ408</f>
        <v>0.94</v>
      </c>
      <c r="AY408" s="493">
        <f>P408+AO408</f>
        <v>0</v>
      </c>
      <c r="AZ408" s="495">
        <f>Q408+AP408</f>
        <v>0.94</v>
      </c>
    </row>
    <row r="409" spans="1:52" ht="14.1" customHeight="1" x14ac:dyDescent="0.2">
      <c r="A409" s="78">
        <v>81</v>
      </c>
      <c r="B409" s="75">
        <v>2406</v>
      </c>
      <c r="C409" s="76">
        <v>600079031</v>
      </c>
      <c r="D409" s="75">
        <v>70695091</v>
      </c>
      <c r="E409" s="77" t="s">
        <v>728</v>
      </c>
      <c r="F409" s="78"/>
      <c r="G409" s="77"/>
      <c r="H409" s="79"/>
      <c r="I409" s="80">
        <v>3880395</v>
      </c>
      <c r="J409" s="81">
        <v>2842822</v>
      </c>
      <c r="K409" s="81">
        <v>0</v>
      </c>
      <c r="L409" s="81">
        <v>960874</v>
      </c>
      <c r="M409" s="81">
        <v>56857</v>
      </c>
      <c r="N409" s="81">
        <v>19842</v>
      </c>
      <c r="O409" s="82">
        <v>6.7297999999999991</v>
      </c>
      <c r="P409" s="82">
        <v>4</v>
      </c>
      <c r="Q409" s="452">
        <v>2.7298</v>
      </c>
      <c r="R409" s="80">
        <f t="shared" ref="R409:AZ409" si="546">SUM(R407:R408)</f>
        <v>0</v>
      </c>
      <c r="S409" s="81">
        <f t="shared" si="546"/>
        <v>0</v>
      </c>
      <c r="T409" s="81">
        <f t="shared" si="546"/>
        <v>0</v>
      </c>
      <c r="U409" s="81">
        <f t="shared" si="546"/>
        <v>0</v>
      </c>
      <c r="V409" s="81">
        <f t="shared" si="546"/>
        <v>0</v>
      </c>
      <c r="W409" s="81">
        <f t="shared" si="546"/>
        <v>0</v>
      </c>
      <c r="X409" s="81">
        <f t="shared" si="546"/>
        <v>0</v>
      </c>
      <c r="Y409" s="81">
        <f t="shared" si="546"/>
        <v>0</v>
      </c>
      <c r="Z409" s="81">
        <f t="shared" si="546"/>
        <v>0</v>
      </c>
      <c r="AA409" s="81">
        <f t="shared" si="546"/>
        <v>0</v>
      </c>
      <c r="AB409" s="81">
        <f t="shared" si="546"/>
        <v>0</v>
      </c>
      <c r="AC409" s="81">
        <f t="shared" si="546"/>
        <v>0</v>
      </c>
      <c r="AD409" s="81">
        <f t="shared" si="546"/>
        <v>0</v>
      </c>
      <c r="AE409" s="81">
        <f t="shared" si="546"/>
        <v>0</v>
      </c>
      <c r="AF409" s="81">
        <f t="shared" si="546"/>
        <v>0</v>
      </c>
      <c r="AG409" s="81">
        <f t="shared" si="546"/>
        <v>0</v>
      </c>
      <c r="AH409" s="82">
        <f t="shared" si="546"/>
        <v>0</v>
      </c>
      <c r="AI409" s="82">
        <f t="shared" si="546"/>
        <v>0</v>
      </c>
      <c r="AJ409" s="82">
        <f t="shared" si="546"/>
        <v>0</v>
      </c>
      <c r="AK409" s="82">
        <f t="shared" ref="AK409:AL409" si="547">SUM(AK407:AK408)</f>
        <v>0</v>
      </c>
      <c r="AL409" s="82">
        <f t="shared" si="547"/>
        <v>0</v>
      </c>
      <c r="AM409" s="82">
        <f t="shared" si="546"/>
        <v>0</v>
      </c>
      <c r="AN409" s="82">
        <f t="shared" si="546"/>
        <v>0</v>
      </c>
      <c r="AO409" s="82">
        <f t="shared" si="546"/>
        <v>0</v>
      </c>
      <c r="AP409" s="82">
        <f t="shared" si="546"/>
        <v>0</v>
      </c>
      <c r="AQ409" s="83">
        <f t="shared" si="546"/>
        <v>0</v>
      </c>
      <c r="AR409" s="438">
        <f t="shared" si="546"/>
        <v>3880395</v>
      </c>
      <c r="AS409" s="81">
        <f t="shared" si="546"/>
        <v>2842822</v>
      </c>
      <c r="AT409" s="81">
        <f t="shared" si="546"/>
        <v>0</v>
      </c>
      <c r="AU409" s="81">
        <f t="shared" si="546"/>
        <v>960874</v>
      </c>
      <c r="AV409" s="81">
        <f t="shared" si="546"/>
        <v>56857</v>
      </c>
      <c r="AW409" s="81">
        <f t="shared" si="546"/>
        <v>19842</v>
      </c>
      <c r="AX409" s="82">
        <f t="shared" si="546"/>
        <v>6.7297999999999991</v>
      </c>
      <c r="AY409" s="82">
        <f t="shared" si="546"/>
        <v>4</v>
      </c>
      <c r="AZ409" s="83">
        <f t="shared" si="546"/>
        <v>2.7298</v>
      </c>
    </row>
    <row r="410" spans="1:52" ht="14.1" customHeight="1" x14ac:dyDescent="0.2">
      <c r="A410" s="72">
        <v>82</v>
      </c>
      <c r="B410" s="69">
        <v>2466</v>
      </c>
      <c r="C410" s="70">
        <v>600079821</v>
      </c>
      <c r="D410" s="69">
        <v>70695083</v>
      </c>
      <c r="E410" s="71" t="s">
        <v>729</v>
      </c>
      <c r="F410" s="72">
        <v>3113</v>
      </c>
      <c r="G410" s="71" t="s">
        <v>315</v>
      </c>
      <c r="H410" s="73" t="s">
        <v>278</v>
      </c>
      <c r="I410" s="494">
        <v>8233409</v>
      </c>
      <c r="J410" s="489">
        <v>5941874</v>
      </c>
      <c r="K410" s="489">
        <v>32500</v>
      </c>
      <c r="L410" s="489">
        <v>2019338</v>
      </c>
      <c r="M410" s="489">
        <v>118837</v>
      </c>
      <c r="N410" s="489">
        <v>120860</v>
      </c>
      <c r="O410" s="490">
        <v>12.247</v>
      </c>
      <c r="P410" s="490">
        <v>9.4545999999999992</v>
      </c>
      <c r="Q410" s="500">
        <v>2.7923999999999998</v>
      </c>
      <c r="R410" s="502">
        <f t="shared" si="523"/>
        <v>0</v>
      </c>
      <c r="S410" s="492">
        <v>0</v>
      </c>
      <c r="T410" s="492">
        <v>0</v>
      </c>
      <c r="U410" s="492">
        <v>0</v>
      </c>
      <c r="V410" s="492">
        <f>SUM(R410:U410)</f>
        <v>0</v>
      </c>
      <c r="W410" s="492">
        <v>0</v>
      </c>
      <c r="X410" s="492">
        <v>0</v>
      </c>
      <c r="Y410" s="492">
        <v>0</v>
      </c>
      <c r="Z410" s="492">
        <f t="shared" si="529"/>
        <v>0</v>
      </c>
      <c r="AA410" s="492">
        <f t="shared" si="530"/>
        <v>0</v>
      </c>
      <c r="AB410" s="74">
        <f t="shared" si="531"/>
        <v>0</v>
      </c>
      <c r="AC410" s="74">
        <f t="shared" si="532"/>
        <v>0</v>
      </c>
      <c r="AD410" s="492">
        <v>0</v>
      </c>
      <c r="AE410" s="492">
        <v>0</v>
      </c>
      <c r="AF410" s="492">
        <f>SUM(AD410:AE410)</f>
        <v>0</v>
      </c>
      <c r="AG410" s="492">
        <f>AA410+AB410+AC410+AF410</f>
        <v>0</v>
      </c>
      <c r="AH410" s="493">
        <v>0</v>
      </c>
      <c r="AI410" s="493">
        <v>0</v>
      </c>
      <c r="AJ410" s="493">
        <v>0</v>
      </c>
      <c r="AK410" s="493">
        <v>0</v>
      </c>
      <c r="AL410" s="493">
        <v>0</v>
      </c>
      <c r="AM410" s="493">
        <v>0</v>
      </c>
      <c r="AN410" s="493">
        <v>0</v>
      </c>
      <c r="AO410" s="493">
        <f t="shared" si="524"/>
        <v>0</v>
      </c>
      <c r="AP410" s="493">
        <f t="shared" si="525"/>
        <v>0</v>
      </c>
      <c r="AQ410" s="495">
        <f t="shared" si="535"/>
        <v>0</v>
      </c>
      <c r="AR410" s="501">
        <f>I410+AG410</f>
        <v>8233409</v>
      </c>
      <c r="AS410" s="492">
        <f>J410+V410</f>
        <v>5941874</v>
      </c>
      <c r="AT410" s="492">
        <f t="shared" ref="AT410:AT414" si="548">K410+Z410</f>
        <v>32500</v>
      </c>
      <c r="AU410" s="492">
        <f t="shared" ref="AU410:AV414" si="549">L410+AB410</f>
        <v>2019338</v>
      </c>
      <c r="AV410" s="492">
        <f t="shared" si="549"/>
        <v>118837</v>
      </c>
      <c r="AW410" s="492">
        <f>N410+AF410</f>
        <v>120860</v>
      </c>
      <c r="AX410" s="493">
        <f>O410+AQ410</f>
        <v>12.247</v>
      </c>
      <c r="AY410" s="493">
        <f t="shared" ref="AY410:AZ414" si="550">P410+AO410</f>
        <v>9.4545999999999992</v>
      </c>
      <c r="AZ410" s="495">
        <f t="shared" si="550"/>
        <v>2.7923999999999998</v>
      </c>
    </row>
    <row r="411" spans="1:52" ht="14.1" customHeight="1" x14ac:dyDescent="0.2">
      <c r="A411" s="72">
        <v>82</v>
      </c>
      <c r="B411" s="69">
        <v>2466</v>
      </c>
      <c r="C411" s="70">
        <v>600079821</v>
      </c>
      <c r="D411" s="69">
        <v>70695083</v>
      </c>
      <c r="E411" s="71" t="s">
        <v>729</v>
      </c>
      <c r="F411" s="72">
        <v>3113</v>
      </c>
      <c r="G411" s="84" t="s">
        <v>313</v>
      </c>
      <c r="H411" s="73" t="s">
        <v>279</v>
      </c>
      <c r="I411" s="494">
        <v>1462579</v>
      </c>
      <c r="J411" s="489">
        <v>1077010</v>
      </c>
      <c r="K411" s="489">
        <v>0</v>
      </c>
      <c r="L411" s="489">
        <v>364029</v>
      </c>
      <c r="M411" s="489">
        <v>21540</v>
      </c>
      <c r="N411" s="489">
        <v>0</v>
      </c>
      <c r="O411" s="490">
        <v>3.24</v>
      </c>
      <c r="P411" s="491">
        <v>3.24</v>
      </c>
      <c r="Q411" s="500">
        <v>0</v>
      </c>
      <c r="R411" s="502">
        <f t="shared" si="523"/>
        <v>0</v>
      </c>
      <c r="S411" s="489">
        <v>-129917</v>
      </c>
      <c r="T411" s="492">
        <v>0</v>
      </c>
      <c r="U411" s="492">
        <v>0</v>
      </c>
      <c r="V411" s="492">
        <f>SUM(R411:U411)</f>
        <v>-129917</v>
      </c>
      <c r="W411" s="492">
        <v>0</v>
      </c>
      <c r="X411" s="492">
        <v>0</v>
      </c>
      <c r="Y411" s="492">
        <v>0</v>
      </c>
      <c r="Z411" s="492">
        <f t="shared" si="529"/>
        <v>0</v>
      </c>
      <c r="AA411" s="492">
        <f t="shared" si="530"/>
        <v>-129917</v>
      </c>
      <c r="AB411" s="74">
        <f t="shared" si="531"/>
        <v>-43912</v>
      </c>
      <c r="AC411" s="74">
        <f t="shared" si="532"/>
        <v>-2598</v>
      </c>
      <c r="AD411" s="492">
        <v>0</v>
      </c>
      <c r="AE411" s="492">
        <v>0</v>
      </c>
      <c r="AF411" s="492">
        <f>SUM(AD411:AE411)</f>
        <v>0</v>
      </c>
      <c r="AG411" s="492">
        <f>AA411+AB411+AC411+AF411</f>
        <v>-176427</v>
      </c>
      <c r="AH411" s="493">
        <v>0</v>
      </c>
      <c r="AI411" s="493">
        <v>0</v>
      </c>
      <c r="AJ411" s="493">
        <v>-0.38</v>
      </c>
      <c r="AK411" s="493">
        <v>0</v>
      </c>
      <c r="AL411" s="493">
        <v>0</v>
      </c>
      <c r="AM411" s="493">
        <v>0</v>
      </c>
      <c r="AN411" s="493">
        <v>0</v>
      </c>
      <c r="AO411" s="493">
        <f t="shared" si="524"/>
        <v>-0.38</v>
      </c>
      <c r="AP411" s="493">
        <f t="shared" si="525"/>
        <v>0</v>
      </c>
      <c r="AQ411" s="495">
        <f t="shared" si="535"/>
        <v>-0.38</v>
      </c>
      <c r="AR411" s="501">
        <f>I411+AG411</f>
        <v>1286152</v>
      </c>
      <c r="AS411" s="492">
        <f>J411+V411</f>
        <v>947093</v>
      </c>
      <c r="AT411" s="492">
        <f t="shared" si="548"/>
        <v>0</v>
      </c>
      <c r="AU411" s="492">
        <f t="shared" si="549"/>
        <v>320117</v>
      </c>
      <c r="AV411" s="492">
        <f t="shared" si="549"/>
        <v>18942</v>
      </c>
      <c r="AW411" s="492">
        <f>N411+AF411</f>
        <v>0</v>
      </c>
      <c r="AX411" s="493">
        <f>O411+AQ411</f>
        <v>2.8600000000000003</v>
      </c>
      <c r="AY411" s="493">
        <f t="shared" si="550"/>
        <v>2.8600000000000003</v>
      </c>
      <c r="AZ411" s="495">
        <f t="shared" si="550"/>
        <v>0</v>
      </c>
    </row>
    <row r="412" spans="1:52" ht="14.1" customHeight="1" x14ac:dyDescent="0.2">
      <c r="A412" s="72">
        <v>82</v>
      </c>
      <c r="B412" s="69">
        <v>2466</v>
      </c>
      <c r="C412" s="70">
        <v>600079821</v>
      </c>
      <c r="D412" s="69">
        <v>70695083</v>
      </c>
      <c r="E412" s="71" t="s">
        <v>729</v>
      </c>
      <c r="F412" s="72">
        <v>3141</v>
      </c>
      <c r="G412" s="71" t="s">
        <v>316</v>
      </c>
      <c r="H412" s="73" t="s">
        <v>279</v>
      </c>
      <c r="I412" s="494">
        <v>1053897</v>
      </c>
      <c r="J412" s="489">
        <v>772051</v>
      </c>
      <c r="K412" s="489">
        <v>0</v>
      </c>
      <c r="L412" s="489">
        <v>260953</v>
      </c>
      <c r="M412" s="489">
        <v>15441</v>
      </c>
      <c r="N412" s="489">
        <v>5452</v>
      </c>
      <c r="O412" s="490">
        <v>2.4300000000000002</v>
      </c>
      <c r="P412" s="491">
        <v>0</v>
      </c>
      <c r="Q412" s="500">
        <v>2.4300000000000002</v>
      </c>
      <c r="R412" s="502">
        <f t="shared" si="523"/>
        <v>0</v>
      </c>
      <c r="S412" s="492">
        <v>0</v>
      </c>
      <c r="T412" s="492">
        <v>0</v>
      </c>
      <c r="U412" s="492">
        <v>0</v>
      </c>
      <c r="V412" s="492">
        <f>SUM(R412:U412)</f>
        <v>0</v>
      </c>
      <c r="W412" s="492">
        <v>0</v>
      </c>
      <c r="X412" s="492">
        <v>0</v>
      </c>
      <c r="Y412" s="492">
        <v>0</v>
      </c>
      <c r="Z412" s="492">
        <f t="shared" si="529"/>
        <v>0</v>
      </c>
      <c r="AA412" s="492">
        <f t="shared" si="530"/>
        <v>0</v>
      </c>
      <c r="AB412" s="74">
        <f t="shared" si="531"/>
        <v>0</v>
      </c>
      <c r="AC412" s="74">
        <f t="shared" si="532"/>
        <v>0</v>
      </c>
      <c r="AD412" s="492">
        <v>0</v>
      </c>
      <c r="AE412" s="492">
        <v>0</v>
      </c>
      <c r="AF412" s="492">
        <f>SUM(AD412:AE412)</f>
        <v>0</v>
      </c>
      <c r="AG412" s="492">
        <f>AA412+AB412+AC412+AF412</f>
        <v>0</v>
      </c>
      <c r="AH412" s="493">
        <v>0</v>
      </c>
      <c r="AI412" s="493">
        <v>0</v>
      </c>
      <c r="AJ412" s="493">
        <v>0</v>
      </c>
      <c r="AK412" s="493">
        <v>0</v>
      </c>
      <c r="AL412" s="493">
        <v>0</v>
      </c>
      <c r="AM412" s="493">
        <v>0</v>
      </c>
      <c r="AN412" s="493">
        <v>0</v>
      </c>
      <c r="AO412" s="493">
        <f t="shared" si="524"/>
        <v>0</v>
      </c>
      <c r="AP412" s="493">
        <f t="shared" si="525"/>
        <v>0</v>
      </c>
      <c r="AQ412" s="495">
        <f t="shared" si="535"/>
        <v>0</v>
      </c>
      <c r="AR412" s="501">
        <f>I412+AG412</f>
        <v>1053897</v>
      </c>
      <c r="AS412" s="492">
        <f>J412+V412</f>
        <v>772051</v>
      </c>
      <c r="AT412" s="492">
        <f t="shared" si="548"/>
        <v>0</v>
      </c>
      <c r="AU412" s="492">
        <f t="shared" si="549"/>
        <v>260953</v>
      </c>
      <c r="AV412" s="492">
        <f t="shared" si="549"/>
        <v>15441</v>
      </c>
      <c r="AW412" s="492">
        <f>N412+AF412</f>
        <v>5452</v>
      </c>
      <c r="AX412" s="493">
        <f>O412+AQ412</f>
        <v>2.4300000000000002</v>
      </c>
      <c r="AY412" s="493">
        <f t="shared" si="550"/>
        <v>0</v>
      </c>
      <c r="AZ412" s="495">
        <f t="shared" si="550"/>
        <v>2.4300000000000002</v>
      </c>
    </row>
    <row r="413" spans="1:52" ht="14.1" customHeight="1" x14ac:dyDescent="0.2">
      <c r="A413" s="72">
        <v>82</v>
      </c>
      <c r="B413" s="69">
        <v>2466</v>
      </c>
      <c r="C413" s="70">
        <v>600079821</v>
      </c>
      <c r="D413" s="69">
        <v>70695083</v>
      </c>
      <c r="E413" s="71" t="s">
        <v>729</v>
      </c>
      <c r="F413" s="72">
        <v>3143</v>
      </c>
      <c r="G413" s="84" t="s">
        <v>629</v>
      </c>
      <c r="H413" s="73" t="s">
        <v>278</v>
      </c>
      <c r="I413" s="494">
        <v>783360</v>
      </c>
      <c r="J413" s="489">
        <v>576848</v>
      </c>
      <c r="K413" s="489">
        <v>0</v>
      </c>
      <c r="L413" s="489">
        <v>194975</v>
      </c>
      <c r="M413" s="489">
        <v>11537</v>
      </c>
      <c r="N413" s="489">
        <v>0</v>
      </c>
      <c r="O413" s="490">
        <v>1.1606000000000001</v>
      </c>
      <c r="P413" s="490">
        <v>1.1606000000000001</v>
      </c>
      <c r="Q413" s="500">
        <v>0</v>
      </c>
      <c r="R413" s="502">
        <f t="shared" si="523"/>
        <v>0</v>
      </c>
      <c r="S413" s="492">
        <v>0</v>
      </c>
      <c r="T413" s="492">
        <v>0</v>
      </c>
      <c r="U413" s="492">
        <v>0</v>
      </c>
      <c r="V413" s="492">
        <f>SUM(R413:U413)</f>
        <v>0</v>
      </c>
      <c r="W413" s="492">
        <v>0</v>
      </c>
      <c r="X413" s="492">
        <v>0</v>
      </c>
      <c r="Y413" s="492">
        <v>0</v>
      </c>
      <c r="Z413" s="492">
        <f t="shared" si="529"/>
        <v>0</v>
      </c>
      <c r="AA413" s="492">
        <f t="shared" si="530"/>
        <v>0</v>
      </c>
      <c r="AB413" s="74">
        <f t="shared" si="531"/>
        <v>0</v>
      </c>
      <c r="AC413" s="74">
        <f t="shared" si="532"/>
        <v>0</v>
      </c>
      <c r="AD413" s="492">
        <v>0</v>
      </c>
      <c r="AE413" s="492">
        <v>0</v>
      </c>
      <c r="AF413" s="492">
        <f>SUM(AD413:AE413)</f>
        <v>0</v>
      </c>
      <c r="AG413" s="492">
        <f>AA413+AB413+AC413+AF413</f>
        <v>0</v>
      </c>
      <c r="AH413" s="493">
        <v>0</v>
      </c>
      <c r="AI413" s="493">
        <v>0</v>
      </c>
      <c r="AJ413" s="493">
        <v>0</v>
      </c>
      <c r="AK413" s="493">
        <v>0</v>
      </c>
      <c r="AL413" s="493">
        <v>0</v>
      </c>
      <c r="AM413" s="493">
        <v>0</v>
      </c>
      <c r="AN413" s="493">
        <v>0</v>
      </c>
      <c r="AO413" s="493">
        <f t="shared" si="524"/>
        <v>0</v>
      </c>
      <c r="AP413" s="493">
        <f t="shared" si="525"/>
        <v>0</v>
      </c>
      <c r="AQ413" s="495">
        <f t="shared" si="535"/>
        <v>0</v>
      </c>
      <c r="AR413" s="501">
        <f>I413+AG413</f>
        <v>783360</v>
      </c>
      <c r="AS413" s="492">
        <f>J413+V413</f>
        <v>576848</v>
      </c>
      <c r="AT413" s="492">
        <f t="shared" si="548"/>
        <v>0</v>
      </c>
      <c r="AU413" s="492">
        <f t="shared" si="549"/>
        <v>194975</v>
      </c>
      <c r="AV413" s="492">
        <f t="shared" si="549"/>
        <v>11537</v>
      </c>
      <c r="AW413" s="492">
        <f>N413+AF413</f>
        <v>0</v>
      </c>
      <c r="AX413" s="493">
        <f>O413+AQ413</f>
        <v>1.1606000000000001</v>
      </c>
      <c r="AY413" s="493">
        <f t="shared" si="550"/>
        <v>1.1606000000000001</v>
      </c>
      <c r="AZ413" s="495">
        <f t="shared" si="550"/>
        <v>0</v>
      </c>
    </row>
    <row r="414" spans="1:52" ht="14.1" customHeight="1" x14ac:dyDescent="0.2">
      <c r="A414" s="72">
        <v>82</v>
      </c>
      <c r="B414" s="69">
        <v>2466</v>
      </c>
      <c r="C414" s="70">
        <v>600079821</v>
      </c>
      <c r="D414" s="69">
        <v>70695083</v>
      </c>
      <c r="E414" s="71" t="s">
        <v>729</v>
      </c>
      <c r="F414" s="72">
        <v>3143</v>
      </c>
      <c r="G414" s="84" t="s">
        <v>630</v>
      </c>
      <c r="H414" s="73" t="s">
        <v>279</v>
      </c>
      <c r="I414" s="494">
        <v>24193</v>
      </c>
      <c r="J414" s="489">
        <v>17108</v>
      </c>
      <c r="K414" s="489">
        <v>0</v>
      </c>
      <c r="L414" s="489">
        <v>5783</v>
      </c>
      <c r="M414" s="489">
        <v>342</v>
      </c>
      <c r="N414" s="489">
        <v>960</v>
      </c>
      <c r="O414" s="490">
        <v>7.0000000000000007E-2</v>
      </c>
      <c r="P414" s="491">
        <v>0</v>
      </c>
      <c r="Q414" s="500">
        <v>7.0000000000000007E-2</v>
      </c>
      <c r="R414" s="502">
        <f t="shared" si="523"/>
        <v>0</v>
      </c>
      <c r="S414" s="492">
        <v>0</v>
      </c>
      <c r="T414" s="492">
        <v>0</v>
      </c>
      <c r="U414" s="492">
        <v>0</v>
      </c>
      <c r="V414" s="492">
        <f>SUM(R414:U414)</f>
        <v>0</v>
      </c>
      <c r="W414" s="492">
        <v>0</v>
      </c>
      <c r="X414" s="492">
        <v>0</v>
      </c>
      <c r="Y414" s="492">
        <v>0</v>
      </c>
      <c r="Z414" s="492">
        <f t="shared" si="529"/>
        <v>0</v>
      </c>
      <c r="AA414" s="492">
        <f t="shared" si="530"/>
        <v>0</v>
      </c>
      <c r="AB414" s="74">
        <f t="shared" si="531"/>
        <v>0</v>
      </c>
      <c r="AC414" s="74">
        <f t="shared" si="532"/>
        <v>0</v>
      </c>
      <c r="AD414" s="492">
        <v>0</v>
      </c>
      <c r="AE414" s="492">
        <v>0</v>
      </c>
      <c r="AF414" s="492">
        <f>SUM(AD414:AE414)</f>
        <v>0</v>
      </c>
      <c r="AG414" s="492">
        <f>AA414+AB414+AC414+AF414</f>
        <v>0</v>
      </c>
      <c r="AH414" s="493">
        <v>0</v>
      </c>
      <c r="AI414" s="493">
        <v>0</v>
      </c>
      <c r="AJ414" s="493">
        <v>0</v>
      </c>
      <c r="AK414" s="493">
        <v>0</v>
      </c>
      <c r="AL414" s="493">
        <v>0</v>
      </c>
      <c r="AM414" s="493">
        <v>0</v>
      </c>
      <c r="AN414" s="493">
        <v>0</v>
      </c>
      <c r="AO414" s="493">
        <f t="shared" si="524"/>
        <v>0</v>
      </c>
      <c r="AP414" s="493">
        <f t="shared" si="525"/>
        <v>0</v>
      </c>
      <c r="AQ414" s="495">
        <f t="shared" si="535"/>
        <v>0</v>
      </c>
      <c r="AR414" s="501">
        <f>I414+AG414</f>
        <v>24193</v>
      </c>
      <c r="AS414" s="492">
        <f>J414+V414</f>
        <v>17108</v>
      </c>
      <c r="AT414" s="492">
        <f t="shared" si="548"/>
        <v>0</v>
      </c>
      <c r="AU414" s="492">
        <f t="shared" si="549"/>
        <v>5783</v>
      </c>
      <c r="AV414" s="492">
        <f t="shared" si="549"/>
        <v>342</v>
      </c>
      <c r="AW414" s="492">
        <f>N414+AF414</f>
        <v>960</v>
      </c>
      <c r="AX414" s="493">
        <f>O414+AQ414</f>
        <v>7.0000000000000007E-2</v>
      </c>
      <c r="AY414" s="493">
        <f t="shared" si="550"/>
        <v>0</v>
      </c>
      <c r="AZ414" s="495">
        <f t="shared" si="550"/>
        <v>7.0000000000000007E-2</v>
      </c>
    </row>
    <row r="415" spans="1:52" ht="14.1" customHeight="1" x14ac:dyDescent="0.2">
      <c r="A415" s="78">
        <v>82</v>
      </c>
      <c r="B415" s="75">
        <v>2466</v>
      </c>
      <c r="C415" s="76">
        <v>600079821</v>
      </c>
      <c r="D415" s="75">
        <v>70695083</v>
      </c>
      <c r="E415" s="77" t="s">
        <v>730</v>
      </c>
      <c r="F415" s="78"/>
      <c r="G415" s="77"/>
      <c r="H415" s="79"/>
      <c r="I415" s="80">
        <v>11557438</v>
      </c>
      <c r="J415" s="81">
        <v>8384891</v>
      </c>
      <c r="K415" s="81">
        <v>32500</v>
      </c>
      <c r="L415" s="81">
        <v>2845078</v>
      </c>
      <c r="M415" s="81">
        <v>167697</v>
      </c>
      <c r="N415" s="81">
        <v>127272</v>
      </c>
      <c r="O415" s="82">
        <v>19.147600000000001</v>
      </c>
      <c r="P415" s="82">
        <v>13.8552</v>
      </c>
      <c r="Q415" s="452">
        <v>5.2924000000000007</v>
      </c>
      <c r="R415" s="80">
        <f t="shared" ref="R415:AZ415" si="551">SUM(R410:R414)</f>
        <v>0</v>
      </c>
      <c r="S415" s="81">
        <f t="shared" si="551"/>
        <v>-129917</v>
      </c>
      <c r="T415" s="81">
        <f t="shared" si="551"/>
        <v>0</v>
      </c>
      <c r="U415" s="81">
        <f t="shared" si="551"/>
        <v>0</v>
      </c>
      <c r="V415" s="81">
        <f t="shared" si="551"/>
        <v>-129917</v>
      </c>
      <c r="W415" s="81">
        <f t="shared" si="551"/>
        <v>0</v>
      </c>
      <c r="X415" s="81">
        <f t="shared" si="551"/>
        <v>0</v>
      </c>
      <c r="Y415" s="81">
        <f t="shared" si="551"/>
        <v>0</v>
      </c>
      <c r="Z415" s="81">
        <f t="shared" si="551"/>
        <v>0</v>
      </c>
      <c r="AA415" s="81">
        <f t="shared" si="551"/>
        <v>-129917</v>
      </c>
      <c r="AB415" s="81">
        <f t="shared" si="551"/>
        <v>-43912</v>
      </c>
      <c r="AC415" s="81">
        <f t="shared" si="551"/>
        <v>-2598</v>
      </c>
      <c r="AD415" s="81">
        <f t="shared" si="551"/>
        <v>0</v>
      </c>
      <c r="AE415" s="81">
        <f t="shared" si="551"/>
        <v>0</v>
      </c>
      <c r="AF415" s="81">
        <f t="shared" si="551"/>
        <v>0</v>
      </c>
      <c r="AG415" s="81">
        <f t="shared" si="551"/>
        <v>-176427</v>
      </c>
      <c r="AH415" s="82">
        <f t="shared" si="551"/>
        <v>0</v>
      </c>
      <c r="AI415" s="82">
        <f t="shared" si="551"/>
        <v>0</v>
      </c>
      <c r="AJ415" s="82">
        <f t="shared" si="551"/>
        <v>-0.38</v>
      </c>
      <c r="AK415" s="82">
        <f t="shared" ref="AK415:AL415" si="552">SUM(AK410:AK414)</f>
        <v>0</v>
      </c>
      <c r="AL415" s="82">
        <f t="shared" si="552"/>
        <v>0</v>
      </c>
      <c r="AM415" s="82">
        <f t="shared" si="551"/>
        <v>0</v>
      </c>
      <c r="AN415" s="82">
        <f t="shared" si="551"/>
        <v>0</v>
      </c>
      <c r="AO415" s="82">
        <f t="shared" si="551"/>
        <v>-0.38</v>
      </c>
      <c r="AP415" s="82">
        <f t="shared" si="551"/>
        <v>0</v>
      </c>
      <c r="AQ415" s="83">
        <f t="shared" si="551"/>
        <v>-0.38</v>
      </c>
      <c r="AR415" s="438">
        <f t="shared" si="551"/>
        <v>11381011</v>
      </c>
      <c r="AS415" s="81">
        <f t="shared" si="551"/>
        <v>8254974</v>
      </c>
      <c r="AT415" s="81">
        <f t="shared" si="551"/>
        <v>32500</v>
      </c>
      <c r="AU415" s="81">
        <f t="shared" si="551"/>
        <v>2801166</v>
      </c>
      <c r="AV415" s="81">
        <f t="shared" si="551"/>
        <v>165099</v>
      </c>
      <c r="AW415" s="81">
        <f t="shared" si="551"/>
        <v>127272</v>
      </c>
      <c r="AX415" s="82">
        <f t="shared" si="551"/>
        <v>18.767599999999998</v>
      </c>
      <c r="AY415" s="82">
        <f t="shared" si="551"/>
        <v>13.475199999999999</v>
      </c>
      <c r="AZ415" s="83">
        <f t="shared" si="551"/>
        <v>5.2924000000000007</v>
      </c>
    </row>
    <row r="416" spans="1:52" ht="14.1" customHeight="1" x14ac:dyDescent="0.2">
      <c r="A416" s="72">
        <v>83</v>
      </c>
      <c r="B416" s="69">
        <v>2493</v>
      </c>
      <c r="C416" s="70">
        <v>600080021</v>
      </c>
      <c r="D416" s="69">
        <v>72742399</v>
      </c>
      <c r="E416" s="71" t="s">
        <v>731</v>
      </c>
      <c r="F416" s="72">
        <v>3111</v>
      </c>
      <c r="G416" s="71" t="s">
        <v>312</v>
      </c>
      <c r="H416" s="73" t="s">
        <v>278</v>
      </c>
      <c r="I416" s="494">
        <v>7093340</v>
      </c>
      <c r="J416" s="489">
        <v>5151810</v>
      </c>
      <c r="K416" s="489">
        <v>39000</v>
      </c>
      <c r="L416" s="489">
        <v>1754494</v>
      </c>
      <c r="M416" s="489">
        <v>103036</v>
      </c>
      <c r="N416" s="489">
        <v>45000</v>
      </c>
      <c r="O416" s="490">
        <v>12.024900000000001</v>
      </c>
      <c r="P416" s="490">
        <v>9.7703000000000007</v>
      </c>
      <c r="Q416" s="500">
        <v>2.2546000000000004</v>
      </c>
      <c r="R416" s="502">
        <f t="shared" si="523"/>
        <v>0</v>
      </c>
      <c r="S416" s="492">
        <v>0</v>
      </c>
      <c r="T416" s="492">
        <v>0</v>
      </c>
      <c r="U416" s="492">
        <v>0</v>
      </c>
      <c r="V416" s="492">
        <f t="shared" ref="V416:V421" si="553">SUM(R416:U416)</f>
        <v>0</v>
      </c>
      <c r="W416" s="492">
        <v>0</v>
      </c>
      <c r="X416" s="492">
        <v>0</v>
      </c>
      <c r="Y416" s="492">
        <v>0</v>
      </c>
      <c r="Z416" s="492">
        <f t="shared" si="529"/>
        <v>0</v>
      </c>
      <c r="AA416" s="492">
        <f t="shared" si="530"/>
        <v>0</v>
      </c>
      <c r="AB416" s="74">
        <f t="shared" si="531"/>
        <v>0</v>
      </c>
      <c r="AC416" s="74">
        <f t="shared" si="532"/>
        <v>0</v>
      </c>
      <c r="AD416" s="492">
        <v>0</v>
      </c>
      <c r="AE416" s="492">
        <v>0</v>
      </c>
      <c r="AF416" s="492">
        <f t="shared" ref="AF416:AF421" si="554">SUM(AD416:AE416)</f>
        <v>0</v>
      </c>
      <c r="AG416" s="492">
        <f t="shared" ref="AG416:AG421" si="555">AA416+AB416+AC416+AF416</f>
        <v>0</v>
      </c>
      <c r="AH416" s="493">
        <v>0</v>
      </c>
      <c r="AI416" s="493">
        <v>0</v>
      </c>
      <c r="AJ416" s="493">
        <v>0</v>
      </c>
      <c r="AK416" s="493">
        <v>0</v>
      </c>
      <c r="AL416" s="493">
        <v>0</v>
      </c>
      <c r="AM416" s="493">
        <v>0</v>
      </c>
      <c r="AN416" s="493">
        <v>0</v>
      </c>
      <c r="AO416" s="493">
        <f t="shared" si="524"/>
        <v>0</v>
      </c>
      <c r="AP416" s="493">
        <f t="shared" si="525"/>
        <v>0</v>
      </c>
      <c r="AQ416" s="495">
        <f t="shared" si="535"/>
        <v>0</v>
      </c>
      <c r="AR416" s="501">
        <f t="shared" ref="AR416:AR421" si="556">I416+AG416</f>
        <v>7093340</v>
      </c>
      <c r="AS416" s="492">
        <f t="shared" ref="AS416:AS421" si="557">J416+V416</f>
        <v>5151810</v>
      </c>
      <c r="AT416" s="492">
        <f t="shared" ref="AT416:AT421" si="558">K416+Z416</f>
        <v>39000</v>
      </c>
      <c r="AU416" s="492">
        <f t="shared" ref="AU416:AV421" si="559">L416+AB416</f>
        <v>1754494</v>
      </c>
      <c r="AV416" s="492">
        <f t="shared" si="559"/>
        <v>103036</v>
      </c>
      <c r="AW416" s="492">
        <f t="shared" ref="AW416:AW421" si="560">N416+AF416</f>
        <v>45000</v>
      </c>
      <c r="AX416" s="493">
        <f t="shared" ref="AX416:AX421" si="561">O416+AQ416</f>
        <v>12.024900000000001</v>
      </c>
      <c r="AY416" s="493">
        <f t="shared" ref="AY416:AZ421" si="562">P416+AO416</f>
        <v>9.7703000000000007</v>
      </c>
      <c r="AZ416" s="495">
        <f t="shared" si="562"/>
        <v>2.2546000000000004</v>
      </c>
    </row>
    <row r="417" spans="1:52" ht="14.1" customHeight="1" x14ac:dyDescent="0.2">
      <c r="A417" s="72">
        <v>83</v>
      </c>
      <c r="B417" s="69">
        <v>2493</v>
      </c>
      <c r="C417" s="70">
        <v>600080021</v>
      </c>
      <c r="D417" s="69">
        <v>72742399</v>
      </c>
      <c r="E417" s="71" t="s">
        <v>731</v>
      </c>
      <c r="F417" s="72">
        <v>3113</v>
      </c>
      <c r="G417" s="71" t="s">
        <v>315</v>
      </c>
      <c r="H417" s="73" t="s">
        <v>278</v>
      </c>
      <c r="I417" s="494">
        <v>17942994</v>
      </c>
      <c r="J417" s="489">
        <v>12929061</v>
      </c>
      <c r="K417" s="489">
        <v>0</v>
      </c>
      <c r="L417" s="489">
        <v>4370022</v>
      </c>
      <c r="M417" s="489">
        <v>258581</v>
      </c>
      <c r="N417" s="489">
        <v>385330</v>
      </c>
      <c r="O417" s="490">
        <v>22.202199999999998</v>
      </c>
      <c r="P417" s="490">
        <v>16.059999999999999</v>
      </c>
      <c r="Q417" s="500">
        <v>6.1421999999999999</v>
      </c>
      <c r="R417" s="502">
        <f t="shared" si="523"/>
        <v>0</v>
      </c>
      <c r="S417" s="492">
        <v>0</v>
      </c>
      <c r="T417" s="492">
        <v>0</v>
      </c>
      <c r="U417" s="492">
        <v>0</v>
      </c>
      <c r="V417" s="492">
        <f t="shared" si="553"/>
        <v>0</v>
      </c>
      <c r="W417" s="492">
        <v>0</v>
      </c>
      <c r="X417" s="492">
        <v>0</v>
      </c>
      <c r="Y417" s="492">
        <v>0</v>
      </c>
      <c r="Z417" s="492">
        <f t="shared" si="529"/>
        <v>0</v>
      </c>
      <c r="AA417" s="492">
        <f t="shared" si="530"/>
        <v>0</v>
      </c>
      <c r="AB417" s="74">
        <f t="shared" si="531"/>
        <v>0</v>
      </c>
      <c r="AC417" s="74">
        <f t="shared" si="532"/>
        <v>0</v>
      </c>
      <c r="AD417" s="492">
        <v>0</v>
      </c>
      <c r="AE417" s="492">
        <v>0</v>
      </c>
      <c r="AF417" s="492">
        <f t="shared" si="554"/>
        <v>0</v>
      </c>
      <c r="AG417" s="492">
        <f t="shared" si="555"/>
        <v>0</v>
      </c>
      <c r="AH417" s="493">
        <v>0</v>
      </c>
      <c r="AI417" s="493">
        <v>0</v>
      </c>
      <c r="AJ417" s="493">
        <v>0</v>
      </c>
      <c r="AK417" s="493">
        <v>0</v>
      </c>
      <c r="AL417" s="493">
        <v>0</v>
      </c>
      <c r="AM417" s="493">
        <v>0</v>
      </c>
      <c r="AN417" s="493">
        <v>0</v>
      </c>
      <c r="AO417" s="493">
        <f t="shared" si="524"/>
        <v>0</v>
      </c>
      <c r="AP417" s="493">
        <f t="shared" si="525"/>
        <v>0</v>
      </c>
      <c r="AQ417" s="495">
        <f t="shared" si="535"/>
        <v>0</v>
      </c>
      <c r="AR417" s="501">
        <f t="shared" si="556"/>
        <v>17942994</v>
      </c>
      <c r="AS417" s="492">
        <f t="shared" si="557"/>
        <v>12929061</v>
      </c>
      <c r="AT417" s="492">
        <f t="shared" si="558"/>
        <v>0</v>
      </c>
      <c r="AU417" s="492">
        <f t="shared" si="559"/>
        <v>4370022</v>
      </c>
      <c r="AV417" s="492">
        <f t="shared" si="559"/>
        <v>258581</v>
      </c>
      <c r="AW417" s="492">
        <f t="shared" si="560"/>
        <v>385330</v>
      </c>
      <c r="AX417" s="493">
        <f t="shared" si="561"/>
        <v>22.202199999999998</v>
      </c>
      <c r="AY417" s="493">
        <f t="shared" si="562"/>
        <v>16.059999999999999</v>
      </c>
      <c r="AZ417" s="495">
        <f t="shared" si="562"/>
        <v>6.1421999999999999</v>
      </c>
    </row>
    <row r="418" spans="1:52" ht="14.1" customHeight="1" x14ac:dyDescent="0.2">
      <c r="A418" s="72">
        <v>83</v>
      </c>
      <c r="B418" s="69">
        <v>2493</v>
      </c>
      <c r="C418" s="70">
        <v>600080021</v>
      </c>
      <c r="D418" s="69">
        <v>72742399</v>
      </c>
      <c r="E418" s="71" t="s">
        <v>731</v>
      </c>
      <c r="F418" s="72">
        <v>3113</v>
      </c>
      <c r="G418" s="84" t="s">
        <v>313</v>
      </c>
      <c r="H418" s="73" t="s">
        <v>279</v>
      </c>
      <c r="I418" s="494">
        <v>2689576</v>
      </c>
      <c r="J418" s="489">
        <v>1980542</v>
      </c>
      <c r="K418" s="489">
        <v>0</v>
      </c>
      <c r="L418" s="489">
        <v>669423</v>
      </c>
      <c r="M418" s="489">
        <v>39611</v>
      </c>
      <c r="N418" s="489">
        <v>0</v>
      </c>
      <c r="O418" s="490">
        <v>6.35</v>
      </c>
      <c r="P418" s="491">
        <v>6.35</v>
      </c>
      <c r="Q418" s="500">
        <v>0</v>
      </c>
      <c r="R418" s="502">
        <f t="shared" si="523"/>
        <v>0</v>
      </c>
      <c r="S418" s="489">
        <v>0</v>
      </c>
      <c r="T418" s="492">
        <v>0</v>
      </c>
      <c r="U418" s="492">
        <v>0</v>
      </c>
      <c r="V418" s="492">
        <f t="shared" si="553"/>
        <v>0</v>
      </c>
      <c r="W418" s="492">
        <v>0</v>
      </c>
      <c r="X418" s="492">
        <v>0</v>
      </c>
      <c r="Y418" s="492">
        <v>0</v>
      </c>
      <c r="Z418" s="492">
        <f t="shared" si="529"/>
        <v>0</v>
      </c>
      <c r="AA418" s="492">
        <f t="shared" si="530"/>
        <v>0</v>
      </c>
      <c r="AB418" s="74">
        <f t="shared" si="531"/>
        <v>0</v>
      </c>
      <c r="AC418" s="74">
        <f t="shared" si="532"/>
        <v>0</v>
      </c>
      <c r="AD418" s="492">
        <v>0</v>
      </c>
      <c r="AE418" s="492">
        <v>0</v>
      </c>
      <c r="AF418" s="492">
        <f t="shared" si="554"/>
        <v>0</v>
      </c>
      <c r="AG418" s="492">
        <f t="shared" si="555"/>
        <v>0</v>
      </c>
      <c r="AH418" s="493">
        <v>0</v>
      </c>
      <c r="AI418" s="493">
        <v>0</v>
      </c>
      <c r="AJ418" s="493">
        <v>0</v>
      </c>
      <c r="AK418" s="493">
        <v>0</v>
      </c>
      <c r="AL418" s="493">
        <v>0</v>
      </c>
      <c r="AM418" s="493">
        <v>0</v>
      </c>
      <c r="AN418" s="493">
        <v>0</v>
      </c>
      <c r="AO418" s="493">
        <f t="shared" si="524"/>
        <v>0</v>
      </c>
      <c r="AP418" s="493">
        <f t="shared" si="525"/>
        <v>0</v>
      </c>
      <c r="AQ418" s="495">
        <f t="shared" si="535"/>
        <v>0</v>
      </c>
      <c r="AR418" s="501">
        <f t="shared" si="556"/>
        <v>2689576</v>
      </c>
      <c r="AS418" s="492">
        <f t="shared" si="557"/>
        <v>1980542</v>
      </c>
      <c r="AT418" s="492">
        <f t="shared" si="558"/>
        <v>0</v>
      </c>
      <c r="AU418" s="492">
        <f t="shared" si="559"/>
        <v>669423</v>
      </c>
      <c r="AV418" s="492">
        <f t="shared" si="559"/>
        <v>39611</v>
      </c>
      <c r="AW418" s="492">
        <f t="shared" si="560"/>
        <v>0</v>
      </c>
      <c r="AX418" s="493">
        <f t="shared" si="561"/>
        <v>6.35</v>
      </c>
      <c r="AY418" s="493">
        <f t="shared" si="562"/>
        <v>6.35</v>
      </c>
      <c r="AZ418" s="495">
        <f t="shared" si="562"/>
        <v>0</v>
      </c>
    </row>
    <row r="419" spans="1:52" ht="14.1" customHeight="1" x14ac:dyDescent="0.2">
      <c r="A419" s="72">
        <v>83</v>
      </c>
      <c r="B419" s="69">
        <v>2493</v>
      </c>
      <c r="C419" s="70">
        <v>600080021</v>
      </c>
      <c r="D419" s="69">
        <v>72742399</v>
      </c>
      <c r="E419" s="71" t="s">
        <v>731</v>
      </c>
      <c r="F419" s="72">
        <v>3141</v>
      </c>
      <c r="G419" s="71" t="s">
        <v>316</v>
      </c>
      <c r="H419" s="73" t="s">
        <v>279</v>
      </c>
      <c r="I419" s="494">
        <v>2830607</v>
      </c>
      <c r="J419" s="489">
        <v>2070043</v>
      </c>
      <c r="K419" s="489">
        <v>0</v>
      </c>
      <c r="L419" s="489">
        <v>699675</v>
      </c>
      <c r="M419" s="489">
        <v>41401</v>
      </c>
      <c r="N419" s="489">
        <v>19488</v>
      </c>
      <c r="O419" s="490">
        <v>6.52</v>
      </c>
      <c r="P419" s="491">
        <v>0</v>
      </c>
      <c r="Q419" s="500">
        <v>6.52</v>
      </c>
      <c r="R419" s="502">
        <f t="shared" si="523"/>
        <v>0</v>
      </c>
      <c r="S419" s="492">
        <v>0</v>
      </c>
      <c r="T419" s="492">
        <v>0</v>
      </c>
      <c r="U419" s="492">
        <v>0</v>
      </c>
      <c r="V419" s="492">
        <f t="shared" si="553"/>
        <v>0</v>
      </c>
      <c r="W419" s="492">
        <v>0</v>
      </c>
      <c r="X419" s="492">
        <v>0</v>
      </c>
      <c r="Y419" s="492">
        <v>0</v>
      </c>
      <c r="Z419" s="492">
        <f t="shared" si="529"/>
        <v>0</v>
      </c>
      <c r="AA419" s="492">
        <f t="shared" si="530"/>
        <v>0</v>
      </c>
      <c r="AB419" s="74">
        <f t="shared" si="531"/>
        <v>0</v>
      </c>
      <c r="AC419" s="74">
        <f t="shared" si="532"/>
        <v>0</v>
      </c>
      <c r="AD419" s="492">
        <v>0</v>
      </c>
      <c r="AE419" s="492">
        <v>0</v>
      </c>
      <c r="AF419" s="492">
        <f t="shared" si="554"/>
        <v>0</v>
      </c>
      <c r="AG419" s="492">
        <f t="shared" si="555"/>
        <v>0</v>
      </c>
      <c r="AH419" s="493">
        <v>0</v>
      </c>
      <c r="AI419" s="493">
        <v>0</v>
      </c>
      <c r="AJ419" s="493">
        <v>0</v>
      </c>
      <c r="AK419" s="493">
        <v>0</v>
      </c>
      <c r="AL419" s="493">
        <v>0</v>
      </c>
      <c r="AM419" s="493">
        <v>0</v>
      </c>
      <c r="AN419" s="493">
        <v>0</v>
      </c>
      <c r="AO419" s="493">
        <f t="shared" si="524"/>
        <v>0</v>
      </c>
      <c r="AP419" s="493">
        <f t="shared" si="525"/>
        <v>0</v>
      </c>
      <c r="AQ419" s="495">
        <f t="shared" si="535"/>
        <v>0</v>
      </c>
      <c r="AR419" s="501">
        <f t="shared" si="556"/>
        <v>2830607</v>
      </c>
      <c r="AS419" s="492">
        <f t="shared" si="557"/>
        <v>2070043</v>
      </c>
      <c r="AT419" s="492">
        <f t="shared" si="558"/>
        <v>0</v>
      </c>
      <c r="AU419" s="492">
        <f t="shared" si="559"/>
        <v>699675</v>
      </c>
      <c r="AV419" s="492">
        <f t="shared" si="559"/>
        <v>41401</v>
      </c>
      <c r="AW419" s="492">
        <f t="shared" si="560"/>
        <v>19488</v>
      </c>
      <c r="AX419" s="493">
        <f t="shared" si="561"/>
        <v>6.52</v>
      </c>
      <c r="AY419" s="493">
        <f t="shared" si="562"/>
        <v>0</v>
      </c>
      <c r="AZ419" s="495">
        <f t="shared" si="562"/>
        <v>6.52</v>
      </c>
    </row>
    <row r="420" spans="1:52" ht="14.1" customHeight="1" x14ac:dyDescent="0.2">
      <c r="A420" s="72">
        <v>83</v>
      </c>
      <c r="B420" s="69">
        <v>2493</v>
      </c>
      <c r="C420" s="70">
        <v>600080021</v>
      </c>
      <c r="D420" s="69">
        <v>72742399</v>
      </c>
      <c r="E420" s="71" t="s">
        <v>731</v>
      </c>
      <c r="F420" s="72">
        <v>3143</v>
      </c>
      <c r="G420" s="84" t="s">
        <v>629</v>
      </c>
      <c r="H420" s="73" t="s">
        <v>278</v>
      </c>
      <c r="I420" s="494">
        <v>1929449</v>
      </c>
      <c r="J420" s="489">
        <v>1420802</v>
      </c>
      <c r="K420" s="489">
        <v>0</v>
      </c>
      <c r="L420" s="489">
        <v>480231</v>
      </c>
      <c r="M420" s="489">
        <v>28416</v>
      </c>
      <c r="N420" s="489">
        <v>0</v>
      </c>
      <c r="O420" s="490">
        <v>2.9641999999999999</v>
      </c>
      <c r="P420" s="490">
        <v>2.9641999999999999</v>
      </c>
      <c r="Q420" s="500">
        <v>0</v>
      </c>
      <c r="R420" s="502">
        <f t="shared" si="523"/>
        <v>0</v>
      </c>
      <c r="S420" s="492">
        <v>0</v>
      </c>
      <c r="T420" s="492">
        <v>0</v>
      </c>
      <c r="U420" s="492">
        <v>0</v>
      </c>
      <c r="V420" s="492">
        <f t="shared" si="553"/>
        <v>0</v>
      </c>
      <c r="W420" s="492">
        <v>0</v>
      </c>
      <c r="X420" s="492">
        <v>0</v>
      </c>
      <c r="Y420" s="492">
        <v>0</v>
      </c>
      <c r="Z420" s="492">
        <f t="shared" si="529"/>
        <v>0</v>
      </c>
      <c r="AA420" s="492">
        <f t="shared" si="530"/>
        <v>0</v>
      </c>
      <c r="AB420" s="74">
        <f t="shared" si="531"/>
        <v>0</v>
      </c>
      <c r="AC420" s="74">
        <f t="shared" si="532"/>
        <v>0</v>
      </c>
      <c r="AD420" s="492">
        <v>0</v>
      </c>
      <c r="AE420" s="492">
        <v>0</v>
      </c>
      <c r="AF420" s="492">
        <f t="shared" si="554"/>
        <v>0</v>
      </c>
      <c r="AG420" s="492">
        <f t="shared" si="555"/>
        <v>0</v>
      </c>
      <c r="AH420" s="493">
        <v>0</v>
      </c>
      <c r="AI420" s="493">
        <v>0</v>
      </c>
      <c r="AJ420" s="493">
        <v>0</v>
      </c>
      <c r="AK420" s="493">
        <v>0</v>
      </c>
      <c r="AL420" s="493">
        <v>0</v>
      </c>
      <c r="AM420" s="493">
        <v>0</v>
      </c>
      <c r="AN420" s="493">
        <v>0</v>
      </c>
      <c r="AO420" s="493">
        <f t="shared" si="524"/>
        <v>0</v>
      </c>
      <c r="AP420" s="493">
        <f t="shared" si="525"/>
        <v>0</v>
      </c>
      <c r="AQ420" s="495">
        <f t="shared" si="535"/>
        <v>0</v>
      </c>
      <c r="AR420" s="501">
        <f t="shared" si="556"/>
        <v>1929449</v>
      </c>
      <c r="AS420" s="492">
        <f t="shared" si="557"/>
        <v>1420802</v>
      </c>
      <c r="AT420" s="492">
        <f t="shared" si="558"/>
        <v>0</v>
      </c>
      <c r="AU420" s="492">
        <f t="shared" si="559"/>
        <v>480231</v>
      </c>
      <c r="AV420" s="492">
        <f t="shared" si="559"/>
        <v>28416</v>
      </c>
      <c r="AW420" s="492">
        <f t="shared" si="560"/>
        <v>0</v>
      </c>
      <c r="AX420" s="493">
        <f t="shared" si="561"/>
        <v>2.9641999999999999</v>
      </c>
      <c r="AY420" s="493">
        <f t="shared" si="562"/>
        <v>2.9641999999999999</v>
      </c>
      <c r="AZ420" s="495">
        <f t="shared" si="562"/>
        <v>0</v>
      </c>
    </row>
    <row r="421" spans="1:52" ht="14.1" customHeight="1" x14ac:dyDescent="0.2">
      <c r="A421" s="72">
        <v>83</v>
      </c>
      <c r="B421" s="69">
        <v>2493</v>
      </c>
      <c r="C421" s="70">
        <v>600080021</v>
      </c>
      <c r="D421" s="69">
        <v>72742399</v>
      </c>
      <c r="E421" s="71" t="s">
        <v>731</v>
      </c>
      <c r="F421" s="72">
        <v>3143</v>
      </c>
      <c r="G421" s="84" t="s">
        <v>630</v>
      </c>
      <c r="H421" s="73" t="s">
        <v>279</v>
      </c>
      <c r="I421" s="494">
        <v>52920</v>
      </c>
      <c r="J421" s="489">
        <v>37423</v>
      </c>
      <c r="K421" s="489">
        <v>0</v>
      </c>
      <c r="L421" s="489">
        <v>12649</v>
      </c>
      <c r="M421" s="489">
        <v>748</v>
      </c>
      <c r="N421" s="489">
        <v>2100</v>
      </c>
      <c r="O421" s="490">
        <v>0.15</v>
      </c>
      <c r="P421" s="491">
        <v>0</v>
      </c>
      <c r="Q421" s="500">
        <v>0.15</v>
      </c>
      <c r="R421" s="502">
        <f t="shared" si="523"/>
        <v>0</v>
      </c>
      <c r="S421" s="492">
        <v>0</v>
      </c>
      <c r="T421" s="492">
        <v>0</v>
      </c>
      <c r="U421" s="492">
        <v>0</v>
      </c>
      <c r="V421" s="492">
        <f t="shared" si="553"/>
        <v>0</v>
      </c>
      <c r="W421" s="492">
        <v>0</v>
      </c>
      <c r="X421" s="492">
        <v>0</v>
      </c>
      <c r="Y421" s="492">
        <v>0</v>
      </c>
      <c r="Z421" s="492">
        <f t="shared" si="529"/>
        <v>0</v>
      </c>
      <c r="AA421" s="492">
        <f t="shared" si="530"/>
        <v>0</v>
      </c>
      <c r="AB421" s="74">
        <f t="shared" si="531"/>
        <v>0</v>
      </c>
      <c r="AC421" s="74">
        <f t="shared" si="532"/>
        <v>0</v>
      </c>
      <c r="AD421" s="492">
        <v>0</v>
      </c>
      <c r="AE421" s="492">
        <v>0</v>
      </c>
      <c r="AF421" s="492">
        <f t="shared" si="554"/>
        <v>0</v>
      </c>
      <c r="AG421" s="492">
        <f t="shared" si="555"/>
        <v>0</v>
      </c>
      <c r="AH421" s="493">
        <v>0</v>
      </c>
      <c r="AI421" s="493">
        <v>0</v>
      </c>
      <c r="AJ421" s="493">
        <v>0</v>
      </c>
      <c r="AK421" s="493">
        <v>0</v>
      </c>
      <c r="AL421" s="493">
        <v>0</v>
      </c>
      <c r="AM421" s="493">
        <v>0</v>
      </c>
      <c r="AN421" s="493">
        <v>0</v>
      </c>
      <c r="AO421" s="493">
        <f t="shared" si="524"/>
        <v>0</v>
      </c>
      <c r="AP421" s="493">
        <f t="shared" si="525"/>
        <v>0</v>
      </c>
      <c r="AQ421" s="495">
        <f t="shared" si="535"/>
        <v>0</v>
      </c>
      <c r="AR421" s="501">
        <f t="shared" si="556"/>
        <v>52920</v>
      </c>
      <c r="AS421" s="492">
        <f t="shared" si="557"/>
        <v>37423</v>
      </c>
      <c r="AT421" s="492">
        <f t="shared" si="558"/>
        <v>0</v>
      </c>
      <c r="AU421" s="492">
        <f t="shared" si="559"/>
        <v>12649</v>
      </c>
      <c r="AV421" s="492">
        <f t="shared" si="559"/>
        <v>748</v>
      </c>
      <c r="AW421" s="492">
        <f t="shared" si="560"/>
        <v>2100</v>
      </c>
      <c r="AX421" s="493">
        <f t="shared" si="561"/>
        <v>0.15</v>
      </c>
      <c r="AY421" s="493">
        <f t="shared" si="562"/>
        <v>0</v>
      </c>
      <c r="AZ421" s="495">
        <f t="shared" si="562"/>
        <v>0.15</v>
      </c>
    </row>
    <row r="422" spans="1:52" ht="14.1" customHeight="1" x14ac:dyDescent="0.2">
      <c r="A422" s="78">
        <v>83</v>
      </c>
      <c r="B422" s="75">
        <v>2493</v>
      </c>
      <c r="C422" s="76">
        <v>600080021</v>
      </c>
      <c r="D422" s="75">
        <v>72742399</v>
      </c>
      <c r="E422" s="77" t="s">
        <v>732</v>
      </c>
      <c r="F422" s="78"/>
      <c r="G422" s="77"/>
      <c r="H422" s="79"/>
      <c r="I422" s="80">
        <v>32538886</v>
      </c>
      <c r="J422" s="81">
        <v>23589681</v>
      </c>
      <c r="K422" s="81">
        <v>39000</v>
      </c>
      <c r="L422" s="81">
        <v>7986494</v>
      </c>
      <c r="M422" s="81">
        <v>471793</v>
      </c>
      <c r="N422" s="81">
        <v>451918</v>
      </c>
      <c r="O422" s="82">
        <v>50.211299999999994</v>
      </c>
      <c r="P422" s="82">
        <v>35.144500000000001</v>
      </c>
      <c r="Q422" s="452">
        <v>15.066800000000001</v>
      </c>
      <c r="R422" s="80">
        <f t="shared" ref="R422:AZ422" si="563">SUM(R416:R421)</f>
        <v>0</v>
      </c>
      <c r="S422" s="81">
        <f t="shared" si="563"/>
        <v>0</v>
      </c>
      <c r="T422" s="81">
        <f t="shared" si="563"/>
        <v>0</v>
      </c>
      <c r="U422" s="81">
        <f t="shared" si="563"/>
        <v>0</v>
      </c>
      <c r="V422" s="81">
        <f t="shared" si="563"/>
        <v>0</v>
      </c>
      <c r="W422" s="81">
        <f t="shared" si="563"/>
        <v>0</v>
      </c>
      <c r="X422" s="81">
        <f t="shared" si="563"/>
        <v>0</v>
      </c>
      <c r="Y422" s="81">
        <f t="shared" si="563"/>
        <v>0</v>
      </c>
      <c r="Z422" s="81">
        <f t="shared" si="563"/>
        <v>0</v>
      </c>
      <c r="AA422" s="81">
        <f t="shared" si="563"/>
        <v>0</v>
      </c>
      <c r="AB422" s="81">
        <f t="shared" si="563"/>
        <v>0</v>
      </c>
      <c r="AC422" s="81">
        <f t="shared" si="563"/>
        <v>0</v>
      </c>
      <c r="AD422" s="81">
        <f t="shared" si="563"/>
        <v>0</v>
      </c>
      <c r="AE422" s="81">
        <f t="shared" si="563"/>
        <v>0</v>
      </c>
      <c r="AF422" s="81">
        <f t="shared" si="563"/>
        <v>0</v>
      </c>
      <c r="AG422" s="81">
        <f t="shared" si="563"/>
        <v>0</v>
      </c>
      <c r="AH422" s="82">
        <f t="shared" si="563"/>
        <v>0</v>
      </c>
      <c r="AI422" s="82">
        <f t="shared" si="563"/>
        <v>0</v>
      </c>
      <c r="AJ422" s="82">
        <f t="shared" si="563"/>
        <v>0</v>
      </c>
      <c r="AK422" s="82">
        <f t="shared" ref="AK422:AL422" si="564">SUM(AK416:AK421)</f>
        <v>0</v>
      </c>
      <c r="AL422" s="82">
        <f t="shared" si="564"/>
        <v>0</v>
      </c>
      <c r="AM422" s="82">
        <f t="shared" si="563"/>
        <v>0</v>
      </c>
      <c r="AN422" s="82">
        <f t="shared" si="563"/>
        <v>0</v>
      </c>
      <c r="AO422" s="82">
        <f t="shared" si="563"/>
        <v>0</v>
      </c>
      <c r="AP422" s="82">
        <f t="shared" si="563"/>
        <v>0</v>
      </c>
      <c r="AQ422" s="83">
        <f t="shared" si="563"/>
        <v>0</v>
      </c>
      <c r="AR422" s="438">
        <f t="shared" si="563"/>
        <v>32538886</v>
      </c>
      <c r="AS422" s="81">
        <f t="shared" si="563"/>
        <v>23589681</v>
      </c>
      <c r="AT422" s="81">
        <f t="shared" si="563"/>
        <v>39000</v>
      </c>
      <c r="AU422" s="81">
        <f t="shared" si="563"/>
        <v>7986494</v>
      </c>
      <c r="AV422" s="81">
        <f t="shared" si="563"/>
        <v>471793</v>
      </c>
      <c r="AW422" s="81">
        <f t="shared" si="563"/>
        <v>451918</v>
      </c>
      <c r="AX422" s="82">
        <f t="shared" si="563"/>
        <v>50.211299999999994</v>
      </c>
      <c r="AY422" s="82">
        <f t="shared" si="563"/>
        <v>35.144500000000001</v>
      </c>
      <c r="AZ422" s="83">
        <f t="shared" si="563"/>
        <v>15.066800000000001</v>
      </c>
    </row>
    <row r="423" spans="1:52" ht="14.1" customHeight="1" x14ac:dyDescent="0.2">
      <c r="A423" s="72">
        <v>84</v>
      </c>
      <c r="B423" s="69">
        <v>2445</v>
      </c>
      <c r="C423" s="70">
        <v>600080030</v>
      </c>
      <c r="D423" s="69">
        <v>70695997</v>
      </c>
      <c r="E423" s="71" t="s">
        <v>733</v>
      </c>
      <c r="F423" s="72">
        <v>3111</v>
      </c>
      <c r="G423" s="71" t="s">
        <v>312</v>
      </c>
      <c r="H423" s="73" t="s">
        <v>278</v>
      </c>
      <c r="I423" s="494">
        <v>3047440</v>
      </c>
      <c r="J423" s="489">
        <v>2230147</v>
      </c>
      <c r="K423" s="489">
        <v>0</v>
      </c>
      <c r="L423" s="489">
        <v>753790</v>
      </c>
      <c r="M423" s="489">
        <v>44603</v>
      </c>
      <c r="N423" s="489">
        <v>18900</v>
      </c>
      <c r="O423" s="490">
        <v>5.0217999999999998</v>
      </c>
      <c r="P423" s="490">
        <v>4</v>
      </c>
      <c r="Q423" s="500">
        <v>1.0218</v>
      </c>
      <c r="R423" s="502">
        <f t="shared" si="523"/>
        <v>0</v>
      </c>
      <c r="S423" s="492">
        <v>0</v>
      </c>
      <c r="T423" s="492">
        <v>0</v>
      </c>
      <c r="U423" s="492">
        <v>0</v>
      </c>
      <c r="V423" s="492">
        <f t="shared" ref="V423:V428" si="565">SUM(R423:U423)</f>
        <v>0</v>
      </c>
      <c r="W423" s="492">
        <v>0</v>
      </c>
      <c r="X423" s="492">
        <v>0</v>
      </c>
      <c r="Y423" s="492">
        <v>0</v>
      </c>
      <c r="Z423" s="492">
        <f t="shared" si="529"/>
        <v>0</v>
      </c>
      <c r="AA423" s="492">
        <f t="shared" si="530"/>
        <v>0</v>
      </c>
      <c r="AB423" s="74">
        <f t="shared" si="531"/>
        <v>0</v>
      </c>
      <c r="AC423" s="74">
        <f t="shared" si="532"/>
        <v>0</v>
      </c>
      <c r="AD423" s="492">
        <v>0</v>
      </c>
      <c r="AE423" s="492">
        <v>0</v>
      </c>
      <c r="AF423" s="492">
        <f t="shared" ref="AF423:AF428" si="566">SUM(AD423:AE423)</f>
        <v>0</v>
      </c>
      <c r="AG423" s="492">
        <f t="shared" ref="AG423:AG428" si="567">AA423+AB423+AC423+AF423</f>
        <v>0</v>
      </c>
      <c r="AH423" s="493">
        <v>0</v>
      </c>
      <c r="AI423" s="493">
        <v>0</v>
      </c>
      <c r="AJ423" s="493">
        <v>0</v>
      </c>
      <c r="AK423" s="493">
        <v>0</v>
      </c>
      <c r="AL423" s="493">
        <v>0</v>
      </c>
      <c r="AM423" s="493">
        <v>0</v>
      </c>
      <c r="AN423" s="493">
        <v>0</v>
      </c>
      <c r="AO423" s="493">
        <f t="shared" si="524"/>
        <v>0</v>
      </c>
      <c r="AP423" s="493">
        <f t="shared" si="525"/>
        <v>0</v>
      </c>
      <c r="AQ423" s="495">
        <f t="shared" si="535"/>
        <v>0</v>
      </c>
      <c r="AR423" s="501">
        <f t="shared" ref="AR423:AR428" si="568">I423+AG423</f>
        <v>3047440</v>
      </c>
      <c r="AS423" s="492">
        <f t="shared" ref="AS423:AS428" si="569">J423+V423</f>
        <v>2230147</v>
      </c>
      <c r="AT423" s="492">
        <f t="shared" ref="AT423:AT428" si="570">K423+Z423</f>
        <v>0</v>
      </c>
      <c r="AU423" s="492">
        <f t="shared" ref="AU423:AV428" si="571">L423+AB423</f>
        <v>753790</v>
      </c>
      <c r="AV423" s="492">
        <f t="shared" si="571"/>
        <v>44603</v>
      </c>
      <c r="AW423" s="492">
        <f t="shared" ref="AW423:AW428" si="572">N423+AF423</f>
        <v>18900</v>
      </c>
      <c r="AX423" s="493">
        <f t="shared" ref="AX423:AX428" si="573">O423+AQ423</f>
        <v>5.0217999999999998</v>
      </c>
      <c r="AY423" s="493">
        <f t="shared" ref="AY423:AZ428" si="574">P423+AO423</f>
        <v>4</v>
      </c>
      <c r="AZ423" s="495">
        <f t="shared" si="574"/>
        <v>1.0218</v>
      </c>
    </row>
    <row r="424" spans="1:52" ht="14.1" customHeight="1" x14ac:dyDescent="0.2">
      <c r="A424" s="72">
        <v>84</v>
      </c>
      <c r="B424" s="69">
        <v>2445</v>
      </c>
      <c r="C424" s="70">
        <v>600080030</v>
      </c>
      <c r="D424" s="69">
        <v>70695997</v>
      </c>
      <c r="E424" s="71" t="s">
        <v>733</v>
      </c>
      <c r="F424" s="72">
        <v>3117</v>
      </c>
      <c r="G424" s="71" t="s">
        <v>315</v>
      </c>
      <c r="H424" s="73" t="s">
        <v>278</v>
      </c>
      <c r="I424" s="494">
        <v>4391951</v>
      </c>
      <c r="J424" s="489">
        <v>3177467</v>
      </c>
      <c r="K424" s="489">
        <v>0</v>
      </c>
      <c r="L424" s="489">
        <v>1073984</v>
      </c>
      <c r="M424" s="489">
        <v>63550</v>
      </c>
      <c r="N424" s="489">
        <v>76950</v>
      </c>
      <c r="O424" s="490">
        <v>6.7666999999999993</v>
      </c>
      <c r="P424" s="490">
        <v>4.8179999999999996</v>
      </c>
      <c r="Q424" s="500">
        <v>1.9486999999999999</v>
      </c>
      <c r="R424" s="502">
        <f t="shared" si="523"/>
        <v>0</v>
      </c>
      <c r="S424" s="492">
        <v>0</v>
      </c>
      <c r="T424" s="492">
        <v>0</v>
      </c>
      <c r="U424" s="492">
        <v>0</v>
      </c>
      <c r="V424" s="492">
        <f t="shared" si="565"/>
        <v>0</v>
      </c>
      <c r="W424" s="492">
        <v>0</v>
      </c>
      <c r="X424" s="492">
        <v>0</v>
      </c>
      <c r="Y424" s="492">
        <v>0</v>
      </c>
      <c r="Z424" s="492">
        <f t="shared" si="529"/>
        <v>0</v>
      </c>
      <c r="AA424" s="492">
        <f t="shared" si="530"/>
        <v>0</v>
      </c>
      <c r="AB424" s="74">
        <f t="shared" si="531"/>
        <v>0</v>
      </c>
      <c r="AC424" s="74">
        <f t="shared" si="532"/>
        <v>0</v>
      </c>
      <c r="AD424" s="492">
        <v>0</v>
      </c>
      <c r="AE424" s="492">
        <v>0</v>
      </c>
      <c r="AF424" s="492">
        <f t="shared" si="566"/>
        <v>0</v>
      </c>
      <c r="AG424" s="492">
        <f t="shared" si="567"/>
        <v>0</v>
      </c>
      <c r="AH424" s="493">
        <v>0</v>
      </c>
      <c r="AI424" s="493">
        <v>0</v>
      </c>
      <c r="AJ424" s="493">
        <v>0</v>
      </c>
      <c r="AK424" s="493">
        <v>0</v>
      </c>
      <c r="AL424" s="493">
        <v>0</v>
      </c>
      <c r="AM424" s="493">
        <v>0</v>
      </c>
      <c r="AN424" s="493">
        <v>0</v>
      </c>
      <c r="AO424" s="493">
        <f t="shared" si="524"/>
        <v>0</v>
      </c>
      <c r="AP424" s="493">
        <f t="shared" si="525"/>
        <v>0</v>
      </c>
      <c r="AQ424" s="495">
        <f t="shared" si="535"/>
        <v>0</v>
      </c>
      <c r="AR424" s="501">
        <f t="shared" si="568"/>
        <v>4391951</v>
      </c>
      <c r="AS424" s="492">
        <f t="shared" si="569"/>
        <v>3177467</v>
      </c>
      <c r="AT424" s="492">
        <f t="shared" si="570"/>
        <v>0</v>
      </c>
      <c r="AU424" s="492">
        <f t="shared" si="571"/>
        <v>1073984</v>
      </c>
      <c r="AV424" s="492">
        <f t="shared" si="571"/>
        <v>63550</v>
      </c>
      <c r="AW424" s="492">
        <f t="shared" si="572"/>
        <v>76950</v>
      </c>
      <c r="AX424" s="493">
        <f t="shared" si="573"/>
        <v>6.7666999999999993</v>
      </c>
      <c r="AY424" s="493">
        <f t="shared" si="574"/>
        <v>4.8179999999999996</v>
      </c>
      <c r="AZ424" s="495">
        <f t="shared" si="574"/>
        <v>1.9486999999999999</v>
      </c>
    </row>
    <row r="425" spans="1:52" ht="14.1" customHeight="1" x14ac:dyDescent="0.2">
      <c r="A425" s="72">
        <v>84</v>
      </c>
      <c r="B425" s="69">
        <v>2445</v>
      </c>
      <c r="C425" s="70">
        <v>600080030</v>
      </c>
      <c r="D425" s="69">
        <v>70695997</v>
      </c>
      <c r="E425" s="71" t="s">
        <v>733</v>
      </c>
      <c r="F425" s="72">
        <v>3117</v>
      </c>
      <c r="G425" s="84" t="s">
        <v>313</v>
      </c>
      <c r="H425" s="73" t="s">
        <v>279</v>
      </c>
      <c r="I425" s="494">
        <v>2300080</v>
      </c>
      <c r="J425" s="489">
        <v>1693726</v>
      </c>
      <c r="K425" s="489">
        <v>0</v>
      </c>
      <c r="L425" s="489">
        <v>572479</v>
      </c>
      <c r="M425" s="489">
        <v>33875</v>
      </c>
      <c r="N425" s="489">
        <v>0</v>
      </c>
      <c r="O425" s="490">
        <v>4.8899999999999997</v>
      </c>
      <c r="P425" s="491">
        <v>4.8899999999999997</v>
      </c>
      <c r="Q425" s="500">
        <v>0</v>
      </c>
      <c r="R425" s="502">
        <f t="shared" si="523"/>
        <v>0</v>
      </c>
      <c r="S425" s="489">
        <v>0</v>
      </c>
      <c r="T425" s="492">
        <v>0</v>
      </c>
      <c r="U425" s="492">
        <v>0</v>
      </c>
      <c r="V425" s="492">
        <f t="shared" si="565"/>
        <v>0</v>
      </c>
      <c r="W425" s="492">
        <v>0</v>
      </c>
      <c r="X425" s="492">
        <v>0</v>
      </c>
      <c r="Y425" s="492">
        <v>0</v>
      </c>
      <c r="Z425" s="492">
        <f t="shared" si="529"/>
        <v>0</v>
      </c>
      <c r="AA425" s="492">
        <f t="shared" si="530"/>
        <v>0</v>
      </c>
      <c r="AB425" s="74">
        <f t="shared" si="531"/>
        <v>0</v>
      </c>
      <c r="AC425" s="74">
        <f t="shared" si="532"/>
        <v>0</v>
      </c>
      <c r="AD425" s="492">
        <v>0</v>
      </c>
      <c r="AE425" s="492">
        <v>0</v>
      </c>
      <c r="AF425" s="492">
        <f t="shared" si="566"/>
        <v>0</v>
      </c>
      <c r="AG425" s="492">
        <f t="shared" si="567"/>
        <v>0</v>
      </c>
      <c r="AH425" s="493">
        <v>0</v>
      </c>
      <c r="AI425" s="493">
        <v>0</v>
      </c>
      <c r="AJ425" s="493">
        <v>0</v>
      </c>
      <c r="AK425" s="493">
        <v>0</v>
      </c>
      <c r="AL425" s="493">
        <v>0</v>
      </c>
      <c r="AM425" s="493">
        <v>0</v>
      </c>
      <c r="AN425" s="493">
        <v>0</v>
      </c>
      <c r="AO425" s="493">
        <f t="shared" si="524"/>
        <v>0</v>
      </c>
      <c r="AP425" s="493">
        <f t="shared" si="525"/>
        <v>0</v>
      </c>
      <c r="AQ425" s="495">
        <f t="shared" si="535"/>
        <v>0</v>
      </c>
      <c r="AR425" s="501">
        <f t="shared" si="568"/>
        <v>2300080</v>
      </c>
      <c r="AS425" s="492">
        <f t="shared" si="569"/>
        <v>1693726</v>
      </c>
      <c r="AT425" s="492">
        <f t="shared" si="570"/>
        <v>0</v>
      </c>
      <c r="AU425" s="492">
        <f t="shared" si="571"/>
        <v>572479</v>
      </c>
      <c r="AV425" s="492">
        <f t="shared" si="571"/>
        <v>33875</v>
      </c>
      <c r="AW425" s="492">
        <f t="shared" si="572"/>
        <v>0</v>
      </c>
      <c r="AX425" s="493">
        <f t="shared" si="573"/>
        <v>4.8899999999999997</v>
      </c>
      <c r="AY425" s="493">
        <f t="shared" si="574"/>
        <v>4.8899999999999997</v>
      </c>
      <c r="AZ425" s="495">
        <f t="shared" si="574"/>
        <v>0</v>
      </c>
    </row>
    <row r="426" spans="1:52" ht="14.1" customHeight="1" x14ac:dyDescent="0.2">
      <c r="A426" s="72">
        <v>84</v>
      </c>
      <c r="B426" s="69">
        <v>2445</v>
      </c>
      <c r="C426" s="70">
        <v>600080030</v>
      </c>
      <c r="D426" s="69">
        <v>70695997</v>
      </c>
      <c r="E426" s="71" t="s">
        <v>733</v>
      </c>
      <c r="F426" s="72">
        <v>3141</v>
      </c>
      <c r="G426" s="71" t="s">
        <v>316</v>
      </c>
      <c r="H426" s="73" t="s">
        <v>279</v>
      </c>
      <c r="I426" s="494">
        <v>1089641</v>
      </c>
      <c r="J426" s="489">
        <v>798714</v>
      </c>
      <c r="K426" s="489">
        <v>0</v>
      </c>
      <c r="L426" s="489">
        <v>269965</v>
      </c>
      <c r="M426" s="489">
        <v>15974</v>
      </c>
      <c r="N426" s="489">
        <v>4988</v>
      </c>
      <c r="O426" s="490">
        <v>2.52</v>
      </c>
      <c r="P426" s="491">
        <v>0</v>
      </c>
      <c r="Q426" s="500">
        <v>2.52</v>
      </c>
      <c r="R426" s="502">
        <f t="shared" si="523"/>
        <v>0</v>
      </c>
      <c r="S426" s="492">
        <v>0</v>
      </c>
      <c r="T426" s="492">
        <v>0</v>
      </c>
      <c r="U426" s="492">
        <v>0</v>
      </c>
      <c r="V426" s="492">
        <f t="shared" si="565"/>
        <v>0</v>
      </c>
      <c r="W426" s="492">
        <v>0</v>
      </c>
      <c r="X426" s="492">
        <v>0</v>
      </c>
      <c r="Y426" s="492">
        <v>0</v>
      </c>
      <c r="Z426" s="492">
        <f t="shared" si="529"/>
        <v>0</v>
      </c>
      <c r="AA426" s="492">
        <f t="shared" si="530"/>
        <v>0</v>
      </c>
      <c r="AB426" s="74">
        <f t="shared" si="531"/>
        <v>0</v>
      </c>
      <c r="AC426" s="74">
        <f t="shared" si="532"/>
        <v>0</v>
      </c>
      <c r="AD426" s="492">
        <v>0</v>
      </c>
      <c r="AE426" s="492">
        <v>0</v>
      </c>
      <c r="AF426" s="492">
        <f t="shared" si="566"/>
        <v>0</v>
      </c>
      <c r="AG426" s="492">
        <f t="shared" si="567"/>
        <v>0</v>
      </c>
      <c r="AH426" s="493">
        <v>0</v>
      </c>
      <c r="AI426" s="493">
        <v>0</v>
      </c>
      <c r="AJ426" s="493">
        <v>0</v>
      </c>
      <c r="AK426" s="493">
        <v>0</v>
      </c>
      <c r="AL426" s="493">
        <v>0</v>
      </c>
      <c r="AM426" s="493">
        <v>0</v>
      </c>
      <c r="AN426" s="493">
        <v>0</v>
      </c>
      <c r="AO426" s="493">
        <f t="shared" si="524"/>
        <v>0</v>
      </c>
      <c r="AP426" s="493">
        <f t="shared" si="525"/>
        <v>0</v>
      </c>
      <c r="AQ426" s="495">
        <f t="shared" si="535"/>
        <v>0</v>
      </c>
      <c r="AR426" s="501">
        <f t="shared" si="568"/>
        <v>1089641</v>
      </c>
      <c r="AS426" s="492">
        <f t="shared" si="569"/>
        <v>798714</v>
      </c>
      <c r="AT426" s="492">
        <f t="shared" si="570"/>
        <v>0</v>
      </c>
      <c r="AU426" s="492">
        <f t="shared" si="571"/>
        <v>269965</v>
      </c>
      <c r="AV426" s="492">
        <f t="shared" si="571"/>
        <v>15974</v>
      </c>
      <c r="AW426" s="492">
        <f t="shared" si="572"/>
        <v>4988</v>
      </c>
      <c r="AX426" s="493">
        <f t="shared" si="573"/>
        <v>2.52</v>
      </c>
      <c r="AY426" s="493">
        <f t="shared" si="574"/>
        <v>0</v>
      </c>
      <c r="AZ426" s="495">
        <f t="shared" si="574"/>
        <v>2.52</v>
      </c>
    </row>
    <row r="427" spans="1:52" ht="14.1" customHeight="1" x14ac:dyDescent="0.2">
      <c r="A427" s="72">
        <v>84</v>
      </c>
      <c r="B427" s="69">
        <v>2445</v>
      </c>
      <c r="C427" s="70">
        <v>600080030</v>
      </c>
      <c r="D427" s="69">
        <v>70695997</v>
      </c>
      <c r="E427" s="71" t="s">
        <v>733</v>
      </c>
      <c r="F427" s="72">
        <v>3143</v>
      </c>
      <c r="G427" s="84" t="s">
        <v>629</v>
      </c>
      <c r="H427" s="73" t="s">
        <v>278</v>
      </c>
      <c r="I427" s="494">
        <v>724581</v>
      </c>
      <c r="J427" s="489">
        <v>533565</v>
      </c>
      <c r="K427" s="489">
        <v>0</v>
      </c>
      <c r="L427" s="489">
        <v>180345</v>
      </c>
      <c r="M427" s="489">
        <v>10671</v>
      </c>
      <c r="N427" s="489">
        <v>0</v>
      </c>
      <c r="O427" s="490">
        <v>1.1432</v>
      </c>
      <c r="P427" s="490">
        <v>1.1432</v>
      </c>
      <c r="Q427" s="500">
        <v>0</v>
      </c>
      <c r="R427" s="502">
        <f t="shared" si="523"/>
        <v>0</v>
      </c>
      <c r="S427" s="492">
        <v>0</v>
      </c>
      <c r="T427" s="492">
        <v>0</v>
      </c>
      <c r="U427" s="492">
        <v>0</v>
      </c>
      <c r="V427" s="492">
        <f t="shared" si="565"/>
        <v>0</v>
      </c>
      <c r="W427" s="492">
        <v>0</v>
      </c>
      <c r="X427" s="492">
        <v>0</v>
      </c>
      <c r="Y427" s="492">
        <v>0</v>
      </c>
      <c r="Z427" s="492">
        <f t="shared" si="529"/>
        <v>0</v>
      </c>
      <c r="AA427" s="492">
        <f t="shared" si="530"/>
        <v>0</v>
      </c>
      <c r="AB427" s="74">
        <f t="shared" si="531"/>
        <v>0</v>
      </c>
      <c r="AC427" s="74">
        <f t="shared" si="532"/>
        <v>0</v>
      </c>
      <c r="AD427" s="492">
        <v>0</v>
      </c>
      <c r="AE427" s="492">
        <v>0</v>
      </c>
      <c r="AF427" s="492">
        <f t="shared" si="566"/>
        <v>0</v>
      </c>
      <c r="AG427" s="492">
        <f t="shared" si="567"/>
        <v>0</v>
      </c>
      <c r="AH427" s="493">
        <v>0</v>
      </c>
      <c r="AI427" s="493">
        <v>0</v>
      </c>
      <c r="AJ427" s="493">
        <v>0</v>
      </c>
      <c r="AK427" s="493">
        <v>0</v>
      </c>
      <c r="AL427" s="493">
        <v>0</v>
      </c>
      <c r="AM427" s="493">
        <v>0</v>
      </c>
      <c r="AN427" s="493">
        <v>0</v>
      </c>
      <c r="AO427" s="493">
        <f t="shared" si="524"/>
        <v>0</v>
      </c>
      <c r="AP427" s="493">
        <f t="shared" si="525"/>
        <v>0</v>
      </c>
      <c r="AQ427" s="495">
        <f t="shared" si="535"/>
        <v>0</v>
      </c>
      <c r="AR427" s="501">
        <f t="shared" si="568"/>
        <v>724581</v>
      </c>
      <c r="AS427" s="492">
        <f t="shared" si="569"/>
        <v>533565</v>
      </c>
      <c r="AT427" s="492">
        <f t="shared" si="570"/>
        <v>0</v>
      </c>
      <c r="AU427" s="492">
        <f t="shared" si="571"/>
        <v>180345</v>
      </c>
      <c r="AV427" s="492">
        <f t="shared" si="571"/>
        <v>10671</v>
      </c>
      <c r="AW427" s="492">
        <f t="shared" si="572"/>
        <v>0</v>
      </c>
      <c r="AX427" s="493">
        <f t="shared" si="573"/>
        <v>1.1432</v>
      </c>
      <c r="AY427" s="493">
        <f t="shared" si="574"/>
        <v>1.1432</v>
      </c>
      <c r="AZ427" s="495">
        <f t="shared" si="574"/>
        <v>0</v>
      </c>
    </row>
    <row r="428" spans="1:52" ht="14.1" customHeight="1" x14ac:dyDescent="0.2">
      <c r="A428" s="72">
        <v>84</v>
      </c>
      <c r="B428" s="69">
        <v>2445</v>
      </c>
      <c r="C428" s="70">
        <v>600080030</v>
      </c>
      <c r="D428" s="69">
        <v>70695997</v>
      </c>
      <c r="E428" s="71" t="s">
        <v>733</v>
      </c>
      <c r="F428" s="72">
        <v>3143</v>
      </c>
      <c r="G428" s="84" t="s">
        <v>630</v>
      </c>
      <c r="H428" s="73" t="s">
        <v>279</v>
      </c>
      <c r="I428" s="494">
        <v>18899</v>
      </c>
      <c r="J428" s="489">
        <v>13365</v>
      </c>
      <c r="K428" s="489">
        <v>0</v>
      </c>
      <c r="L428" s="489">
        <v>4517</v>
      </c>
      <c r="M428" s="489">
        <v>267</v>
      </c>
      <c r="N428" s="489">
        <v>750</v>
      </c>
      <c r="O428" s="490">
        <v>0.05</v>
      </c>
      <c r="P428" s="491">
        <v>0</v>
      </c>
      <c r="Q428" s="500">
        <v>0.05</v>
      </c>
      <c r="R428" s="502">
        <f t="shared" si="523"/>
        <v>0</v>
      </c>
      <c r="S428" s="492">
        <v>0</v>
      </c>
      <c r="T428" s="492">
        <v>0</v>
      </c>
      <c r="U428" s="492">
        <v>0</v>
      </c>
      <c r="V428" s="492">
        <f t="shared" si="565"/>
        <v>0</v>
      </c>
      <c r="W428" s="492">
        <v>0</v>
      </c>
      <c r="X428" s="492">
        <v>0</v>
      </c>
      <c r="Y428" s="492">
        <v>0</v>
      </c>
      <c r="Z428" s="492">
        <f t="shared" si="529"/>
        <v>0</v>
      </c>
      <c r="AA428" s="492">
        <f t="shared" si="530"/>
        <v>0</v>
      </c>
      <c r="AB428" s="74">
        <f t="shared" si="531"/>
        <v>0</v>
      </c>
      <c r="AC428" s="74">
        <f t="shared" si="532"/>
        <v>0</v>
      </c>
      <c r="AD428" s="492">
        <v>0</v>
      </c>
      <c r="AE428" s="492">
        <v>0</v>
      </c>
      <c r="AF428" s="492">
        <f t="shared" si="566"/>
        <v>0</v>
      </c>
      <c r="AG428" s="492">
        <f t="shared" si="567"/>
        <v>0</v>
      </c>
      <c r="AH428" s="493">
        <v>0</v>
      </c>
      <c r="AI428" s="493">
        <v>0</v>
      </c>
      <c r="AJ428" s="493">
        <v>0</v>
      </c>
      <c r="AK428" s="493">
        <v>0</v>
      </c>
      <c r="AL428" s="493">
        <v>0</v>
      </c>
      <c r="AM428" s="493">
        <v>0</v>
      </c>
      <c r="AN428" s="493">
        <v>0</v>
      </c>
      <c r="AO428" s="493">
        <f t="shared" si="524"/>
        <v>0</v>
      </c>
      <c r="AP428" s="493">
        <f t="shared" si="525"/>
        <v>0</v>
      </c>
      <c r="AQ428" s="495">
        <f t="shared" si="535"/>
        <v>0</v>
      </c>
      <c r="AR428" s="501">
        <f t="shared" si="568"/>
        <v>18899</v>
      </c>
      <c r="AS428" s="492">
        <f t="shared" si="569"/>
        <v>13365</v>
      </c>
      <c r="AT428" s="492">
        <f t="shared" si="570"/>
        <v>0</v>
      </c>
      <c r="AU428" s="492">
        <f t="shared" si="571"/>
        <v>4517</v>
      </c>
      <c r="AV428" s="492">
        <f t="shared" si="571"/>
        <v>267</v>
      </c>
      <c r="AW428" s="492">
        <f t="shared" si="572"/>
        <v>750</v>
      </c>
      <c r="AX428" s="493">
        <f t="shared" si="573"/>
        <v>0.05</v>
      </c>
      <c r="AY428" s="493">
        <f t="shared" si="574"/>
        <v>0</v>
      </c>
      <c r="AZ428" s="495">
        <f t="shared" si="574"/>
        <v>0.05</v>
      </c>
    </row>
    <row r="429" spans="1:52" ht="14.1" customHeight="1" x14ac:dyDescent="0.2">
      <c r="A429" s="78">
        <v>84</v>
      </c>
      <c r="B429" s="75">
        <v>2445</v>
      </c>
      <c r="C429" s="76">
        <v>600080030</v>
      </c>
      <c r="D429" s="75">
        <v>70695997</v>
      </c>
      <c r="E429" s="77" t="s">
        <v>734</v>
      </c>
      <c r="F429" s="78"/>
      <c r="G429" s="77"/>
      <c r="H429" s="79"/>
      <c r="I429" s="80">
        <v>11572592</v>
      </c>
      <c r="J429" s="81">
        <v>8446984</v>
      </c>
      <c r="K429" s="81">
        <v>0</v>
      </c>
      <c r="L429" s="81">
        <v>2855080</v>
      </c>
      <c r="M429" s="81">
        <v>168940</v>
      </c>
      <c r="N429" s="81">
        <v>101588</v>
      </c>
      <c r="O429" s="82">
        <v>20.3917</v>
      </c>
      <c r="P429" s="82">
        <v>14.851199999999999</v>
      </c>
      <c r="Q429" s="452">
        <v>5.5404999999999998</v>
      </c>
      <c r="R429" s="80">
        <f t="shared" ref="R429:AZ429" si="575">SUM(R423:R428)</f>
        <v>0</v>
      </c>
      <c r="S429" s="81">
        <f t="shared" si="575"/>
        <v>0</v>
      </c>
      <c r="T429" s="81">
        <f t="shared" si="575"/>
        <v>0</v>
      </c>
      <c r="U429" s="81">
        <f t="shared" si="575"/>
        <v>0</v>
      </c>
      <c r="V429" s="81">
        <f t="shared" si="575"/>
        <v>0</v>
      </c>
      <c r="W429" s="81">
        <f t="shared" si="575"/>
        <v>0</v>
      </c>
      <c r="X429" s="81">
        <f t="shared" si="575"/>
        <v>0</v>
      </c>
      <c r="Y429" s="81">
        <f t="shared" si="575"/>
        <v>0</v>
      </c>
      <c r="Z429" s="81">
        <f t="shared" si="575"/>
        <v>0</v>
      </c>
      <c r="AA429" s="81">
        <f t="shared" si="575"/>
        <v>0</v>
      </c>
      <c r="AB429" s="81">
        <f t="shared" si="575"/>
        <v>0</v>
      </c>
      <c r="AC429" s="81">
        <f t="shared" si="575"/>
        <v>0</v>
      </c>
      <c r="AD429" s="81">
        <f t="shared" si="575"/>
        <v>0</v>
      </c>
      <c r="AE429" s="81">
        <f t="shared" si="575"/>
        <v>0</v>
      </c>
      <c r="AF429" s="81">
        <f t="shared" si="575"/>
        <v>0</v>
      </c>
      <c r="AG429" s="81">
        <f t="shared" si="575"/>
        <v>0</v>
      </c>
      <c r="AH429" s="82">
        <f t="shared" si="575"/>
        <v>0</v>
      </c>
      <c r="AI429" s="82">
        <f t="shared" si="575"/>
        <v>0</v>
      </c>
      <c r="AJ429" s="82">
        <f t="shared" si="575"/>
        <v>0</v>
      </c>
      <c r="AK429" s="82">
        <f t="shared" ref="AK429:AL429" si="576">SUM(AK423:AK428)</f>
        <v>0</v>
      </c>
      <c r="AL429" s="82">
        <f t="shared" si="576"/>
        <v>0</v>
      </c>
      <c r="AM429" s="82">
        <f t="shared" si="575"/>
        <v>0</v>
      </c>
      <c r="AN429" s="82">
        <f t="shared" si="575"/>
        <v>0</v>
      </c>
      <c r="AO429" s="82">
        <f t="shared" si="575"/>
        <v>0</v>
      </c>
      <c r="AP429" s="82">
        <f t="shared" si="575"/>
        <v>0</v>
      </c>
      <c r="AQ429" s="83">
        <f t="shared" si="575"/>
        <v>0</v>
      </c>
      <c r="AR429" s="438">
        <f t="shared" si="575"/>
        <v>11572592</v>
      </c>
      <c r="AS429" s="81">
        <f t="shared" si="575"/>
        <v>8446984</v>
      </c>
      <c r="AT429" s="81">
        <f t="shared" si="575"/>
        <v>0</v>
      </c>
      <c r="AU429" s="81">
        <f t="shared" si="575"/>
        <v>2855080</v>
      </c>
      <c r="AV429" s="81">
        <f t="shared" si="575"/>
        <v>168940</v>
      </c>
      <c r="AW429" s="81">
        <f t="shared" si="575"/>
        <v>101588</v>
      </c>
      <c r="AX429" s="82">
        <f t="shared" si="575"/>
        <v>20.3917</v>
      </c>
      <c r="AY429" s="82">
        <f t="shared" si="575"/>
        <v>14.851199999999999</v>
      </c>
      <c r="AZ429" s="83">
        <f t="shared" si="575"/>
        <v>5.5404999999999998</v>
      </c>
    </row>
    <row r="430" spans="1:52" ht="14.1" customHeight="1" x14ac:dyDescent="0.2">
      <c r="A430" s="72">
        <v>85</v>
      </c>
      <c r="B430" s="69">
        <v>2495</v>
      </c>
      <c r="C430" s="70">
        <v>600080196</v>
      </c>
      <c r="D430" s="69">
        <v>70983810</v>
      </c>
      <c r="E430" s="71" t="s">
        <v>735</v>
      </c>
      <c r="F430" s="72">
        <v>3111</v>
      </c>
      <c r="G430" s="71" t="s">
        <v>312</v>
      </c>
      <c r="H430" s="73" t="s">
        <v>278</v>
      </c>
      <c r="I430" s="494">
        <v>4426781</v>
      </c>
      <c r="J430" s="489">
        <v>3232499</v>
      </c>
      <c r="K430" s="489">
        <v>6500</v>
      </c>
      <c r="L430" s="489">
        <v>1094782</v>
      </c>
      <c r="M430" s="489">
        <v>64650</v>
      </c>
      <c r="N430" s="489">
        <v>28350</v>
      </c>
      <c r="O430" s="490">
        <v>7.3654000000000002</v>
      </c>
      <c r="P430" s="490">
        <v>5.8326000000000002</v>
      </c>
      <c r="Q430" s="500">
        <v>1.5327999999999999</v>
      </c>
      <c r="R430" s="502">
        <f t="shared" si="523"/>
        <v>0</v>
      </c>
      <c r="S430" s="492">
        <v>0</v>
      </c>
      <c r="T430" s="492">
        <v>0</v>
      </c>
      <c r="U430" s="492">
        <v>0</v>
      </c>
      <c r="V430" s="492">
        <f t="shared" ref="V430:V435" si="577">SUM(R430:U430)</f>
        <v>0</v>
      </c>
      <c r="W430" s="492">
        <v>0</v>
      </c>
      <c r="X430" s="492">
        <v>0</v>
      </c>
      <c r="Y430" s="492">
        <v>0</v>
      </c>
      <c r="Z430" s="492">
        <f t="shared" si="529"/>
        <v>0</v>
      </c>
      <c r="AA430" s="492">
        <f t="shared" si="530"/>
        <v>0</v>
      </c>
      <c r="AB430" s="74">
        <f t="shared" si="531"/>
        <v>0</v>
      </c>
      <c r="AC430" s="74">
        <f t="shared" si="532"/>
        <v>0</v>
      </c>
      <c r="AD430" s="492">
        <v>0</v>
      </c>
      <c r="AE430" s="492">
        <v>0</v>
      </c>
      <c r="AF430" s="492">
        <f t="shared" ref="AF430:AF435" si="578">SUM(AD430:AE430)</f>
        <v>0</v>
      </c>
      <c r="AG430" s="492">
        <f t="shared" ref="AG430:AG435" si="579">AA430+AB430+AC430+AF430</f>
        <v>0</v>
      </c>
      <c r="AH430" s="493">
        <v>0</v>
      </c>
      <c r="AI430" s="493">
        <v>0</v>
      </c>
      <c r="AJ430" s="493">
        <v>0</v>
      </c>
      <c r="AK430" s="493">
        <v>0</v>
      </c>
      <c r="AL430" s="493">
        <v>0</v>
      </c>
      <c r="AM430" s="493">
        <v>0</v>
      </c>
      <c r="AN430" s="493">
        <v>0</v>
      </c>
      <c r="AO430" s="493">
        <f t="shared" si="524"/>
        <v>0</v>
      </c>
      <c r="AP430" s="493">
        <f t="shared" si="525"/>
        <v>0</v>
      </c>
      <c r="AQ430" s="495">
        <f t="shared" si="535"/>
        <v>0</v>
      </c>
      <c r="AR430" s="501">
        <f t="shared" ref="AR430:AR435" si="580">I430+AG430</f>
        <v>4426781</v>
      </c>
      <c r="AS430" s="492">
        <f t="shared" ref="AS430:AS435" si="581">J430+V430</f>
        <v>3232499</v>
      </c>
      <c r="AT430" s="492">
        <f t="shared" ref="AT430:AT435" si="582">K430+Z430</f>
        <v>6500</v>
      </c>
      <c r="AU430" s="492">
        <f t="shared" ref="AU430:AV435" si="583">L430+AB430</f>
        <v>1094782</v>
      </c>
      <c r="AV430" s="492">
        <f t="shared" si="583"/>
        <v>64650</v>
      </c>
      <c r="AW430" s="492">
        <f t="shared" ref="AW430:AW435" si="584">N430+AF430</f>
        <v>28350</v>
      </c>
      <c r="AX430" s="493">
        <f t="shared" ref="AX430:AX435" si="585">O430+AQ430</f>
        <v>7.3654000000000002</v>
      </c>
      <c r="AY430" s="493">
        <f t="shared" ref="AY430:AZ435" si="586">P430+AO430</f>
        <v>5.8326000000000002</v>
      </c>
      <c r="AZ430" s="495">
        <f t="shared" si="586"/>
        <v>1.5327999999999999</v>
      </c>
    </row>
    <row r="431" spans="1:52" ht="14.1" customHeight="1" x14ac:dyDescent="0.2">
      <c r="A431" s="72">
        <v>85</v>
      </c>
      <c r="B431" s="69">
        <v>2495</v>
      </c>
      <c r="C431" s="70">
        <v>600080196</v>
      </c>
      <c r="D431" s="69">
        <v>70983810</v>
      </c>
      <c r="E431" s="71" t="s">
        <v>735</v>
      </c>
      <c r="F431" s="72">
        <v>3113</v>
      </c>
      <c r="G431" s="71" t="s">
        <v>315</v>
      </c>
      <c r="H431" s="73" t="s">
        <v>278</v>
      </c>
      <c r="I431" s="494">
        <v>15641561</v>
      </c>
      <c r="J431" s="489">
        <v>11275347</v>
      </c>
      <c r="K431" s="489">
        <v>0</v>
      </c>
      <c r="L431" s="489">
        <v>3811067</v>
      </c>
      <c r="M431" s="489">
        <v>225507</v>
      </c>
      <c r="N431" s="489">
        <v>329640</v>
      </c>
      <c r="O431" s="490">
        <v>19.444900000000001</v>
      </c>
      <c r="P431" s="490">
        <v>13.8172</v>
      </c>
      <c r="Q431" s="500">
        <v>5.627699999999999</v>
      </c>
      <c r="R431" s="502">
        <f t="shared" si="523"/>
        <v>0</v>
      </c>
      <c r="S431" s="492">
        <v>0</v>
      </c>
      <c r="T431" s="492">
        <v>0</v>
      </c>
      <c r="U431" s="492">
        <v>0</v>
      </c>
      <c r="V431" s="492">
        <f t="shared" si="577"/>
        <v>0</v>
      </c>
      <c r="W431" s="492">
        <v>0</v>
      </c>
      <c r="X431" s="492">
        <v>0</v>
      </c>
      <c r="Y431" s="492">
        <v>0</v>
      </c>
      <c r="Z431" s="492">
        <f t="shared" si="529"/>
        <v>0</v>
      </c>
      <c r="AA431" s="492">
        <f t="shared" si="530"/>
        <v>0</v>
      </c>
      <c r="AB431" s="74">
        <f t="shared" si="531"/>
        <v>0</v>
      </c>
      <c r="AC431" s="74">
        <f t="shared" si="532"/>
        <v>0</v>
      </c>
      <c r="AD431" s="492">
        <v>0</v>
      </c>
      <c r="AE431" s="492">
        <v>0</v>
      </c>
      <c r="AF431" s="492">
        <f t="shared" si="578"/>
        <v>0</v>
      </c>
      <c r="AG431" s="492">
        <f t="shared" si="579"/>
        <v>0</v>
      </c>
      <c r="AH431" s="493">
        <v>0</v>
      </c>
      <c r="AI431" s="493">
        <v>0</v>
      </c>
      <c r="AJ431" s="493">
        <v>0</v>
      </c>
      <c r="AK431" s="493">
        <v>0</v>
      </c>
      <c r="AL431" s="493">
        <v>0</v>
      </c>
      <c r="AM431" s="493">
        <v>0</v>
      </c>
      <c r="AN431" s="493">
        <v>0</v>
      </c>
      <c r="AO431" s="493">
        <f t="shared" si="524"/>
        <v>0</v>
      </c>
      <c r="AP431" s="493">
        <f t="shared" si="525"/>
        <v>0</v>
      </c>
      <c r="AQ431" s="495">
        <f t="shared" si="535"/>
        <v>0</v>
      </c>
      <c r="AR431" s="501">
        <f t="shared" si="580"/>
        <v>15641561</v>
      </c>
      <c r="AS431" s="492">
        <f t="shared" si="581"/>
        <v>11275347</v>
      </c>
      <c r="AT431" s="492">
        <f t="shared" si="582"/>
        <v>0</v>
      </c>
      <c r="AU431" s="492">
        <f t="shared" si="583"/>
        <v>3811067</v>
      </c>
      <c r="AV431" s="492">
        <f t="shared" si="583"/>
        <v>225507</v>
      </c>
      <c r="AW431" s="492">
        <f t="shared" si="584"/>
        <v>329640</v>
      </c>
      <c r="AX431" s="493">
        <f t="shared" si="585"/>
        <v>19.444900000000001</v>
      </c>
      <c r="AY431" s="493">
        <f t="shared" si="586"/>
        <v>13.8172</v>
      </c>
      <c r="AZ431" s="495">
        <f t="shared" si="586"/>
        <v>5.627699999999999</v>
      </c>
    </row>
    <row r="432" spans="1:52" ht="14.1" customHeight="1" x14ac:dyDescent="0.2">
      <c r="A432" s="72">
        <v>85</v>
      </c>
      <c r="B432" s="69">
        <v>2495</v>
      </c>
      <c r="C432" s="70">
        <v>600080196</v>
      </c>
      <c r="D432" s="69">
        <v>70983810</v>
      </c>
      <c r="E432" s="71" t="s">
        <v>735</v>
      </c>
      <c r="F432" s="72">
        <v>3113</v>
      </c>
      <c r="G432" s="84" t="s">
        <v>313</v>
      </c>
      <c r="H432" s="73" t="s">
        <v>279</v>
      </c>
      <c r="I432" s="494">
        <v>3113653</v>
      </c>
      <c r="J432" s="489">
        <v>2292823</v>
      </c>
      <c r="K432" s="489">
        <v>0</v>
      </c>
      <c r="L432" s="489">
        <v>774974</v>
      </c>
      <c r="M432" s="489">
        <v>45856</v>
      </c>
      <c r="N432" s="489">
        <v>0</v>
      </c>
      <c r="O432" s="490">
        <v>6.4</v>
      </c>
      <c r="P432" s="491">
        <v>6.4</v>
      </c>
      <c r="Q432" s="500">
        <v>0</v>
      </c>
      <c r="R432" s="502">
        <f t="shared" si="523"/>
        <v>0</v>
      </c>
      <c r="S432" s="489">
        <v>0</v>
      </c>
      <c r="T432" s="492">
        <v>0</v>
      </c>
      <c r="U432" s="492">
        <v>0</v>
      </c>
      <c r="V432" s="492">
        <f t="shared" si="577"/>
        <v>0</v>
      </c>
      <c r="W432" s="492">
        <v>0</v>
      </c>
      <c r="X432" s="492">
        <v>0</v>
      </c>
      <c r="Y432" s="492">
        <v>0</v>
      </c>
      <c r="Z432" s="492">
        <f t="shared" si="529"/>
        <v>0</v>
      </c>
      <c r="AA432" s="492">
        <f t="shared" si="530"/>
        <v>0</v>
      </c>
      <c r="AB432" s="74">
        <f t="shared" si="531"/>
        <v>0</v>
      </c>
      <c r="AC432" s="74">
        <f t="shared" si="532"/>
        <v>0</v>
      </c>
      <c r="AD432" s="492">
        <v>0</v>
      </c>
      <c r="AE432" s="492">
        <v>0</v>
      </c>
      <c r="AF432" s="492">
        <f t="shared" si="578"/>
        <v>0</v>
      </c>
      <c r="AG432" s="492">
        <f t="shared" si="579"/>
        <v>0</v>
      </c>
      <c r="AH432" s="493">
        <v>0</v>
      </c>
      <c r="AI432" s="493">
        <v>0</v>
      </c>
      <c r="AJ432" s="493">
        <v>0</v>
      </c>
      <c r="AK432" s="493">
        <v>0</v>
      </c>
      <c r="AL432" s="493">
        <v>0</v>
      </c>
      <c r="AM432" s="493">
        <v>0</v>
      </c>
      <c r="AN432" s="493">
        <v>0</v>
      </c>
      <c r="AO432" s="493">
        <f t="shared" si="524"/>
        <v>0</v>
      </c>
      <c r="AP432" s="493">
        <f t="shared" si="525"/>
        <v>0</v>
      </c>
      <c r="AQ432" s="495">
        <f t="shared" si="535"/>
        <v>0</v>
      </c>
      <c r="AR432" s="501">
        <f t="shared" si="580"/>
        <v>3113653</v>
      </c>
      <c r="AS432" s="492">
        <f t="shared" si="581"/>
        <v>2292823</v>
      </c>
      <c r="AT432" s="492">
        <f t="shared" si="582"/>
        <v>0</v>
      </c>
      <c r="AU432" s="492">
        <f t="shared" si="583"/>
        <v>774974</v>
      </c>
      <c r="AV432" s="492">
        <f t="shared" si="583"/>
        <v>45856</v>
      </c>
      <c r="AW432" s="492">
        <f t="shared" si="584"/>
        <v>0</v>
      </c>
      <c r="AX432" s="493">
        <f t="shared" si="585"/>
        <v>6.4</v>
      </c>
      <c r="AY432" s="493">
        <f t="shared" si="586"/>
        <v>6.4</v>
      </c>
      <c r="AZ432" s="495">
        <f t="shared" si="586"/>
        <v>0</v>
      </c>
    </row>
    <row r="433" spans="1:52" ht="14.1" customHeight="1" x14ac:dyDescent="0.2">
      <c r="A433" s="72">
        <v>85</v>
      </c>
      <c r="B433" s="69">
        <v>2495</v>
      </c>
      <c r="C433" s="70">
        <v>600080196</v>
      </c>
      <c r="D433" s="69">
        <v>70983810</v>
      </c>
      <c r="E433" s="71" t="s">
        <v>735</v>
      </c>
      <c r="F433" s="72">
        <v>3141</v>
      </c>
      <c r="G433" s="71" t="s">
        <v>316</v>
      </c>
      <c r="H433" s="73" t="s">
        <v>279</v>
      </c>
      <c r="I433" s="494">
        <v>2493809</v>
      </c>
      <c r="J433" s="489">
        <v>1824814</v>
      </c>
      <c r="K433" s="489">
        <v>0</v>
      </c>
      <c r="L433" s="489">
        <v>616787</v>
      </c>
      <c r="M433" s="489">
        <v>36496</v>
      </c>
      <c r="N433" s="489">
        <v>15712</v>
      </c>
      <c r="O433" s="490">
        <v>5.75</v>
      </c>
      <c r="P433" s="491">
        <v>0</v>
      </c>
      <c r="Q433" s="500">
        <v>5.75</v>
      </c>
      <c r="R433" s="502">
        <f t="shared" si="523"/>
        <v>0</v>
      </c>
      <c r="S433" s="492">
        <v>0</v>
      </c>
      <c r="T433" s="492">
        <v>0</v>
      </c>
      <c r="U433" s="492">
        <v>0</v>
      </c>
      <c r="V433" s="492">
        <f t="shared" si="577"/>
        <v>0</v>
      </c>
      <c r="W433" s="492">
        <v>0</v>
      </c>
      <c r="X433" s="492">
        <v>0</v>
      </c>
      <c r="Y433" s="492">
        <v>0</v>
      </c>
      <c r="Z433" s="492">
        <f t="shared" si="529"/>
        <v>0</v>
      </c>
      <c r="AA433" s="492">
        <f t="shared" si="530"/>
        <v>0</v>
      </c>
      <c r="AB433" s="74">
        <f t="shared" si="531"/>
        <v>0</v>
      </c>
      <c r="AC433" s="74">
        <f t="shared" si="532"/>
        <v>0</v>
      </c>
      <c r="AD433" s="492">
        <v>0</v>
      </c>
      <c r="AE433" s="492">
        <v>0</v>
      </c>
      <c r="AF433" s="492">
        <f t="shared" si="578"/>
        <v>0</v>
      </c>
      <c r="AG433" s="492">
        <f t="shared" si="579"/>
        <v>0</v>
      </c>
      <c r="AH433" s="493">
        <v>0</v>
      </c>
      <c r="AI433" s="493">
        <v>0</v>
      </c>
      <c r="AJ433" s="493">
        <v>0</v>
      </c>
      <c r="AK433" s="493">
        <v>0</v>
      </c>
      <c r="AL433" s="493">
        <v>0</v>
      </c>
      <c r="AM433" s="493">
        <v>0</v>
      </c>
      <c r="AN433" s="493">
        <v>0</v>
      </c>
      <c r="AO433" s="493">
        <f t="shared" si="524"/>
        <v>0</v>
      </c>
      <c r="AP433" s="493">
        <f t="shared" si="525"/>
        <v>0</v>
      </c>
      <c r="AQ433" s="495">
        <f t="shared" si="535"/>
        <v>0</v>
      </c>
      <c r="AR433" s="501">
        <f t="shared" si="580"/>
        <v>2493809</v>
      </c>
      <c r="AS433" s="492">
        <f t="shared" si="581"/>
        <v>1824814</v>
      </c>
      <c r="AT433" s="492">
        <f t="shared" si="582"/>
        <v>0</v>
      </c>
      <c r="AU433" s="492">
        <f t="shared" si="583"/>
        <v>616787</v>
      </c>
      <c r="AV433" s="492">
        <f t="shared" si="583"/>
        <v>36496</v>
      </c>
      <c r="AW433" s="492">
        <f t="shared" si="584"/>
        <v>15712</v>
      </c>
      <c r="AX433" s="493">
        <f t="shared" si="585"/>
        <v>5.75</v>
      </c>
      <c r="AY433" s="493">
        <f t="shared" si="586"/>
        <v>0</v>
      </c>
      <c r="AZ433" s="495">
        <f t="shared" si="586"/>
        <v>5.75</v>
      </c>
    </row>
    <row r="434" spans="1:52" ht="14.1" customHeight="1" x14ac:dyDescent="0.2">
      <c r="A434" s="72">
        <v>85</v>
      </c>
      <c r="B434" s="69">
        <v>2495</v>
      </c>
      <c r="C434" s="70">
        <v>600080196</v>
      </c>
      <c r="D434" s="69">
        <v>70983810</v>
      </c>
      <c r="E434" s="71" t="s">
        <v>735</v>
      </c>
      <c r="F434" s="72">
        <v>3143</v>
      </c>
      <c r="G434" s="84" t="s">
        <v>629</v>
      </c>
      <c r="H434" s="73" t="s">
        <v>278</v>
      </c>
      <c r="I434" s="494">
        <v>2123568</v>
      </c>
      <c r="J434" s="489">
        <v>1554140</v>
      </c>
      <c r="K434" s="489">
        <v>9750</v>
      </c>
      <c r="L434" s="489">
        <v>528595</v>
      </c>
      <c r="M434" s="489">
        <v>31083</v>
      </c>
      <c r="N434" s="489">
        <v>0</v>
      </c>
      <c r="O434" s="490">
        <v>2.9630000000000001</v>
      </c>
      <c r="P434" s="490">
        <v>2.9630000000000001</v>
      </c>
      <c r="Q434" s="500">
        <v>0</v>
      </c>
      <c r="R434" s="502">
        <f t="shared" si="523"/>
        <v>0</v>
      </c>
      <c r="S434" s="492">
        <v>0</v>
      </c>
      <c r="T434" s="492">
        <v>0</v>
      </c>
      <c r="U434" s="492">
        <v>0</v>
      </c>
      <c r="V434" s="492">
        <f t="shared" si="577"/>
        <v>0</v>
      </c>
      <c r="W434" s="492">
        <v>0</v>
      </c>
      <c r="X434" s="492">
        <v>0</v>
      </c>
      <c r="Y434" s="492">
        <v>0</v>
      </c>
      <c r="Z434" s="492">
        <f t="shared" si="529"/>
        <v>0</v>
      </c>
      <c r="AA434" s="492">
        <f t="shared" si="530"/>
        <v>0</v>
      </c>
      <c r="AB434" s="74">
        <f t="shared" si="531"/>
        <v>0</v>
      </c>
      <c r="AC434" s="74">
        <f t="shared" si="532"/>
        <v>0</v>
      </c>
      <c r="AD434" s="492">
        <v>0</v>
      </c>
      <c r="AE434" s="492">
        <v>0</v>
      </c>
      <c r="AF434" s="492">
        <f t="shared" si="578"/>
        <v>0</v>
      </c>
      <c r="AG434" s="492">
        <f t="shared" si="579"/>
        <v>0</v>
      </c>
      <c r="AH434" s="493">
        <v>0</v>
      </c>
      <c r="AI434" s="493">
        <v>0</v>
      </c>
      <c r="AJ434" s="493">
        <v>0</v>
      </c>
      <c r="AK434" s="493">
        <v>0</v>
      </c>
      <c r="AL434" s="493">
        <v>0</v>
      </c>
      <c r="AM434" s="493">
        <v>0</v>
      </c>
      <c r="AN434" s="493">
        <v>0</v>
      </c>
      <c r="AO434" s="493">
        <f t="shared" si="524"/>
        <v>0</v>
      </c>
      <c r="AP434" s="493">
        <f t="shared" si="525"/>
        <v>0</v>
      </c>
      <c r="AQ434" s="495">
        <f t="shared" si="535"/>
        <v>0</v>
      </c>
      <c r="AR434" s="501">
        <f t="shared" si="580"/>
        <v>2123568</v>
      </c>
      <c r="AS434" s="492">
        <f t="shared" si="581"/>
        <v>1554140</v>
      </c>
      <c r="AT434" s="492">
        <f t="shared" si="582"/>
        <v>9750</v>
      </c>
      <c r="AU434" s="492">
        <f t="shared" si="583"/>
        <v>528595</v>
      </c>
      <c r="AV434" s="492">
        <f t="shared" si="583"/>
        <v>31083</v>
      </c>
      <c r="AW434" s="492">
        <f t="shared" si="584"/>
        <v>0</v>
      </c>
      <c r="AX434" s="493">
        <f t="shared" si="585"/>
        <v>2.9630000000000001</v>
      </c>
      <c r="AY434" s="493">
        <f t="shared" si="586"/>
        <v>2.9630000000000001</v>
      </c>
      <c r="AZ434" s="495">
        <f t="shared" si="586"/>
        <v>0</v>
      </c>
    </row>
    <row r="435" spans="1:52" ht="14.1" customHeight="1" x14ac:dyDescent="0.2">
      <c r="A435" s="72">
        <v>85</v>
      </c>
      <c r="B435" s="69">
        <v>2495</v>
      </c>
      <c r="C435" s="70">
        <v>600080196</v>
      </c>
      <c r="D435" s="69">
        <v>70983810</v>
      </c>
      <c r="E435" s="71" t="s">
        <v>735</v>
      </c>
      <c r="F435" s="72">
        <v>3143</v>
      </c>
      <c r="G435" s="84" t="s">
        <v>630</v>
      </c>
      <c r="H435" s="73" t="s">
        <v>279</v>
      </c>
      <c r="I435" s="494">
        <v>74088</v>
      </c>
      <c r="J435" s="489">
        <v>52392</v>
      </c>
      <c r="K435" s="489">
        <v>0</v>
      </c>
      <c r="L435" s="489">
        <v>17708</v>
      </c>
      <c r="M435" s="489">
        <v>1048</v>
      </c>
      <c r="N435" s="489">
        <v>2940</v>
      </c>
      <c r="O435" s="490">
        <v>0.2</v>
      </c>
      <c r="P435" s="491">
        <v>0</v>
      </c>
      <c r="Q435" s="500">
        <v>0.2</v>
      </c>
      <c r="R435" s="502">
        <f t="shared" si="523"/>
        <v>0</v>
      </c>
      <c r="S435" s="492">
        <v>0</v>
      </c>
      <c r="T435" s="492">
        <v>0</v>
      </c>
      <c r="U435" s="492">
        <v>0</v>
      </c>
      <c r="V435" s="492">
        <f t="shared" si="577"/>
        <v>0</v>
      </c>
      <c r="W435" s="492">
        <v>0</v>
      </c>
      <c r="X435" s="492">
        <v>0</v>
      </c>
      <c r="Y435" s="492">
        <v>0</v>
      </c>
      <c r="Z435" s="492">
        <f t="shared" si="529"/>
        <v>0</v>
      </c>
      <c r="AA435" s="492">
        <f t="shared" si="530"/>
        <v>0</v>
      </c>
      <c r="AB435" s="74">
        <f t="shared" si="531"/>
        <v>0</v>
      </c>
      <c r="AC435" s="74">
        <f t="shared" si="532"/>
        <v>0</v>
      </c>
      <c r="AD435" s="492">
        <v>0</v>
      </c>
      <c r="AE435" s="492">
        <v>0</v>
      </c>
      <c r="AF435" s="492">
        <f t="shared" si="578"/>
        <v>0</v>
      </c>
      <c r="AG435" s="492">
        <f t="shared" si="579"/>
        <v>0</v>
      </c>
      <c r="AH435" s="493">
        <v>0</v>
      </c>
      <c r="AI435" s="493">
        <v>0</v>
      </c>
      <c r="AJ435" s="493">
        <v>0</v>
      </c>
      <c r="AK435" s="493">
        <v>0</v>
      </c>
      <c r="AL435" s="493">
        <v>0</v>
      </c>
      <c r="AM435" s="493">
        <v>0</v>
      </c>
      <c r="AN435" s="493">
        <v>0</v>
      </c>
      <c r="AO435" s="493">
        <f t="shared" si="524"/>
        <v>0</v>
      </c>
      <c r="AP435" s="493">
        <f t="shared" si="525"/>
        <v>0</v>
      </c>
      <c r="AQ435" s="495">
        <f t="shared" si="535"/>
        <v>0</v>
      </c>
      <c r="AR435" s="501">
        <f t="shared" si="580"/>
        <v>74088</v>
      </c>
      <c r="AS435" s="492">
        <f t="shared" si="581"/>
        <v>52392</v>
      </c>
      <c r="AT435" s="492">
        <f t="shared" si="582"/>
        <v>0</v>
      </c>
      <c r="AU435" s="492">
        <f t="shared" si="583"/>
        <v>17708</v>
      </c>
      <c r="AV435" s="492">
        <f t="shared" si="583"/>
        <v>1048</v>
      </c>
      <c r="AW435" s="492">
        <f t="shared" si="584"/>
        <v>2940</v>
      </c>
      <c r="AX435" s="493">
        <f t="shared" si="585"/>
        <v>0.2</v>
      </c>
      <c r="AY435" s="493">
        <f t="shared" si="586"/>
        <v>0</v>
      </c>
      <c r="AZ435" s="495">
        <f t="shared" si="586"/>
        <v>0.2</v>
      </c>
    </row>
    <row r="436" spans="1:52" ht="14.1" customHeight="1" x14ac:dyDescent="0.2">
      <c r="A436" s="78">
        <v>85</v>
      </c>
      <c r="B436" s="75">
        <v>2495</v>
      </c>
      <c r="C436" s="76">
        <v>600080196</v>
      </c>
      <c r="D436" s="75">
        <v>70983810</v>
      </c>
      <c r="E436" s="77" t="s">
        <v>736</v>
      </c>
      <c r="F436" s="78"/>
      <c r="G436" s="77"/>
      <c r="H436" s="79"/>
      <c r="I436" s="80">
        <v>27873460</v>
      </c>
      <c r="J436" s="81">
        <v>20232015</v>
      </c>
      <c r="K436" s="81">
        <v>16250</v>
      </c>
      <c r="L436" s="81">
        <v>6843913</v>
      </c>
      <c r="M436" s="81">
        <v>404640</v>
      </c>
      <c r="N436" s="81">
        <v>376642</v>
      </c>
      <c r="O436" s="82">
        <v>42.123300000000008</v>
      </c>
      <c r="P436" s="82">
        <v>29.012799999999999</v>
      </c>
      <c r="Q436" s="452">
        <v>13.110499999999998</v>
      </c>
      <c r="R436" s="80">
        <f t="shared" ref="R436:AZ436" si="587">SUM(R430:R435)</f>
        <v>0</v>
      </c>
      <c r="S436" s="81">
        <f t="shared" si="587"/>
        <v>0</v>
      </c>
      <c r="T436" s="81">
        <f t="shared" si="587"/>
        <v>0</v>
      </c>
      <c r="U436" s="81">
        <f t="shared" si="587"/>
        <v>0</v>
      </c>
      <c r="V436" s="81">
        <f t="shared" si="587"/>
        <v>0</v>
      </c>
      <c r="W436" s="81">
        <f t="shared" si="587"/>
        <v>0</v>
      </c>
      <c r="X436" s="81">
        <f t="shared" si="587"/>
        <v>0</v>
      </c>
      <c r="Y436" s="81">
        <f t="shared" si="587"/>
        <v>0</v>
      </c>
      <c r="Z436" s="81">
        <f t="shared" si="587"/>
        <v>0</v>
      </c>
      <c r="AA436" s="81">
        <f t="shared" si="587"/>
        <v>0</v>
      </c>
      <c r="AB436" s="81">
        <f t="shared" si="587"/>
        <v>0</v>
      </c>
      <c r="AC436" s="81">
        <f t="shared" si="587"/>
        <v>0</v>
      </c>
      <c r="AD436" s="81">
        <f t="shared" si="587"/>
        <v>0</v>
      </c>
      <c r="AE436" s="81">
        <f t="shared" si="587"/>
        <v>0</v>
      </c>
      <c r="AF436" s="81">
        <f t="shared" si="587"/>
        <v>0</v>
      </c>
      <c r="AG436" s="81">
        <f t="shared" si="587"/>
        <v>0</v>
      </c>
      <c r="AH436" s="82">
        <f t="shared" si="587"/>
        <v>0</v>
      </c>
      <c r="AI436" s="82">
        <f t="shared" si="587"/>
        <v>0</v>
      </c>
      <c r="AJ436" s="82">
        <f t="shared" si="587"/>
        <v>0</v>
      </c>
      <c r="AK436" s="82">
        <f t="shared" ref="AK436:AL436" si="588">SUM(AK430:AK435)</f>
        <v>0</v>
      </c>
      <c r="AL436" s="82">
        <f t="shared" si="588"/>
        <v>0</v>
      </c>
      <c r="AM436" s="82">
        <f t="shared" si="587"/>
        <v>0</v>
      </c>
      <c r="AN436" s="82">
        <f t="shared" si="587"/>
        <v>0</v>
      </c>
      <c r="AO436" s="82">
        <f t="shared" si="587"/>
        <v>0</v>
      </c>
      <c r="AP436" s="82">
        <f t="shared" si="587"/>
        <v>0</v>
      </c>
      <c r="AQ436" s="83">
        <f t="shared" si="587"/>
        <v>0</v>
      </c>
      <c r="AR436" s="438">
        <f t="shared" si="587"/>
        <v>27873460</v>
      </c>
      <c r="AS436" s="81">
        <f t="shared" si="587"/>
        <v>20232015</v>
      </c>
      <c r="AT436" s="81">
        <f t="shared" si="587"/>
        <v>16250</v>
      </c>
      <c r="AU436" s="81">
        <f t="shared" si="587"/>
        <v>6843913</v>
      </c>
      <c r="AV436" s="81">
        <f t="shared" si="587"/>
        <v>404640</v>
      </c>
      <c r="AW436" s="81">
        <f t="shared" si="587"/>
        <v>376642</v>
      </c>
      <c r="AX436" s="82">
        <f t="shared" si="587"/>
        <v>42.123300000000008</v>
      </c>
      <c r="AY436" s="82">
        <f t="shared" si="587"/>
        <v>29.012799999999999</v>
      </c>
      <c r="AZ436" s="83">
        <f t="shared" si="587"/>
        <v>13.110499999999998</v>
      </c>
    </row>
    <row r="437" spans="1:52" ht="14.1" customHeight="1" x14ac:dyDescent="0.2">
      <c r="A437" s="72">
        <v>86</v>
      </c>
      <c r="B437" s="69">
        <v>2305</v>
      </c>
      <c r="C437" s="70">
        <v>650026080</v>
      </c>
      <c r="D437" s="69">
        <v>72741686</v>
      </c>
      <c r="E437" s="71" t="s">
        <v>737</v>
      </c>
      <c r="F437" s="72">
        <v>3111</v>
      </c>
      <c r="G437" s="71" t="s">
        <v>312</v>
      </c>
      <c r="H437" s="73" t="s">
        <v>278</v>
      </c>
      <c r="I437" s="494">
        <v>2900369</v>
      </c>
      <c r="J437" s="489">
        <v>2116437</v>
      </c>
      <c r="K437" s="489">
        <v>6500</v>
      </c>
      <c r="L437" s="489">
        <v>717553</v>
      </c>
      <c r="M437" s="489">
        <v>42329</v>
      </c>
      <c r="N437" s="489">
        <v>17550</v>
      </c>
      <c r="O437" s="490">
        <v>4.7918000000000003</v>
      </c>
      <c r="P437" s="490">
        <v>3.87</v>
      </c>
      <c r="Q437" s="500">
        <v>0.92179999999999995</v>
      </c>
      <c r="R437" s="502">
        <f t="shared" si="523"/>
        <v>0</v>
      </c>
      <c r="S437" s="492">
        <v>0</v>
      </c>
      <c r="T437" s="492">
        <v>0</v>
      </c>
      <c r="U437" s="492">
        <v>0</v>
      </c>
      <c r="V437" s="492">
        <f t="shared" ref="V437:V442" si="589">SUM(R437:U437)</f>
        <v>0</v>
      </c>
      <c r="W437" s="492">
        <v>0</v>
      </c>
      <c r="X437" s="492">
        <v>0</v>
      </c>
      <c r="Y437" s="492">
        <v>0</v>
      </c>
      <c r="Z437" s="492">
        <f t="shared" si="529"/>
        <v>0</v>
      </c>
      <c r="AA437" s="492">
        <f t="shared" si="530"/>
        <v>0</v>
      </c>
      <c r="AB437" s="74">
        <f t="shared" si="531"/>
        <v>0</v>
      </c>
      <c r="AC437" s="74">
        <f t="shared" si="532"/>
        <v>0</v>
      </c>
      <c r="AD437" s="492">
        <v>0</v>
      </c>
      <c r="AE437" s="492">
        <v>0</v>
      </c>
      <c r="AF437" s="492">
        <f t="shared" ref="AF437:AF442" si="590">SUM(AD437:AE437)</f>
        <v>0</v>
      </c>
      <c r="AG437" s="492">
        <f t="shared" ref="AG437:AG442" si="591">AA437+AB437+AC437+AF437</f>
        <v>0</v>
      </c>
      <c r="AH437" s="493">
        <v>0</v>
      </c>
      <c r="AI437" s="493">
        <v>0</v>
      </c>
      <c r="AJ437" s="493">
        <v>0</v>
      </c>
      <c r="AK437" s="493">
        <v>0</v>
      </c>
      <c r="AL437" s="493">
        <v>0</v>
      </c>
      <c r="AM437" s="493">
        <v>0</v>
      </c>
      <c r="AN437" s="493">
        <v>0</v>
      </c>
      <c r="AO437" s="493">
        <f t="shared" si="524"/>
        <v>0</v>
      </c>
      <c r="AP437" s="493">
        <f t="shared" si="525"/>
        <v>0</v>
      </c>
      <c r="AQ437" s="495">
        <f t="shared" si="535"/>
        <v>0</v>
      </c>
      <c r="AR437" s="501">
        <f t="shared" ref="AR437:AR442" si="592">I437+AG437</f>
        <v>2900369</v>
      </c>
      <c r="AS437" s="492">
        <f t="shared" ref="AS437:AS442" si="593">J437+V437</f>
        <v>2116437</v>
      </c>
      <c r="AT437" s="492">
        <f t="shared" ref="AT437:AT442" si="594">K437+Z437</f>
        <v>6500</v>
      </c>
      <c r="AU437" s="492">
        <f t="shared" ref="AU437:AV442" si="595">L437+AB437</f>
        <v>717553</v>
      </c>
      <c r="AV437" s="492">
        <f t="shared" si="595"/>
        <v>42329</v>
      </c>
      <c r="AW437" s="492">
        <f t="shared" ref="AW437:AW442" si="596">N437+AF437</f>
        <v>17550</v>
      </c>
      <c r="AX437" s="493">
        <f t="shared" ref="AX437:AX442" si="597">O437+AQ437</f>
        <v>4.7918000000000003</v>
      </c>
      <c r="AY437" s="493">
        <f t="shared" ref="AY437:AZ442" si="598">P437+AO437</f>
        <v>3.87</v>
      </c>
      <c r="AZ437" s="495">
        <f t="shared" si="598"/>
        <v>0.92179999999999995</v>
      </c>
    </row>
    <row r="438" spans="1:52" ht="14.1" customHeight="1" x14ac:dyDescent="0.2">
      <c r="A438" s="72">
        <v>86</v>
      </c>
      <c r="B438" s="69">
        <v>2305</v>
      </c>
      <c r="C438" s="70">
        <v>650026080</v>
      </c>
      <c r="D438" s="69">
        <v>72741686</v>
      </c>
      <c r="E438" s="71" t="s">
        <v>737</v>
      </c>
      <c r="F438" s="72">
        <v>3117</v>
      </c>
      <c r="G438" s="71" t="s">
        <v>315</v>
      </c>
      <c r="H438" s="73" t="s">
        <v>278</v>
      </c>
      <c r="I438" s="494">
        <v>4514895</v>
      </c>
      <c r="J438" s="489">
        <v>3243752</v>
      </c>
      <c r="K438" s="489">
        <v>19500</v>
      </c>
      <c r="L438" s="489">
        <v>1102978</v>
      </c>
      <c r="M438" s="489">
        <v>64875</v>
      </c>
      <c r="N438" s="489">
        <v>83790</v>
      </c>
      <c r="O438" s="490">
        <v>6.6151</v>
      </c>
      <c r="P438" s="490">
        <v>4.0522999999999998</v>
      </c>
      <c r="Q438" s="500">
        <v>2.5627999999999997</v>
      </c>
      <c r="R438" s="502">
        <f t="shared" si="523"/>
        <v>0</v>
      </c>
      <c r="S438" s="492">
        <v>0</v>
      </c>
      <c r="T438" s="492">
        <f>294436+(-103922)</f>
        <v>190514</v>
      </c>
      <c r="U438" s="492">
        <v>0</v>
      </c>
      <c r="V438" s="492">
        <f t="shared" si="589"/>
        <v>190514</v>
      </c>
      <c r="W438" s="492">
        <v>0</v>
      </c>
      <c r="X438" s="492">
        <v>0</v>
      </c>
      <c r="Y438" s="492">
        <v>0</v>
      </c>
      <c r="Z438" s="492">
        <f t="shared" si="529"/>
        <v>0</v>
      </c>
      <c r="AA438" s="492">
        <f t="shared" si="530"/>
        <v>190514</v>
      </c>
      <c r="AB438" s="74">
        <f t="shared" si="531"/>
        <v>64394</v>
      </c>
      <c r="AC438" s="74">
        <f t="shared" si="532"/>
        <v>3810</v>
      </c>
      <c r="AD438" s="492">
        <v>0</v>
      </c>
      <c r="AE438" s="492">
        <v>0</v>
      </c>
      <c r="AF438" s="492">
        <f t="shared" si="590"/>
        <v>0</v>
      </c>
      <c r="AG438" s="492">
        <f t="shared" si="591"/>
        <v>258718</v>
      </c>
      <c r="AH438" s="493">
        <v>0</v>
      </c>
      <c r="AI438" s="493">
        <v>0</v>
      </c>
      <c r="AJ438" s="493">
        <v>0</v>
      </c>
      <c r="AK438" s="493">
        <v>0.61</v>
      </c>
      <c r="AL438" s="493">
        <v>-0.26</v>
      </c>
      <c r="AM438" s="493">
        <v>0</v>
      </c>
      <c r="AN438" s="493">
        <v>0</v>
      </c>
      <c r="AO438" s="493">
        <f t="shared" si="524"/>
        <v>0.61</v>
      </c>
      <c r="AP438" s="493">
        <f t="shared" si="525"/>
        <v>-0.26</v>
      </c>
      <c r="AQ438" s="495">
        <f t="shared" si="535"/>
        <v>0.35</v>
      </c>
      <c r="AR438" s="501">
        <f t="shared" si="592"/>
        <v>4773613</v>
      </c>
      <c r="AS438" s="492">
        <f t="shared" si="593"/>
        <v>3434266</v>
      </c>
      <c r="AT438" s="492">
        <f t="shared" si="594"/>
        <v>19500</v>
      </c>
      <c r="AU438" s="492">
        <f t="shared" si="595"/>
        <v>1167372</v>
      </c>
      <c r="AV438" s="492">
        <f t="shared" si="595"/>
        <v>68685</v>
      </c>
      <c r="AW438" s="492">
        <f t="shared" si="596"/>
        <v>83790</v>
      </c>
      <c r="AX438" s="493">
        <f t="shared" si="597"/>
        <v>6.9650999999999996</v>
      </c>
      <c r="AY438" s="493">
        <f t="shared" si="598"/>
        <v>4.6623000000000001</v>
      </c>
      <c r="AZ438" s="495">
        <f t="shared" si="598"/>
        <v>2.3027999999999995</v>
      </c>
    </row>
    <row r="439" spans="1:52" ht="14.1" customHeight="1" x14ac:dyDescent="0.2">
      <c r="A439" s="72">
        <v>86</v>
      </c>
      <c r="B439" s="69">
        <v>2305</v>
      </c>
      <c r="C439" s="70">
        <v>650026080</v>
      </c>
      <c r="D439" s="69">
        <v>72741686</v>
      </c>
      <c r="E439" s="71" t="s">
        <v>737</v>
      </c>
      <c r="F439" s="72">
        <v>3117</v>
      </c>
      <c r="G439" s="84" t="s">
        <v>313</v>
      </c>
      <c r="H439" s="73" t="s">
        <v>279</v>
      </c>
      <c r="I439" s="494">
        <v>1019367</v>
      </c>
      <c r="J439" s="489">
        <v>750638</v>
      </c>
      <c r="K439" s="489">
        <v>0</v>
      </c>
      <c r="L439" s="489">
        <v>253716</v>
      </c>
      <c r="M439" s="489">
        <v>15013</v>
      </c>
      <c r="N439" s="489">
        <v>0</v>
      </c>
      <c r="O439" s="490">
        <v>2.17</v>
      </c>
      <c r="P439" s="491">
        <v>2.17</v>
      </c>
      <c r="Q439" s="500">
        <v>0</v>
      </c>
      <c r="R439" s="502">
        <f t="shared" si="523"/>
        <v>0</v>
      </c>
      <c r="S439" s="489">
        <v>0</v>
      </c>
      <c r="T439" s="492">
        <v>0</v>
      </c>
      <c r="U439" s="492">
        <v>0</v>
      </c>
      <c r="V439" s="492">
        <f t="shared" si="589"/>
        <v>0</v>
      </c>
      <c r="W439" s="492">
        <v>0</v>
      </c>
      <c r="X439" s="492">
        <v>0</v>
      </c>
      <c r="Y439" s="492">
        <v>0</v>
      </c>
      <c r="Z439" s="492">
        <f t="shared" si="529"/>
        <v>0</v>
      </c>
      <c r="AA439" s="492">
        <f t="shared" si="530"/>
        <v>0</v>
      </c>
      <c r="AB439" s="74">
        <f t="shared" si="531"/>
        <v>0</v>
      </c>
      <c r="AC439" s="74">
        <f t="shared" si="532"/>
        <v>0</v>
      </c>
      <c r="AD439" s="492">
        <v>0</v>
      </c>
      <c r="AE439" s="492">
        <v>0</v>
      </c>
      <c r="AF439" s="492">
        <f t="shared" si="590"/>
        <v>0</v>
      </c>
      <c r="AG439" s="492">
        <f t="shared" si="591"/>
        <v>0</v>
      </c>
      <c r="AH439" s="493">
        <v>0</v>
      </c>
      <c r="AI439" s="493">
        <v>0</v>
      </c>
      <c r="AJ439" s="493">
        <v>0</v>
      </c>
      <c r="AK439" s="493">
        <v>0</v>
      </c>
      <c r="AL439" s="493">
        <v>0</v>
      </c>
      <c r="AM439" s="493">
        <v>0</v>
      </c>
      <c r="AN439" s="493">
        <v>0</v>
      </c>
      <c r="AO439" s="493">
        <f t="shared" si="524"/>
        <v>0</v>
      </c>
      <c r="AP439" s="493">
        <f t="shared" si="525"/>
        <v>0</v>
      </c>
      <c r="AQ439" s="495">
        <f t="shared" si="535"/>
        <v>0</v>
      </c>
      <c r="AR439" s="501">
        <f t="shared" si="592"/>
        <v>1019367</v>
      </c>
      <c r="AS439" s="492">
        <f t="shared" si="593"/>
        <v>750638</v>
      </c>
      <c r="AT439" s="492">
        <f t="shared" si="594"/>
        <v>0</v>
      </c>
      <c r="AU439" s="492">
        <f t="shared" si="595"/>
        <v>253716</v>
      </c>
      <c r="AV439" s="492">
        <f t="shared" si="595"/>
        <v>15013</v>
      </c>
      <c r="AW439" s="492">
        <f t="shared" si="596"/>
        <v>0</v>
      </c>
      <c r="AX439" s="493">
        <f t="shared" si="597"/>
        <v>2.17</v>
      </c>
      <c r="AY439" s="493">
        <f t="shared" si="598"/>
        <v>2.17</v>
      </c>
      <c r="AZ439" s="495">
        <f t="shared" si="598"/>
        <v>0</v>
      </c>
    </row>
    <row r="440" spans="1:52" ht="14.1" customHeight="1" x14ac:dyDescent="0.2">
      <c r="A440" s="72">
        <v>86</v>
      </c>
      <c r="B440" s="69">
        <v>2305</v>
      </c>
      <c r="C440" s="70">
        <v>650026080</v>
      </c>
      <c r="D440" s="69">
        <v>72741686</v>
      </c>
      <c r="E440" s="71" t="s">
        <v>737</v>
      </c>
      <c r="F440" s="72">
        <v>3141</v>
      </c>
      <c r="G440" s="71" t="s">
        <v>316</v>
      </c>
      <c r="H440" s="73" t="s">
        <v>279</v>
      </c>
      <c r="I440" s="494">
        <v>1100729</v>
      </c>
      <c r="J440" s="489">
        <v>799859</v>
      </c>
      <c r="K440" s="489">
        <v>6500</v>
      </c>
      <c r="L440" s="489">
        <v>272549</v>
      </c>
      <c r="M440" s="489">
        <v>15997</v>
      </c>
      <c r="N440" s="489">
        <v>5824</v>
      </c>
      <c r="O440" s="490">
        <v>2.52</v>
      </c>
      <c r="P440" s="491">
        <v>0</v>
      </c>
      <c r="Q440" s="500">
        <v>2.52</v>
      </c>
      <c r="R440" s="502">
        <f t="shared" si="523"/>
        <v>0</v>
      </c>
      <c r="S440" s="492">
        <v>0</v>
      </c>
      <c r="T440" s="492">
        <v>0</v>
      </c>
      <c r="U440" s="492">
        <v>0</v>
      </c>
      <c r="V440" s="492">
        <f t="shared" si="589"/>
        <v>0</v>
      </c>
      <c r="W440" s="492">
        <v>0</v>
      </c>
      <c r="X440" s="492">
        <v>0</v>
      </c>
      <c r="Y440" s="492">
        <v>0</v>
      </c>
      <c r="Z440" s="492">
        <f t="shared" si="529"/>
        <v>0</v>
      </c>
      <c r="AA440" s="492">
        <f t="shared" si="530"/>
        <v>0</v>
      </c>
      <c r="AB440" s="74">
        <f t="shared" si="531"/>
        <v>0</v>
      </c>
      <c r="AC440" s="74">
        <f t="shared" si="532"/>
        <v>0</v>
      </c>
      <c r="AD440" s="492">
        <v>0</v>
      </c>
      <c r="AE440" s="492">
        <v>0</v>
      </c>
      <c r="AF440" s="492">
        <f t="shared" si="590"/>
        <v>0</v>
      </c>
      <c r="AG440" s="492">
        <f t="shared" si="591"/>
        <v>0</v>
      </c>
      <c r="AH440" s="493">
        <v>0</v>
      </c>
      <c r="AI440" s="493">
        <v>0</v>
      </c>
      <c r="AJ440" s="493">
        <v>0</v>
      </c>
      <c r="AK440" s="493">
        <v>0</v>
      </c>
      <c r="AL440" s="493">
        <v>0</v>
      </c>
      <c r="AM440" s="493">
        <v>0</v>
      </c>
      <c r="AN440" s="493">
        <v>0</v>
      </c>
      <c r="AO440" s="493">
        <f t="shared" si="524"/>
        <v>0</v>
      </c>
      <c r="AP440" s="493">
        <f t="shared" si="525"/>
        <v>0</v>
      </c>
      <c r="AQ440" s="495">
        <f t="shared" si="535"/>
        <v>0</v>
      </c>
      <c r="AR440" s="501">
        <f t="shared" si="592"/>
        <v>1100729</v>
      </c>
      <c r="AS440" s="492">
        <f t="shared" si="593"/>
        <v>799859</v>
      </c>
      <c r="AT440" s="492">
        <f t="shared" si="594"/>
        <v>6500</v>
      </c>
      <c r="AU440" s="492">
        <f t="shared" si="595"/>
        <v>272549</v>
      </c>
      <c r="AV440" s="492">
        <f t="shared" si="595"/>
        <v>15997</v>
      </c>
      <c r="AW440" s="492">
        <f t="shared" si="596"/>
        <v>5824</v>
      </c>
      <c r="AX440" s="493">
        <f t="shared" si="597"/>
        <v>2.52</v>
      </c>
      <c r="AY440" s="493">
        <f t="shared" si="598"/>
        <v>0</v>
      </c>
      <c r="AZ440" s="495">
        <f t="shared" si="598"/>
        <v>2.52</v>
      </c>
    </row>
    <row r="441" spans="1:52" ht="14.1" customHeight="1" x14ac:dyDescent="0.2">
      <c r="A441" s="72">
        <v>86</v>
      </c>
      <c r="B441" s="69">
        <v>2305</v>
      </c>
      <c r="C441" s="70">
        <v>650026080</v>
      </c>
      <c r="D441" s="69">
        <v>72741686</v>
      </c>
      <c r="E441" s="71" t="s">
        <v>737</v>
      </c>
      <c r="F441" s="72">
        <v>3143</v>
      </c>
      <c r="G441" s="84" t="s">
        <v>629</v>
      </c>
      <c r="H441" s="73" t="s">
        <v>278</v>
      </c>
      <c r="I441" s="494">
        <v>739016</v>
      </c>
      <c r="J441" s="489">
        <v>544194</v>
      </c>
      <c r="K441" s="489">
        <v>0</v>
      </c>
      <c r="L441" s="489">
        <v>183938</v>
      </c>
      <c r="M441" s="489">
        <v>10884</v>
      </c>
      <c r="N441" s="489">
        <v>0</v>
      </c>
      <c r="O441" s="490">
        <v>1</v>
      </c>
      <c r="P441" s="490">
        <v>1</v>
      </c>
      <c r="Q441" s="500">
        <v>0</v>
      </c>
      <c r="R441" s="502">
        <f t="shared" si="523"/>
        <v>0</v>
      </c>
      <c r="S441" s="492">
        <v>0</v>
      </c>
      <c r="T441" s="492">
        <v>0</v>
      </c>
      <c r="U441" s="492">
        <v>-26528</v>
      </c>
      <c r="V441" s="492">
        <f t="shared" si="589"/>
        <v>-26528</v>
      </c>
      <c r="W441" s="492">
        <v>0</v>
      </c>
      <c r="X441" s="492">
        <v>0</v>
      </c>
      <c r="Y441" s="492">
        <v>0</v>
      </c>
      <c r="Z441" s="492">
        <f t="shared" si="529"/>
        <v>0</v>
      </c>
      <c r="AA441" s="492">
        <f t="shared" si="530"/>
        <v>-26528</v>
      </c>
      <c r="AB441" s="74">
        <f t="shared" si="531"/>
        <v>-8966</v>
      </c>
      <c r="AC441" s="74">
        <f t="shared" si="532"/>
        <v>-531</v>
      </c>
      <c r="AD441" s="492">
        <v>0</v>
      </c>
      <c r="AE441" s="492">
        <v>0</v>
      </c>
      <c r="AF441" s="492">
        <f t="shared" si="590"/>
        <v>0</v>
      </c>
      <c r="AG441" s="492">
        <f t="shared" si="591"/>
        <v>-36025</v>
      </c>
      <c r="AH441" s="493">
        <v>0</v>
      </c>
      <c r="AI441" s="493">
        <v>0</v>
      </c>
      <c r="AJ441" s="493">
        <v>0</v>
      </c>
      <c r="AK441" s="493">
        <v>0</v>
      </c>
      <c r="AL441" s="493">
        <v>0</v>
      </c>
      <c r="AM441" s="493">
        <v>0</v>
      </c>
      <c r="AN441" s="493">
        <v>0</v>
      </c>
      <c r="AO441" s="493">
        <f t="shared" si="524"/>
        <v>0</v>
      </c>
      <c r="AP441" s="493">
        <f t="shared" si="525"/>
        <v>0</v>
      </c>
      <c r="AQ441" s="495">
        <f t="shared" si="535"/>
        <v>0</v>
      </c>
      <c r="AR441" s="501">
        <f t="shared" si="592"/>
        <v>702991</v>
      </c>
      <c r="AS441" s="492">
        <f t="shared" si="593"/>
        <v>517666</v>
      </c>
      <c r="AT441" s="492">
        <f t="shared" si="594"/>
        <v>0</v>
      </c>
      <c r="AU441" s="492">
        <f t="shared" si="595"/>
        <v>174972</v>
      </c>
      <c r="AV441" s="492">
        <f t="shared" si="595"/>
        <v>10353</v>
      </c>
      <c r="AW441" s="492">
        <f t="shared" si="596"/>
        <v>0</v>
      </c>
      <c r="AX441" s="493">
        <f t="shared" si="597"/>
        <v>1</v>
      </c>
      <c r="AY441" s="493">
        <f t="shared" si="598"/>
        <v>1</v>
      </c>
      <c r="AZ441" s="495">
        <f t="shared" si="598"/>
        <v>0</v>
      </c>
    </row>
    <row r="442" spans="1:52" ht="14.1" customHeight="1" x14ac:dyDescent="0.2">
      <c r="A442" s="72">
        <v>86</v>
      </c>
      <c r="B442" s="69">
        <v>2305</v>
      </c>
      <c r="C442" s="70">
        <v>650026080</v>
      </c>
      <c r="D442" s="69">
        <v>72741686</v>
      </c>
      <c r="E442" s="71" t="s">
        <v>737</v>
      </c>
      <c r="F442" s="72">
        <v>3143</v>
      </c>
      <c r="G442" s="84" t="s">
        <v>630</v>
      </c>
      <c r="H442" s="73" t="s">
        <v>279</v>
      </c>
      <c r="I442" s="494">
        <v>18899</v>
      </c>
      <c r="J442" s="489">
        <v>13365</v>
      </c>
      <c r="K442" s="489">
        <v>0</v>
      </c>
      <c r="L442" s="489">
        <v>4517</v>
      </c>
      <c r="M442" s="489">
        <v>267</v>
      </c>
      <c r="N442" s="489">
        <v>750</v>
      </c>
      <c r="O442" s="490">
        <v>0.05</v>
      </c>
      <c r="P442" s="491">
        <v>0</v>
      </c>
      <c r="Q442" s="500">
        <v>0.05</v>
      </c>
      <c r="R442" s="502">
        <f t="shared" si="523"/>
        <v>0</v>
      </c>
      <c r="S442" s="492">
        <v>0</v>
      </c>
      <c r="T442" s="492">
        <v>0</v>
      </c>
      <c r="U442" s="492">
        <v>0</v>
      </c>
      <c r="V442" s="492">
        <f t="shared" si="589"/>
        <v>0</v>
      </c>
      <c r="W442" s="492">
        <v>0</v>
      </c>
      <c r="X442" s="492">
        <v>0</v>
      </c>
      <c r="Y442" s="492">
        <v>0</v>
      </c>
      <c r="Z442" s="492">
        <f t="shared" si="529"/>
        <v>0</v>
      </c>
      <c r="AA442" s="492">
        <f t="shared" si="530"/>
        <v>0</v>
      </c>
      <c r="AB442" s="74">
        <f t="shared" si="531"/>
        <v>0</v>
      </c>
      <c r="AC442" s="74">
        <f t="shared" si="532"/>
        <v>0</v>
      </c>
      <c r="AD442" s="492">
        <v>0</v>
      </c>
      <c r="AE442" s="492">
        <v>0</v>
      </c>
      <c r="AF442" s="492">
        <f t="shared" si="590"/>
        <v>0</v>
      </c>
      <c r="AG442" s="492">
        <f t="shared" si="591"/>
        <v>0</v>
      </c>
      <c r="AH442" s="493">
        <v>0</v>
      </c>
      <c r="AI442" s="493">
        <v>0</v>
      </c>
      <c r="AJ442" s="493">
        <v>0</v>
      </c>
      <c r="AK442" s="493">
        <v>0</v>
      </c>
      <c r="AL442" s="493">
        <v>0</v>
      </c>
      <c r="AM442" s="493">
        <v>0</v>
      </c>
      <c r="AN442" s="493">
        <v>0</v>
      </c>
      <c r="AO442" s="493">
        <f t="shared" si="524"/>
        <v>0</v>
      </c>
      <c r="AP442" s="493">
        <f t="shared" si="525"/>
        <v>0</v>
      </c>
      <c r="AQ442" s="495">
        <f t="shared" si="535"/>
        <v>0</v>
      </c>
      <c r="AR442" s="501">
        <f t="shared" si="592"/>
        <v>18899</v>
      </c>
      <c r="AS442" s="492">
        <f t="shared" si="593"/>
        <v>13365</v>
      </c>
      <c r="AT442" s="492">
        <f t="shared" si="594"/>
        <v>0</v>
      </c>
      <c r="AU442" s="492">
        <f t="shared" si="595"/>
        <v>4517</v>
      </c>
      <c r="AV442" s="492">
        <f t="shared" si="595"/>
        <v>267</v>
      </c>
      <c r="AW442" s="492">
        <f t="shared" si="596"/>
        <v>750</v>
      </c>
      <c r="AX442" s="493">
        <f t="shared" si="597"/>
        <v>0.05</v>
      </c>
      <c r="AY442" s="493">
        <f t="shared" si="598"/>
        <v>0</v>
      </c>
      <c r="AZ442" s="495">
        <f t="shared" si="598"/>
        <v>0.05</v>
      </c>
    </row>
    <row r="443" spans="1:52" ht="14.1" customHeight="1" x14ac:dyDescent="0.2">
      <c r="A443" s="78">
        <v>86</v>
      </c>
      <c r="B443" s="75">
        <v>2305</v>
      </c>
      <c r="C443" s="76">
        <v>650026080</v>
      </c>
      <c r="D443" s="75">
        <v>72741686</v>
      </c>
      <c r="E443" s="77" t="s">
        <v>738</v>
      </c>
      <c r="F443" s="78"/>
      <c r="G443" s="77"/>
      <c r="H443" s="79"/>
      <c r="I443" s="80">
        <v>10293275</v>
      </c>
      <c r="J443" s="81">
        <v>7468245</v>
      </c>
      <c r="K443" s="81">
        <v>32500</v>
      </c>
      <c r="L443" s="81">
        <v>2535251</v>
      </c>
      <c r="M443" s="81">
        <v>149365</v>
      </c>
      <c r="N443" s="81">
        <v>107914</v>
      </c>
      <c r="O443" s="82">
        <v>17.146900000000002</v>
      </c>
      <c r="P443" s="82">
        <v>11.0923</v>
      </c>
      <c r="Q443" s="452">
        <v>6.0545999999999998</v>
      </c>
      <c r="R443" s="80">
        <f t="shared" ref="R443:AZ443" si="599">SUM(R437:R442)</f>
        <v>0</v>
      </c>
      <c r="S443" s="81">
        <f t="shared" si="599"/>
        <v>0</v>
      </c>
      <c r="T443" s="81">
        <f t="shared" si="599"/>
        <v>190514</v>
      </c>
      <c r="U443" s="81">
        <f t="shared" si="599"/>
        <v>-26528</v>
      </c>
      <c r="V443" s="81">
        <f t="shared" si="599"/>
        <v>163986</v>
      </c>
      <c r="W443" s="81">
        <f t="shared" si="599"/>
        <v>0</v>
      </c>
      <c r="X443" s="81">
        <f t="shared" si="599"/>
        <v>0</v>
      </c>
      <c r="Y443" s="81">
        <f t="shared" si="599"/>
        <v>0</v>
      </c>
      <c r="Z443" s="81">
        <f t="shared" si="599"/>
        <v>0</v>
      </c>
      <c r="AA443" s="81">
        <f t="shared" si="599"/>
        <v>163986</v>
      </c>
      <c r="AB443" s="81">
        <f t="shared" si="599"/>
        <v>55428</v>
      </c>
      <c r="AC443" s="81">
        <f t="shared" si="599"/>
        <v>3279</v>
      </c>
      <c r="AD443" s="81">
        <f t="shared" si="599"/>
        <v>0</v>
      </c>
      <c r="AE443" s="81">
        <f t="shared" si="599"/>
        <v>0</v>
      </c>
      <c r="AF443" s="81">
        <f t="shared" si="599"/>
        <v>0</v>
      </c>
      <c r="AG443" s="81">
        <f t="shared" si="599"/>
        <v>222693</v>
      </c>
      <c r="AH443" s="82">
        <f t="shared" si="599"/>
        <v>0</v>
      </c>
      <c r="AI443" s="82">
        <f t="shared" si="599"/>
        <v>0</v>
      </c>
      <c r="AJ443" s="82">
        <f t="shared" si="599"/>
        <v>0</v>
      </c>
      <c r="AK443" s="82">
        <f t="shared" ref="AK443:AL443" si="600">SUM(AK437:AK442)</f>
        <v>0.61</v>
      </c>
      <c r="AL443" s="82">
        <f t="shared" si="600"/>
        <v>-0.26</v>
      </c>
      <c r="AM443" s="82">
        <f t="shared" si="599"/>
        <v>0</v>
      </c>
      <c r="AN443" s="82">
        <f t="shared" si="599"/>
        <v>0</v>
      </c>
      <c r="AO443" s="82">
        <f t="shared" si="599"/>
        <v>0.61</v>
      </c>
      <c r="AP443" s="82">
        <f t="shared" si="599"/>
        <v>-0.26</v>
      </c>
      <c r="AQ443" s="83">
        <f t="shared" si="599"/>
        <v>0.35</v>
      </c>
      <c r="AR443" s="438">
        <f t="shared" si="599"/>
        <v>10515968</v>
      </c>
      <c r="AS443" s="81">
        <f t="shared" si="599"/>
        <v>7632231</v>
      </c>
      <c r="AT443" s="81">
        <f t="shared" si="599"/>
        <v>32500</v>
      </c>
      <c r="AU443" s="81">
        <f t="shared" si="599"/>
        <v>2590679</v>
      </c>
      <c r="AV443" s="81">
        <f t="shared" si="599"/>
        <v>152644</v>
      </c>
      <c r="AW443" s="81">
        <f t="shared" si="599"/>
        <v>107914</v>
      </c>
      <c r="AX443" s="82">
        <f t="shared" si="599"/>
        <v>17.4969</v>
      </c>
      <c r="AY443" s="82">
        <f t="shared" si="599"/>
        <v>11.702299999999999</v>
      </c>
      <c r="AZ443" s="83">
        <f t="shared" si="599"/>
        <v>5.7946</v>
      </c>
    </row>
    <row r="444" spans="1:52" ht="14.1" customHeight="1" x14ac:dyDescent="0.2">
      <c r="A444" s="72">
        <v>87</v>
      </c>
      <c r="B444" s="69">
        <v>2498</v>
      </c>
      <c r="C444" s="70">
        <v>650021576</v>
      </c>
      <c r="D444" s="69">
        <v>70695539</v>
      </c>
      <c r="E444" s="71" t="s">
        <v>739</v>
      </c>
      <c r="F444" s="72">
        <v>3111</v>
      </c>
      <c r="G444" s="71" t="s">
        <v>312</v>
      </c>
      <c r="H444" s="73" t="s">
        <v>278</v>
      </c>
      <c r="I444" s="494">
        <v>4879302</v>
      </c>
      <c r="J444" s="489">
        <v>3564400</v>
      </c>
      <c r="K444" s="489">
        <v>6500</v>
      </c>
      <c r="L444" s="489">
        <v>1206964</v>
      </c>
      <c r="M444" s="489">
        <v>71288</v>
      </c>
      <c r="N444" s="489">
        <v>30150</v>
      </c>
      <c r="O444" s="490">
        <v>7.5327999999999999</v>
      </c>
      <c r="P444" s="490">
        <v>6</v>
      </c>
      <c r="Q444" s="500">
        <v>1.5327999999999999</v>
      </c>
      <c r="R444" s="502">
        <f t="shared" si="523"/>
        <v>0</v>
      </c>
      <c r="S444" s="492">
        <v>0</v>
      </c>
      <c r="T444" s="492">
        <v>0</v>
      </c>
      <c r="U444" s="492">
        <v>0</v>
      </c>
      <c r="V444" s="492">
        <f t="shared" ref="V444:V449" si="601">SUM(R444:U444)</f>
        <v>0</v>
      </c>
      <c r="W444" s="492">
        <v>0</v>
      </c>
      <c r="X444" s="492">
        <v>0</v>
      </c>
      <c r="Y444" s="492">
        <v>0</v>
      </c>
      <c r="Z444" s="492">
        <f t="shared" si="529"/>
        <v>0</v>
      </c>
      <c r="AA444" s="492">
        <f t="shared" si="530"/>
        <v>0</v>
      </c>
      <c r="AB444" s="74">
        <f t="shared" si="531"/>
        <v>0</v>
      </c>
      <c r="AC444" s="74">
        <f t="shared" si="532"/>
        <v>0</v>
      </c>
      <c r="AD444" s="492">
        <v>0</v>
      </c>
      <c r="AE444" s="492">
        <v>0</v>
      </c>
      <c r="AF444" s="492">
        <f t="shared" ref="AF444:AF449" si="602">SUM(AD444:AE444)</f>
        <v>0</v>
      </c>
      <c r="AG444" s="492">
        <f t="shared" ref="AG444:AG449" si="603">AA444+AB444+AC444+AF444</f>
        <v>0</v>
      </c>
      <c r="AH444" s="493">
        <v>0</v>
      </c>
      <c r="AI444" s="493">
        <v>0</v>
      </c>
      <c r="AJ444" s="493">
        <v>0</v>
      </c>
      <c r="AK444" s="493">
        <v>0</v>
      </c>
      <c r="AL444" s="493">
        <v>0</v>
      </c>
      <c r="AM444" s="493">
        <v>0</v>
      </c>
      <c r="AN444" s="493">
        <v>0</v>
      </c>
      <c r="AO444" s="493">
        <f t="shared" si="524"/>
        <v>0</v>
      </c>
      <c r="AP444" s="493">
        <f t="shared" si="525"/>
        <v>0</v>
      </c>
      <c r="AQ444" s="495">
        <f t="shared" si="535"/>
        <v>0</v>
      </c>
      <c r="AR444" s="501">
        <f t="shared" ref="AR444:AR449" si="604">I444+AG444</f>
        <v>4879302</v>
      </c>
      <c r="AS444" s="492">
        <f t="shared" ref="AS444:AS449" si="605">J444+V444</f>
        <v>3564400</v>
      </c>
      <c r="AT444" s="492">
        <f t="shared" ref="AT444:AT449" si="606">K444+Z444</f>
        <v>6500</v>
      </c>
      <c r="AU444" s="492">
        <f t="shared" ref="AU444:AV449" si="607">L444+AB444</f>
        <v>1206964</v>
      </c>
      <c r="AV444" s="492">
        <f t="shared" si="607"/>
        <v>71288</v>
      </c>
      <c r="AW444" s="492">
        <f t="shared" ref="AW444:AW449" si="608">N444+AF444</f>
        <v>30150</v>
      </c>
      <c r="AX444" s="493">
        <f t="shared" ref="AX444:AX449" si="609">O444+AQ444</f>
        <v>7.5327999999999999</v>
      </c>
      <c r="AY444" s="493">
        <f t="shared" ref="AY444:AZ449" si="610">P444+AO444</f>
        <v>6</v>
      </c>
      <c r="AZ444" s="495">
        <f t="shared" si="610"/>
        <v>1.5327999999999999</v>
      </c>
    </row>
    <row r="445" spans="1:52" ht="14.1" customHeight="1" x14ac:dyDescent="0.2">
      <c r="A445" s="72">
        <v>87</v>
      </c>
      <c r="B445" s="69">
        <v>2498</v>
      </c>
      <c r="C445" s="70">
        <v>650021576</v>
      </c>
      <c r="D445" s="69">
        <v>70695539</v>
      </c>
      <c r="E445" s="71" t="s">
        <v>739</v>
      </c>
      <c r="F445" s="72">
        <v>3113</v>
      </c>
      <c r="G445" s="71" t="s">
        <v>315</v>
      </c>
      <c r="H445" s="73" t="s">
        <v>278</v>
      </c>
      <c r="I445" s="494">
        <v>18578573</v>
      </c>
      <c r="J445" s="489">
        <v>13358653</v>
      </c>
      <c r="K445" s="489">
        <v>39000</v>
      </c>
      <c r="L445" s="489">
        <v>4528407</v>
      </c>
      <c r="M445" s="489">
        <v>267173</v>
      </c>
      <c r="N445" s="489">
        <v>385340</v>
      </c>
      <c r="O445" s="490">
        <v>23.395800000000001</v>
      </c>
      <c r="P445" s="490">
        <v>16.631</v>
      </c>
      <c r="Q445" s="500">
        <v>6.7648000000000001</v>
      </c>
      <c r="R445" s="502">
        <f t="shared" si="523"/>
        <v>0</v>
      </c>
      <c r="S445" s="492">
        <v>0</v>
      </c>
      <c r="T445" s="492">
        <v>0</v>
      </c>
      <c r="U445" s="492">
        <v>0</v>
      </c>
      <c r="V445" s="492">
        <f t="shared" si="601"/>
        <v>0</v>
      </c>
      <c r="W445" s="492">
        <v>0</v>
      </c>
      <c r="X445" s="492">
        <v>0</v>
      </c>
      <c r="Y445" s="492">
        <v>0</v>
      </c>
      <c r="Z445" s="492">
        <f t="shared" si="529"/>
        <v>0</v>
      </c>
      <c r="AA445" s="492">
        <f t="shared" si="530"/>
        <v>0</v>
      </c>
      <c r="AB445" s="74">
        <f t="shared" si="531"/>
        <v>0</v>
      </c>
      <c r="AC445" s="74">
        <f t="shared" si="532"/>
        <v>0</v>
      </c>
      <c r="AD445" s="492">
        <v>0</v>
      </c>
      <c r="AE445" s="492">
        <v>0</v>
      </c>
      <c r="AF445" s="492">
        <f t="shared" si="602"/>
        <v>0</v>
      </c>
      <c r="AG445" s="492">
        <f t="shared" si="603"/>
        <v>0</v>
      </c>
      <c r="AH445" s="493">
        <v>0</v>
      </c>
      <c r="AI445" s="493">
        <v>0</v>
      </c>
      <c r="AJ445" s="493">
        <v>0</v>
      </c>
      <c r="AK445" s="493">
        <v>0</v>
      </c>
      <c r="AL445" s="493">
        <v>0</v>
      </c>
      <c r="AM445" s="493">
        <v>0</v>
      </c>
      <c r="AN445" s="493">
        <v>0</v>
      </c>
      <c r="AO445" s="493">
        <f t="shared" si="524"/>
        <v>0</v>
      </c>
      <c r="AP445" s="493">
        <f t="shared" si="525"/>
        <v>0</v>
      </c>
      <c r="AQ445" s="495">
        <f t="shared" si="535"/>
        <v>0</v>
      </c>
      <c r="AR445" s="501">
        <f t="shared" si="604"/>
        <v>18578573</v>
      </c>
      <c r="AS445" s="492">
        <f t="shared" si="605"/>
        <v>13358653</v>
      </c>
      <c r="AT445" s="492">
        <f t="shared" si="606"/>
        <v>39000</v>
      </c>
      <c r="AU445" s="492">
        <f t="shared" si="607"/>
        <v>4528407</v>
      </c>
      <c r="AV445" s="492">
        <f t="shared" si="607"/>
        <v>267173</v>
      </c>
      <c r="AW445" s="492">
        <f t="shared" si="608"/>
        <v>385340</v>
      </c>
      <c r="AX445" s="493">
        <f t="shared" si="609"/>
        <v>23.395800000000001</v>
      </c>
      <c r="AY445" s="493">
        <f t="shared" si="610"/>
        <v>16.631</v>
      </c>
      <c r="AZ445" s="495">
        <f t="shared" si="610"/>
        <v>6.7648000000000001</v>
      </c>
    </row>
    <row r="446" spans="1:52" ht="14.1" customHeight="1" x14ac:dyDescent="0.2">
      <c r="A446" s="72">
        <v>87</v>
      </c>
      <c r="B446" s="69">
        <v>2498</v>
      </c>
      <c r="C446" s="70">
        <v>650021576</v>
      </c>
      <c r="D446" s="69">
        <v>70695539</v>
      </c>
      <c r="E446" s="71" t="s">
        <v>739</v>
      </c>
      <c r="F446" s="72">
        <v>3113</v>
      </c>
      <c r="G446" s="84" t="s">
        <v>313</v>
      </c>
      <c r="H446" s="73" t="s">
        <v>279</v>
      </c>
      <c r="I446" s="494">
        <v>2864893</v>
      </c>
      <c r="J446" s="489">
        <v>2108169</v>
      </c>
      <c r="K446" s="489">
        <v>0</v>
      </c>
      <c r="L446" s="489">
        <v>712561</v>
      </c>
      <c r="M446" s="489">
        <v>42163</v>
      </c>
      <c r="N446" s="489">
        <v>2000</v>
      </c>
      <c r="O446" s="490">
        <v>5.82</v>
      </c>
      <c r="P446" s="491">
        <v>5.82</v>
      </c>
      <c r="Q446" s="500">
        <v>0</v>
      </c>
      <c r="R446" s="502">
        <f t="shared" si="523"/>
        <v>0</v>
      </c>
      <c r="S446" s="489">
        <v>-19280</v>
      </c>
      <c r="T446" s="492">
        <v>0</v>
      </c>
      <c r="U446" s="492">
        <v>0</v>
      </c>
      <c r="V446" s="492">
        <f t="shared" si="601"/>
        <v>-19280</v>
      </c>
      <c r="W446" s="492">
        <v>0</v>
      </c>
      <c r="X446" s="492">
        <v>0</v>
      </c>
      <c r="Y446" s="492">
        <v>0</v>
      </c>
      <c r="Z446" s="492">
        <f t="shared" si="529"/>
        <v>0</v>
      </c>
      <c r="AA446" s="492">
        <f t="shared" si="530"/>
        <v>-19280</v>
      </c>
      <c r="AB446" s="74">
        <f t="shared" si="531"/>
        <v>-6517</v>
      </c>
      <c r="AC446" s="74">
        <f t="shared" si="532"/>
        <v>-386</v>
      </c>
      <c r="AD446" s="489">
        <v>0</v>
      </c>
      <c r="AE446" s="492">
        <v>0</v>
      </c>
      <c r="AF446" s="492">
        <f t="shared" si="602"/>
        <v>0</v>
      </c>
      <c r="AG446" s="492">
        <f t="shared" si="603"/>
        <v>-26183</v>
      </c>
      <c r="AH446" s="493">
        <v>0</v>
      </c>
      <c r="AI446" s="493">
        <v>0</v>
      </c>
      <c r="AJ446" s="493">
        <v>-0.04</v>
      </c>
      <c r="AK446" s="493">
        <v>0</v>
      </c>
      <c r="AL446" s="493">
        <v>0</v>
      </c>
      <c r="AM446" s="493">
        <v>0</v>
      </c>
      <c r="AN446" s="493">
        <v>0</v>
      </c>
      <c r="AO446" s="493">
        <f t="shared" si="524"/>
        <v>-0.04</v>
      </c>
      <c r="AP446" s="493">
        <f t="shared" si="525"/>
        <v>0</v>
      </c>
      <c r="AQ446" s="495">
        <f t="shared" si="535"/>
        <v>-0.04</v>
      </c>
      <c r="AR446" s="501">
        <f t="shared" si="604"/>
        <v>2838710</v>
      </c>
      <c r="AS446" s="492">
        <f t="shared" si="605"/>
        <v>2088889</v>
      </c>
      <c r="AT446" s="492">
        <f t="shared" si="606"/>
        <v>0</v>
      </c>
      <c r="AU446" s="492">
        <f t="shared" si="607"/>
        <v>706044</v>
      </c>
      <c r="AV446" s="492">
        <f t="shared" si="607"/>
        <v>41777</v>
      </c>
      <c r="AW446" s="492">
        <f t="shared" si="608"/>
        <v>2000</v>
      </c>
      <c r="AX446" s="493">
        <f t="shared" si="609"/>
        <v>5.78</v>
      </c>
      <c r="AY446" s="493">
        <f t="shared" si="610"/>
        <v>5.78</v>
      </c>
      <c r="AZ446" s="495">
        <f t="shared" si="610"/>
        <v>0</v>
      </c>
    </row>
    <row r="447" spans="1:52" ht="14.1" customHeight="1" x14ac:dyDescent="0.2">
      <c r="A447" s="72">
        <v>87</v>
      </c>
      <c r="B447" s="69">
        <v>2498</v>
      </c>
      <c r="C447" s="70">
        <v>650021576</v>
      </c>
      <c r="D447" s="69">
        <v>70695539</v>
      </c>
      <c r="E447" s="71" t="s">
        <v>739</v>
      </c>
      <c r="F447" s="72">
        <v>3141</v>
      </c>
      <c r="G447" s="71" t="s">
        <v>316</v>
      </c>
      <c r="H447" s="73" t="s">
        <v>279</v>
      </c>
      <c r="I447" s="494">
        <v>2743331</v>
      </c>
      <c r="J447" s="489">
        <v>2006877</v>
      </c>
      <c r="K447" s="489">
        <v>0</v>
      </c>
      <c r="L447" s="489">
        <v>678324</v>
      </c>
      <c r="M447" s="489">
        <v>40138</v>
      </c>
      <c r="N447" s="489">
        <v>17992</v>
      </c>
      <c r="O447" s="490">
        <v>6.32</v>
      </c>
      <c r="P447" s="491">
        <v>0</v>
      </c>
      <c r="Q447" s="500">
        <v>6.32</v>
      </c>
      <c r="R447" s="502">
        <f t="shared" si="523"/>
        <v>0</v>
      </c>
      <c r="S447" s="492">
        <v>0</v>
      </c>
      <c r="T447" s="492">
        <v>0</v>
      </c>
      <c r="U447" s="492">
        <v>0</v>
      </c>
      <c r="V447" s="492">
        <f t="shared" si="601"/>
        <v>0</v>
      </c>
      <c r="W447" s="492">
        <v>0</v>
      </c>
      <c r="X447" s="492">
        <v>0</v>
      </c>
      <c r="Y447" s="492">
        <v>0</v>
      </c>
      <c r="Z447" s="492">
        <f t="shared" si="529"/>
        <v>0</v>
      </c>
      <c r="AA447" s="492">
        <f t="shared" si="530"/>
        <v>0</v>
      </c>
      <c r="AB447" s="74">
        <f t="shared" si="531"/>
        <v>0</v>
      </c>
      <c r="AC447" s="74">
        <f t="shared" si="532"/>
        <v>0</v>
      </c>
      <c r="AD447" s="492">
        <v>0</v>
      </c>
      <c r="AE447" s="492">
        <v>0</v>
      </c>
      <c r="AF447" s="492">
        <f t="shared" si="602"/>
        <v>0</v>
      </c>
      <c r="AG447" s="492">
        <f t="shared" si="603"/>
        <v>0</v>
      </c>
      <c r="AH447" s="493">
        <v>0</v>
      </c>
      <c r="AI447" s="493">
        <v>0</v>
      </c>
      <c r="AJ447" s="493">
        <v>0</v>
      </c>
      <c r="AK447" s="493">
        <v>0</v>
      </c>
      <c r="AL447" s="493">
        <v>0</v>
      </c>
      <c r="AM447" s="493">
        <v>0</v>
      </c>
      <c r="AN447" s="493">
        <v>0</v>
      </c>
      <c r="AO447" s="493">
        <f t="shared" si="524"/>
        <v>0</v>
      </c>
      <c r="AP447" s="493">
        <f t="shared" si="525"/>
        <v>0</v>
      </c>
      <c r="AQ447" s="495">
        <f t="shared" si="535"/>
        <v>0</v>
      </c>
      <c r="AR447" s="501">
        <f t="shared" si="604"/>
        <v>2743331</v>
      </c>
      <c r="AS447" s="492">
        <f t="shared" si="605"/>
        <v>2006877</v>
      </c>
      <c r="AT447" s="492">
        <f t="shared" si="606"/>
        <v>0</v>
      </c>
      <c r="AU447" s="492">
        <f t="shared" si="607"/>
        <v>678324</v>
      </c>
      <c r="AV447" s="492">
        <f t="shared" si="607"/>
        <v>40138</v>
      </c>
      <c r="AW447" s="492">
        <f t="shared" si="608"/>
        <v>17992</v>
      </c>
      <c r="AX447" s="493">
        <f t="shared" si="609"/>
        <v>6.32</v>
      </c>
      <c r="AY447" s="493">
        <f t="shared" si="610"/>
        <v>0</v>
      </c>
      <c r="AZ447" s="495">
        <f t="shared" si="610"/>
        <v>6.32</v>
      </c>
    </row>
    <row r="448" spans="1:52" ht="14.1" customHeight="1" x14ac:dyDescent="0.2">
      <c r="A448" s="72">
        <v>87</v>
      </c>
      <c r="B448" s="69">
        <v>2498</v>
      </c>
      <c r="C448" s="70">
        <v>650021576</v>
      </c>
      <c r="D448" s="69">
        <v>70695539</v>
      </c>
      <c r="E448" s="71" t="s">
        <v>739</v>
      </c>
      <c r="F448" s="72">
        <v>3143</v>
      </c>
      <c r="G448" s="84" t="s">
        <v>629</v>
      </c>
      <c r="H448" s="73" t="s">
        <v>278</v>
      </c>
      <c r="I448" s="494">
        <v>1582609</v>
      </c>
      <c r="J448" s="489">
        <v>1165397</v>
      </c>
      <c r="K448" s="489">
        <v>0</v>
      </c>
      <c r="L448" s="489">
        <v>393904</v>
      </c>
      <c r="M448" s="489">
        <v>23308</v>
      </c>
      <c r="N448" s="489">
        <v>0</v>
      </c>
      <c r="O448" s="490">
        <v>2.5</v>
      </c>
      <c r="P448" s="490">
        <v>2.5</v>
      </c>
      <c r="Q448" s="500">
        <v>0</v>
      </c>
      <c r="R448" s="502">
        <f t="shared" si="523"/>
        <v>0</v>
      </c>
      <c r="S448" s="492">
        <v>0</v>
      </c>
      <c r="T448" s="492">
        <v>0</v>
      </c>
      <c r="U448" s="492">
        <v>0</v>
      </c>
      <c r="V448" s="492">
        <f t="shared" si="601"/>
        <v>0</v>
      </c>
      <c r="W448" s="492">
        <v>0</v>
      </c>
      <c r="X448" s="492">
        <v>0</v>
      </c>
      <c r="Y448" s="492">
        <v>0</v>
      </c>
      <c r="Z448" s="492">
        <f t="shared" si="529"/>
        <v>0</v>
      </c>
      <c r="AA448" s="492">
        <f t="shared" si="530"/>
        <v>0</v>
      </c>
      <c r="AB448" s="74">
        <f t="shared" si="531"/>
        <v>0</v>
      </c>
      <c r="AC448" s="74">
        <f t="shared" si="532"/>
        <v>0</v>
      </c>
      <c r="AD448" s="492">
        <v>0</v>
      </c>
      <c r="AE448" s="492">
        <v>0</v>
      </c>
      <c r="AF448" s="492">
        <f t="shared" si="602"/>
        <v>0</v>
      </c>
      <c r="AG448" s="492">
        <f t="shared" si="603"/>
        <v>0</v>
      </c>
      <c r="AH448" s="493">
        <v>0</v>
      </c>
      <c r="AI448" s="493">
        <v>0</v>
      </c>
      <c r="AJ448" s="493">
        <v>0</v>
      </c>
      <c r="AK448" s="493">
        <v>0</v>
      </c>
      <c r="AL448" s="493">
        <v>0</v>
      </c>
      <c r="AM448" s="493">
        <v>0</v>
      </c>
      <c r="AN448" s="493">
        <v>0</v>
      </c>
      <c r="AO448" s="493">
        <f t="shared" si="524"/>
        <v>0</v>
      </c>
      <c r="AP448" s="493">
        <f t="shared" si="525"/>
        <v>0</v>
      </c>
      <c r="AQ448" s="495">
        <f t="shared" si="535"/>
        <v>0</v>
      </c>
      <c r="AR448" s="501">
        <f t="shared" si="604"/>
        <v>1582609</v>
      </c>
      <c r="AS448" s="492">
        <f t="shared" si="605"/>
        <v>1165397</v>
      </c>
      <c r="AT448" s="492">
        <f t="shared" si="606"/>
        <v>0</v>
      </c>
      <c r="AU448" s="492">
        <f t="shared" si="607"/>
        <v>393904</v>
      </c>
      <c r="AV448" s="492">
        <f t="shared" si="607"/>
        <v>23308</v>
      </c>
      <c r="AW448" s="492">
        <f t="shared" si="608"/>
        <v>0</v>
      </c>
      <c r="AX448" s="493">
        <f t="shared" si="609"/>
        <v>2.5</v>
      </c>
      <c r="AY448" s="493">
        <f t="shared" si="610"/>
        <v>2.5</v>
      </c>
      <c r="AZ448" s="495">
        <f t="shared" si="610"/>
        <v>0</v>
      </c>
    </row>
    <row r="449" spans="1:52" ht="14.1" customHeight="1" x14ac:dyDescent="0.2">
      <c r="A449" s="72">
        <v>87</v>
      </c>
      <c r="B449" s="69">
        <v>2498</v>
      </c>
      <c r="C449" s="70">
        <v>650021576</v>
      </c>
      <c r="D449" s="69">
        <v>70695539</v>
      </c>
      <c r="E449" s="71" t="s">
        <v>739</v>
      </c>
      <c r="F449" s="72">
        <v>3143</v>
      </c>
      <c r="G449" s="84" t="s">
        <v>630</v>
      </c>
      <c r="H449" s="73" t="s">
        <v>279</v>
      </c>
      <c r="I449" s="494">
        <v>51407</v>
      </c>
      <c r="J449" s="489">
        <v>36353</v>
      </c>
      <c r="K449" s="489">
        <v>0</v>
      </c>
      <c r="L449" s="489">
        <v>12287</v>
      </c>
      <c r="M449" s="489">
        <v>727</v>
      </c>
      <c r="N449" s="489">
        <v>2040</v>
      </c>
      <c r="O449" s="490">
        <v>0.14000000000000001</v>
      </c>
      <c r="P449" s="491">
        <v>0</v>
      </c>
      <c r="Q449" s="500">
        <v>0.14000000000000001</v>
      </c>
      <c r="R449" s="502">
        <f t="shared" si="523"/>
        <v>0</v>
      </c>
      <c r="S449" s="492">
        <v>0</v>
      </c>
      <c r="T449" s="492">
        <v>0</v>
      </c>
      <c r="U449" s="492">
        <v>0</v>
      </c>
      <c r="V449" s="492">
        <f t="shared" si="601"/>
        <v>0</v>
      </c>
      <c r="W449" s="492">
        <v>0</v>
      </c>
      <c r="X449" s="492">
        <v>0</v>
      </c>
      <c r="Y449" s="492">
        <v>0</v>
      </c>
      <c r="Z449" s="492">
        <f t="shared" si="529"/>
        <v>0</v>
      </c>
      <c r="AA449" s="492">
        <f t="shared" si="530"/>
        <v>0</v>
      </c>
      <c r="AB449" s="74">
        <f t="shared" si="531"/>
        <v>0</v>
      </c>
      <c r="AC449" s="74">
        <f t="shared" si="532"/>
        <v>0</v>
      </c>
      <c r="AD449" s="492">
        <v>0</v>
      </c>
      <c r="AE449" s="492">
        <v>0</v>
      </c>
      <c r="AF449" s="492">
        <f t="shared" si="602"/>
        <v>0</v>
      </c>
      <c r="AG449" s="492">
        <f t="shared" si="603"/>
        <v>0</v>
      </c>
      <c r="AH449" s="493">
        <v>0</v>
      </c>
      <c r="AI449" s="493">
        <v>0</v>
      </c>
      <c r="AJ449" s="493">
        <v>0</v>
      </c>
      <c r="AK449" s="493">
        <v>0</v>
      </c>
      <c r="AL449" s="493">
        <v>0</v>
      </c>
      <c r="AM449" s="493">
        <v>0</v>
      </c>
      <c r="AN449" s="493">
        <v>0</v>
      </c>
      <c r="AO449" s="493">
        <f t="shared" si="524"/>
        <v>0</v>
      </c>
      <c r="AP449" s="493">
        <f t="shared" si="525"/>
        <v>0</v>
      </c>
      <c r="AQ449" s="495">
        <f t="shared" si="535"/>
        <v>0</v>
      </c>
      <c r="AR449" s="501">
        <f t="shared" si="604"/>
        <v>51407</v>
      </c>
      <c r="AS449" s="492">
        <f t="shared" si="605"/>
        <v>36353</v>
      </c>
      <c r="AT449" s="492">
        <f t="shared" si="606"/>
        <v>0</v>
      </c>
      <c r="AU449" s="492">
        <f t="shared" si="607"/>
        <v>12287</v>
      </c>
      <c r="AV449" s="492">
        <f t="shared" si="607"/>
        <v>727</v>
      </c>
      <c r="AW449" s="492">
        <f t="shared" si="608"/>
        <v>2040</v>
      </c>
      <c r="AX449" s="493">
        <f t="shared" si="609"/>
        <v>0.14000000000000001</v>
      </c>
      <c r="AY449" s="493">
        <f t="shared" si="610"/>
        <v>0</v>
      </c>
      <c r="AZ449" s="495">
        <f t="shared" si="610"/>
        <v>0.14000000000000001</v>
      </c>
    </row>
    <row r="450" spans="1:52" ht="14.1" customHeight="1" x14ac:dyDescent="0.2">
      <c r="A450" s="78">
        <v>87</v>
      </c>
      <c r="B450" s="75">
        <v>2498</v>
      </c>
      <c r="C450" s="76">
        <v>650021576</v>
      </c>
      <c r="D450" s="75">
        <v>70695539</v>
      </c>
      <c r="E450" s="77" t="s">
        <v>740</v>
      </c>
      <c r="F450" s="78"/>
      <c r="G450" s="77"/>
      <c r="H450" s="79"/>
      <c r="I450" s="80">
        <v>30700115</v>
      </c>
      <c r="J450" s="81">
        <v>22239849</v>
      </c>
      <c r="K450" s="81">
        <v>45500</v>
      </c>
      <c r="L450" s="81">
        <v>7532447</v>
      </c>
      <c r="M450" s="81">
        <v>444797</v>
      </c>
      <c r="N450" s="81">
        <v>437522</v>
      </c>
      <c r="O450" s="82">
        <v>45.708600000000004</v>
      </c>
      <c r="P450" s="82">
        <v>30.951000000000001</v>
      </c>
      <c r="Q450" s="452">
        <v>14.7576</v>
      </c>
      <c r="R450" s="80">
        <f t="shared" ref="R450:AZ450" si="611">SUM(R444:R449)</f>
        <v>0</v>
      </c>
      <c r="S450" s="81">
        <f t="shared" si="611"/>
        <v>-19280</v>
      </c>
      <c r="T450" s="81">
        <f t="shared" si="611"/>
        <v>0</v>
      </c>
      <c r="U450" s="81">
        <f t="shared" si="611"/>
        <v>0</v>
      </c>
      <c r="V450" s="81">
        <f t="shared" si="611"/>
        <v>-19280</v>
      </c>
      <c r="W450" s="81">
        <f t="shared" si="611"/>
        <v>0</v>
      </c>
      <c r="X450" s="81">
        <f t="shared" si="611"/>
        <v>0</v>
      </c>
      <c r="Y450" s="81">
        <f t="shared" si="611"/>
        <v>0</v>
      </c>
      <c r="Z450" s="81">
        <f t="shared" si="611"/>
        <v>0</v>
      </c>
      <c r="AA450" s="81">
        <f t="shared" si="611"/>
        <v>-19280</v>
      </c>
      <c r="AB450" s="81">
        <f t="shared" si="611"/>
        <v>-6517</v>
      </c>
      <c r="AC450" s="81">
        <f t="shared" si="611"/>
        <v>-386</v>
      </c>
      <c r="AD450" s="81">
        <f t="shared" si="611"/>
        <v>0</v>
      </c>
      <c r="AE450" s="81">
        <f t="shared" si="611"/>
        <v>0</v>
      </c>
      <c r="AF450" s="81">
        <f t="shared" si="611"/>
        <v>0</v>
      </c>
      <c r="AG450" s="81">
        <f t="shared" si="611"/>
        <v>-26183</v>
      </c>
      <c r="AH450" s="82">
        <f t="shared" si="611"/>
        <v>0</v>
      </c>
      <c r="AI450" s="82">
        <f t="shared" si="611"/>
        <v>0</v>
      </c>
      <c r="AJ450" s="82">
        <f t="shared" si="611"/>
        <v>-0.04</v>
      </c>
      <c r="AK450" s="82">
        <f t="shared" ref="AK450:AL450" si="612">SUM(AK444:AK449)</f>
        <v>0</v>
      </c>
      <c r="AL450" s="82">
        <f t="shared" si="612"/>
        <v>0</v>
      </c>
      <c r="AM450" s="82">
        <f t="shared" si="611"/>
        <v>0</v>
      </c>
      <c r="AN450" s="82">
        <f t="shared" si="611"/>
        <v>0</v>
      </c>
      <c r="AO450" s="82">
        <f t="shared" si="611"/>
        <v>-0.04</v>
      </c>
      <c r="AP450" s="82">
        <f t="shared" si="611"/>
        <v>0</v>
      </c>
      <c r="AQ450" s="83">
        <f t="shared" si="611"/>
        <v>-0.04</v>
      </c>
      <c r="AR450" s="438">
        <f t="shared" si="611"/>
        <v>30673932</v>
      </c>
      <c r="AS450" s="81">
        <f t="shared" si="611"/>
        <v>22220569</v>
      </c>
      <c r="AT450" s="81">
        <f t="shared" si="611"/>
        <v>45500</v>
      </c>
      <c r="AU450" s="81">
        <f t="shared" si="611"/>
        <v>7525930</v>
      </c>
      <c r="AV450" s="81">
        <f t="shared" si="611"/>
        <v>444411</v>
      </c>
      <c r="AW450" s="81">
        <f t="shared" si="611"/>
        <v>437522</v>
      </c>
      <c r="AX450" s="82">
        <f t="shared" si="611"/>
        <v>45.668600000000005</v>
      </c>
      <c r="AY450" s="82">
        <f t="shared" si="611"/>
        <v>30.911000000000001</v>
      </c>
      <c r="AZ450" s="83">
        <f t="shared" si="611"/>
        <v>14.7576</v>
      </c>
    </row>
    <row r="451" spans="1:52" ht="14.1" customHeight="1" x14ac:dyDescent="0.2">
      <c r="A451" s="72">
        <v>88</v>
      </c>
      <c r="B451" s="69">
        <v>2499</v>
      </c>
      <c r="C451" s="70">
        <v>650025288</v>
      </c>
      <c r="D451" s="69">
        <v>70983283</v>
      </c>
      <c r="E451" s="71" t="s">
        <v>741</v>
      </c>
      <c r="F451" s="72">
        <v>3111</v>
      </c>
      <c r="G451" s="71" t="s">
        <v>312</v>
      </c>
      <c r="H451" s="73" t="s">
        <v>278</v>
      </c>
      <c r="I451" s="494">
        <v>3012083</v>
      </c>
      <c r="J451" s="489">
        <v>2206762</v>
      </c>
      <c r="K451" s="489">
        <v>0</v>
      </c>
      <c r="L451" s="489">
        <v>745886</v>
      </c>
      <c r="M451" s="489">
        <v>44135</v>
      </c>
      <c r="N451" s="489">
        <v>15300</v>
      </c>
      <c r="O451" s="490">
        <v>4.9058999999999999</v>
      </c>
      <c r="P451" s="490">
        <v>3.9841000000000002</v>
      </c>
      <c r="Q451" s="500">
        <v>0.92179999999999995</v>
      </c>
      <c r="R451" s="502">
        <f t="shared" si="523"/>
        <v>0</v>
      </c>
      <c r="S451" s="492">
        <v>0</v>
      </c>
      <c r="T451" s="492">
        <v>0</v>
      </c>
      <c r="U451" s="492">
        <v>0</v>
      </c>
      <c r="V451" s="492">
        <f t="shared" ref="V451:V456" si="613">SUM(R451:U451)</f>
        <v>0</v>
      </c>
      <c r="W451" s="492">
        <v>0</v>
      </c>
      <c r="X451" s="492">
        <v>0</v>
      </c>
      <c r="Y451" s="492">
        <v>0</v>
      </c>
      <c r="Z451" s="492">
        <f t="shared" si="529"/>
        <v>0</v>
      </c>
      <c r="AA451" s="492">
        <f t="shared" si="530"/>
        <v>0</v>
      </c>
      <c r="AB451" s="74">
        <f t="shared" si="531"/>
        <v>0</v>
      </c>
      <c r="AC451" s="74">
        <f t="shared" si="532"/>
        <v>0</v>
      </c>
      <c r="AD451" s="492">
        <v>0</v>
      </c>
      <c r="AE451" s="492">
        <v>0</v>
      </c>
      <c r="AF451" s="492">
        <f t="shared" ref="AF451:AF456" si="614">SUM(AD451:AE451)</f>
        <v>0</v>
      </c>
      <c r="AG451" s="492">
        <f t="shared" ref="AG451:AG456" si="615">AA451+AB451+AC451+AF451</f>
        <v>0</v>
      </c>
      <c r="AH451" s="493">
        <v>0</v>
      </c>
      <c r="AI451" s="493">
        <v>0</v>
      </c>
      <c r="AJ451" s="493">
        <v>0</v>
      </c>
      <c r="AK451" s="493">
        <v>0</v>
      </c>
      <c r="AL451" s="493">
        <v>0</v>
      </c>
      <c r="AM451" s="493">
        <v>0</v>
      </c>
      <c r="AN451" s="493">
        <v>0</v>
      </c>
      <c r="AO451" s="493">
        <f t="shared" si="524"/>
        <v>0</v>
      </c>
      <c r="AP451" s="493">
        <f t="shared" si="525"/>
        <v>0</v>
      </c>
      <c r="AQ451" s="495">
        <f t="shared" si="535"/>
        <v>0</v>
      </c>
      <c r="AR451" s="501">
        <f t="shared" ref="AR451:AR456" si="616">I451+AG451</f>
        <v>3012083</v>
      </c>
      <c r="AS451" s="492">
        <f t="shared" ref="AS451:AS456" si="617">J451+V451</f>
        <v>2206762</v>
      </c>
      <c r="AT451" s="492">
        <f t="shared" ref="AT451:AT456" si="618">K451+Z451</f>
        <v>0</v>
      </c>
      <c r="AU451" s="492">
        <f t="shared" ref="AU451:AV456" si="619">L451+AB451</f>
        <v>745886</v>
      </c>
      <c r="AV451" s="492">
        <f t="shared" si="619"/>
        <v>44135</v>
      </c>
      <c r="AW451" s="492">
        <f t="shared" ref="AW451:AW456" si="620">N451+AF451</f>
        <v>15300</v>
      </c>
      <c r="AX451" s="493">
        <f t="shared" ref="AX451:AX456" si="621">O451+AQ451</f>
        <v>4.9058999999999999</v>
      </c>
      <c r="AY451" s="493">
        <f t="shared" ref="AY451:AZ456" si="622">P451+AO451</f>
        <v>3.9841000000000002</v>
      </c>
      <c r="AZ451" s="495">
        <f t="shared" si="622"/>
        <v>0.92179999999999995</v>
      </c>
    </row>
    <row r="452" spans="1:52" ht="14.1" customHeight="1" x14ac:dyDescent="0.2">
      <c r="A452" s="72">
        <v>88</v>
      </c>
      <c r="B452" s="69">
        <v>2499</v>
      </c>
      <c r="C452" s="70">
        <v>650025288</v>
      </c>
      <c r="D452" s="69">
        <v>70983283</v>
      </c>
      <c r="E452" s="71" t="s">
        <v>741</v>
      </c>
      <c r="F452" s="72">
        <v>3117</v>
      </c>
      <c r="G452" s="71" t="s">
        <v>315</v>
      </c>
      <c r="H452" s="73" t="s">
        <v>278</v>
      </c>
      <c r="I452" s="494">
        <v>4469771</v>
      </c>
      <c r="J452" s="489">
        <v>3230995</v>
      </c>
      <c r="K452" s="489">
        <v>0</v>
      </c>
      <c r="L452" s="489">
        <v>1092076</v>
      </c>
      <c r="M452" s="489">
        <v>64620</v>
      </c>
      <c r="N452" s="489">
        <v>82080</v>
      </c>
      <c r="O452" s="490">
        <v>6.6282999999999994</v>
      </c>
      <c r="P452" s="490">
        <v>4.1368</v>
      </c>
      <c r="Q452" s="500">
        <v>2.4914999999999998</v>
      </c>
      <c r="R452" s="502">
        <f t="shared" si="523"/>
        <v>0</v>
      </c>
      <c r="S452" s="492">
        <v>0</v>
      </c>
      <c r="T452" s="492">
        <v>0</v>
      </c>
      <c r="U452" s="492">
        <v>0</v>
      </c>
      <c r="V452" s="492">
        <f t="shared" si="613"/>
        <v>0</v>
      </c>
      <c r="W452" s="492">
        <v>0</v>
      </c>
      <c r="X452" s="492">
        <v>0</v>
      </c>
      <c r="Y452" s="492">
        <v>0</v>
      </c>
      <c r="Z452" s="492">
        <f t="shared" si="529"/>
        <v>0</v>
      </c>
      <c r="AA452" s="492">
        <f t="shared" si="530"/>
        <v>0</v>
      </c>
      <c r="AB452" s="74">
        <f t="shared" si="531"/>
        <v>0</v>
      </c>
      <c r="AC452" s="74">
        <f t="shared" si="532"/>
        <v>0</v>
      </c>
      <c r="AD452" s="492">
        <v>0</v>
      </c>
      <c r="AE452" s="492">
        <v>0</v>
      </c>
      <c r="AF452" s="492">
        <f t="shared" si="614"/>
        <v>0</v>
      </c>
      <c r="AG452" s="492">
        <f t="shared" si="615"/>
        <v>0</v>
      </c>
      <c r="AH452" s="493">
        <v>0</v>
      </c>
      <c r="AI452" s="493">
        <v>0</v>
      </c>
      <c r="AJ452" s="493">
        <v>0</v>
      </c>
      <c r="AK452" s="493">
        <v>0</v>
      </c>
      <c r="AL452" s="493">
        <v>0</v>
      </c>
      <c r="AM452" s="493">
        <v>0</v>
      </c>
      <c r="AN452" s="493">
        <v>0</v>
      </c>
      <c r="AO452" s="493">
        <f t="shared" si="524"/>
        <v>0</v>
      </c>
      <c r="AP452" s="493">
        <f t="shared" si="525"/>
        <v>0</v>
      </c>
      <c r="AQ452" s="495">
        <f t="shared" si="535"/>
        <v>0</v>
      </c>
      <c r="AR452" s="501">
        <f t="shared" si="616"/>
        <v>4469771</v>
      </c>
      <c r="AS452" s="492">
        <f t="shared" si="617"/>
        <v>3230995</v>
      </c>
      <c r="AT452" s="492">
        <f t="shared" si="618"/>
        <v>0</v>
      </c>
      <c r="AU452" s="492">
        <f t="shared" si="619"/>
        <v>1092076</v>
      </c>
      <c r="AV452" s="492">
        <f t="shared" si="619"/>
        <v>64620</v>
      </c>
      <c r="AW452" s="492">
        <f t="shared" si="620"/>
        <v>82080</v>
      </c>
      <c r="AX452" s="493">
        <f t="shared" si="621"/>
        <v>6.6282999999999994</v>
      </c>
      <c r="AY452" s="493">
        <f t="shared" si="622"/>
        <v>4.1368</v>
      </c>
      <c r="AZ452" s="495">
        <f t="shared" si="622"/>
        <v>2.4914999999999998</v>
      </c>
    </row>
    <row r="453" spans="1:52" ht="14.1" customHeight="1" x14ac:dyDescent="0.2">
      <c r="A453" s="72">
        <v>88</v>
      </c>
      <c r="B453" s="69">
        <v>2499</v>
      </c>
      <c r="C453" s="70">
        <v>650025288</v>
      </c>
      <c r="D453" s="69">
        <v>70983283</v>
      </c>
      <c r="E453" s="71" t="s">
        <v>741</v>
      </c>
      <c r="F453" s="72">
        <v>3117</v>
      </c>
      <c r="G453" s="71" t="s">
        <v>313</v>
      </c>
      <c r="H453" s="73" t="s">
        <v>279</v>
      </c>
      <c r="I453" s="494">
        <v>418201</v>
      </c>
      <c r="J453" s="489">
        <v>307954</v>
      </c>
      <c r="K453" s="489">
        <v>0</v>
      </c>
      <c r="L453" s="489">
        <v>104088</v>
      </c>
      <c r="M453" s="489">
        <v>6159</v>
      </c>
      <c r="N453" s="489">
        <v>0</v>
      </c>
      <c r="O453" s="490">
        <v>0.89</v>
      </c>
      <c r="P453" s="491">
        <v>0.89</v>
      </c>
      <c r="Q453" s="500">
        <v>0</v>
      </c>
      <c r="R453" s="502">
        <f t="shared" si="523"/>
        <v>0</v>
      </c>
      <c r="S453" s="489">
        <v>0</v>
      </c>
      <c r="T453" s="492">
        <v>0</v>
      </c>
      <c r="U453" s="492">
        <v>0</v>
      </c>
      <c r="V453" s="492">
        <f t="shared" si="613"/>
        <v>0</v>
      </c>
      <c r="W453" s="492">
        <v>0</v>
      </c>
      <c r="X453" s="492">
        <v>0</v>
      </c>
      <c r="Y453" s="492">
        <v>0</v>
      </c>
      <c r="Z453" s="492">
        <f t="shared" si="529"/>
        <v>0</v>
      </c>
      <c r="AA453" s="492">
        <f t="shared" si="530"/>
        <v>0</v>
      </c>
      <c r="AB453" s="74">
        <f t="shared" si="531"/>
        <v>0</v>
      </c>
      <c r="AC453" s="74">
        <f t="shared" si="532"/>
        <v>0</v>
      </c>
      <c r="AD453" s="492">
        <v>0</v>
      </c>
      <c r="AE453" s="492">
        <v>0</v>
      </c>
      <c r="AF453" s="492">
        <f t="shared" si="614"/>
        <v>0</v>
      </c>
      <c r="AG453" s="492">
        <f t="shared" si="615"/>
        <v>0</v>
      </c>
      <c r="AH453" s="493">
        <v>0</v>
      </c>
      <c r="AI453" s="493">
        <v>0</v>
      </c>
      <c r="AJ453" s="493">
        <v>0</v>
      </c>
      <c r="AK453" s="493">
        <v>0</v>
      </c>
      <c r="AL453" s="493">
        <v>0</v>
      </c>
      <c r="AM453" s="493">
        <v>0</v>
      </c>
      <c r="AN453" s="493">
        <v>0</v>
      </c>
      <c r="AO453" s="493">
        <f t="shared" si="524"/>
        <v>0</v>
      </c>
      <c r="AP453" s="493">
        <f t="shared" si="525"/>
        <v>0</v>
      </c>
      <c r="AQ453" s="495">
        <f t="shared" si="535"/>
        <v>0</v>
      </c>
      <c r="AR453" s="501">
        <f t="shared" si="616"/>
        <v>418201</v>
      </c>
      <c r="AS453" s="492">
        <f t="shared" si="617"/>
        <v>307954</v>
      </c>
      <c r="AT453" s="492">
        <f t="shared" si="618"/>
        <v>0</v>
      </c>
      <c r="AU453" s="492">
        <f t="shared" si="619"/>
        <v>104088</v>
      </c>
      <c r="AV453" s="492">
        <f t="shared" si="619"/>
        <v>6159</v>
      </c>
      <c r="AW453" s="492">
        <f t="shared" si="620"/>
        <v>0</v>
      </c>
      <c r="AX453" s="493">
        <f t="shared" si="621"/>
        <v>0.89</v>
      </c>
      <c r="AY453" s="493">
        <f t="shared" si="622"/>
        <v>0.89</v>
      </c>
      <c r="AZ453" s="495">
        <f t="shared" si="622"/>
        <v>0</v>
      </c>
    </row>
    <row r="454" spans="1:52" ht="14.1" customHeight="1" x14ac:dyDescent="0.2">
      <c r="A454" s="72">
        <v>88</v>
      </c>
      <c r="B454" s="69">
        <v>2499</v>
      </c>
      <c r="C454" s="70">
        <v>650025288</v>
      </c>
      <c r="D454" s="69">
        <v>70983283</v>
      </c>
      <c r="E454" s="71" t="s">
        <v>741</v>
      </c>
      <c r="F454" s="72">
        <v>3141</v>
      </c>
      <c r="G454" s="71" t="s">
        <v>316</v>
      </c>
      <c r="H454" s="73" t="s">
        <v>279</v>
      </c>
      <c r="I454" s="494">
        <v>1027970</v>
      </c>
      <c r="J454" s="489">
        <v>753514</v>
      </c>
      <c r="K454" s="489">
        <v>0</v>
      </c>
      <c r="L454" s="489">
        <v>254688</v>
      </c>
      <c r="M454" s="489">
        <v>15070</v>
      </c>
      <c r="N454" s="489">
        <v>4698</v>
      </c>
      <c r="O454" s="490">
        <v>2.37</v>
      </c>
      <c r="P454" s="491">
        <v>0</v>
      </c>
      <c r="Q454" s="500">
        <v>2.37</v>
      </c>
      <c r="R454" s="502">
        <f t="shared" si="523"/>
        <v>0</v>
      </c>
      <c r="S454" s="492">
        <v>0</v>
      </c>
      <c r="T454" s="492">
        <v>0</v>
      </c>
      <c r="U454" s="492">
        <v>0</v>
      </c>
      <c r="V454" s="492">
        <f t="shared" si="613"/>
        <v>0</v>
      </c>
      <c r="W454" s="492">
        <v>0</v>
      </c>
      <c r="X454" s="492">
        <v>0</v>
      </c>
      <c r="Y454" s="492">
        <v>0</v>
      </c>
      <c r="Z454" s="492">
        <f t="shared" si="529"/>
        <v>0</v>
      </c>
      <c r="AA454" s="492">
        <f t="shared" si="530"/>
        <v>0</v>
      </c>
      <c r="AB454" s="74">
        <f t="shared" si="531"/>
        <v>0</v>
      </c>
      <c r="AC454" s="74">
        <f t="shared" si="532"/>
        <v>0</v>
      </c>
      <c r="AD454" s="492">
        <v>0</v>
      </c>
      <c r="AE454" s="492">
        <v>0</v>
      </c>
      <c r="AF454" s="492">
        <f t="shared" si="614"/>
        <v>0</v>
      </c>
      <c r="AG454" s="492">
        <f t="shared" si="615"/>
        <v>0</v>
      </c>
      <c r="AH454" s="493">
        <v>0</v>
      </c>
      <c r="AI454" s="493">
        <v>0</v>
      </c>
      <c r="AJ454" s="493">
        <v>0</v>
      </c>
      <c r="AK454" s="493">
        <v>0</v>
      </c>
      <c r="AL454" s="493">
        <v>0</v>
      </c>
      <c r="AM454" s="493">
        <v>0</v>
      </c>
      <c r="AN454" s="493">
        <v>0</v>
      </c>
      <c r="AO454" s="493">
        <f t="shared" si="524"/>
        <v>0</v>
      </c>
      <c r="AP454" s="493">
        <f t="shared" si="525"/>
        <v>0</v>
      </c>
      <c r="AQ454" s="495">
        <f t="shared" si="535"/>
        <v>0</v>
      </c>
      <c r="AR454" s="501">
        <f t="shared" si="616"/>
        <v>1027970</v>
      </c>
      <c r="AS454" s="492">
        <f t="shared" si="617"/>
        <v>753514</v>
      </c>
      <c r="AT454" s="492">
        <f t="shared" si="618"/>
        <v>0</v>
      </c>
      <c r="AU454" s="492">
        <f t="shared" si="619"/>
        <v>254688</v>
      </c>
      <c r="AV454" s="492">
        <f t="shared" si="619"/>
        <v>15070</v>
      </c>
      <c r="AW454" s="492">
        <f t="shared" si="620"/>
        <v>4698</v>
      </c>
      <c r="AX454" s="493">
        <f t="shared" si="621"/>
        <v>2.37</v>
      </c>
      <c r="AY454" s="493">
        <f t="shared" si="622"/>
        <v>0</v>
      </c>
      <c r="AZ454" s="495">
        <f t="shared" si="622"/>
        <v>2.37</v>
      </c>
    </row>
    <row r="455" spans="1:52" ht="14.1" customHeight="1" x14ac:dyDescent="0.2">
      <c r="A455" s="72">
        <v>88</v>
      </c>
      <c r="B455" s="69">
        <v>2499</v>
      </c>
      <c r="C455" s="70">
        <v>650025288</v>
      </c>
      <c r="D455" s="69">
        <v>70983283</v>
      </c>
      <c r="E455" s="71" t="s">
        <v>741</v>
      </c>
      <c r="F455" s="72">
        <v>3143</v>
      </c>
      <c r="G455" s="84" t="s">
        <v>629</v>
      </c>
      <c r="H455" s="73" t="s">
        <v>278</v>
      </c>
      <c r="I455" s="494">
        <v>1037600</v>
      </c>
      <c r="J455" s="489">
        <v>764065</v>
      </c>
      <c r="K455" s="489">
        <v>0</v>
      </c>
      <c r="L455" s="489">
        <v>258254</v>
      </c>
      <c r="M455" s="489">
        <v>15281</v>
      </c>
      <c r="N455" s="489">
        <v>0</v>
      </c>
      <c r="O455" s="490">
        <v>1.6073999999999999</v>
      </c>
      <c r="P455" s="490">
        <v>1.6073999999999999</v>
      </c>
      <c r="Q455" s="500">
        <v>0</v>
      </c>
      <c r="R455" s="502">
        <f t="shared" si="523"/>
        <v>0</v>
      </c>
      <c r="S455" s="492">
        <v>0</v>
      </c>
      <c r="T455" s="492">
        <v>0</v>
      </c>
      <c r="U455" s="492">
        <v>0</v>
      </c>
      <c r="V455" s="492">
        <f t="shared" si="613"/>
        <v>0</v>
      </c>
      <c r="W455" s="492">
        <v>0</v>
      </c>
      <c r="X455" s="492">
        <v>0</v>
      </c>
      <c r="Y455" s="492">
        <v>0</v>
      </c>
      <c r="Z455" s="492">
        <f t="shared" si="529"/>
        <v>0</v>
      </c>
      <c r="AA455" s="492">
        <f t="shared" si="530"/>
        <v>0</v>
      </c>
      <c r="AB455" s="74">
        <f t="shared" si="531"/>
        <v>0</v>
      </c>
      <c r="AC455" s="74">
        <f t="shared" si="532"/>
        <v>0</v>
      </c>
      <c r="AD455" s="492">
        <v>0</v>
      </c>
      <c r="AE455" s="492">
        <v>0</v>
      </c>
      <c r="AF455" s="492">
        <f t="shared" si="614"/>
        <v>0</v>
      </c>
      <c r="AG455" s="492">
        <f t="shared" si="615"/>
        <v>0</v>
      </c>
      <c r="AH455" s="493">
        <v>0</v>
      </c>
      <c r="AI455" s="493">
        <v>0</v>
      </c>
      <c r="AJ455" s="493">
        <v>0</v>
      </c>
      <c r="AK455" s="493">
        <v>0</v>
      </c>
      <c r="AL455" s="493">
        <v>0</v>
      </c>
      <c r="AM455" s="493">
        <v>0</v>
      </c>
      <c r="AN455" s="493">
        <v>0</v>
      </c>
      <c r="AO455" s="493">
        <f t="shared" si="524"/>
        <v>0</v>
      </c>
      <c r="AP455" s="493">
        <f t="shared" si="525"/>
        <v>0</v>
      </c>
      <c r="AQ455" s="495">
        <f t="shared" si="535"/>
        <v>0</v>
      </c>
      <c r="AR455" s="501">
        <f t="shared" si="616"/>
        <v>1037600</v>
      </c>
      <c r="AS455" s="492">
        <f t="shared" si="617"/>
        <v>764065</v>
      </c>
      <c r="AT455" s="492">
        <f t="shared" si="618"/>
        <v>0</v>
      </c>
      <c r="AU455" s="492">
        <f t="shared" si="619"/>
        <v>258254</v>
      </c>
      <c r="AV455" s="492">
        <f t="shared" si="619"/>
        <v>15281</v>
      </c>
      <c r="AW455" s="492">
        <f t="shared" si="620"/>
        <v>0</v>
      </c>
      <c r="AX455" s="493">
        <f t="shared" si="621"/>
        <v>1.6073999999999999</v>
      </c>
      <c r="AY455" s="493">
        <f t="shared" si="622"/>
        <v>1.6073999999999999</v>
      </c>
      <c r="AZ455" s="495">
        <f t="shared" si="622"/>
        <v>0</v>
      </c>
    </row>
    <row r="456" spans="1:52" ht="14.1" customHeight="1" x14ac:dyDescent="0.2">
      <c r="A456" s="72">
        <v>88</v>
      </c>
      <c r="B456" s="69">
        <v>2499</v>
      </c>
      <c r="C456" s="70">
        <v>650025288</v>
      </c>
      <c r="D456" s="69">
        <v>70983283</v>
      </c>
      <c r="E456" s="71" t="s">
        <v>741</v>
      </c>
      <c r="F456" s="72">
        <v>3143</v>
      </c>
      <c r="G456" s="84" t="s">
        <v>630</v>
      </c>
      <c r="H456" s="73" t="s">
        <v>279</v>
      </c>
      <c r="I456" s="494">
        <v>30240</v>
      </c>
      <c r="J456" s="489">
        <v>21384</v>
      </c>
      <c r="K456" s="489">
        <v>0</v>
      </c>
      <c r="L456" s="489">
        <v>7228</v>
      </c>
      <c r="M456" s="489">
        <v>428</v>
      </c>
      <c r="N456" s="489">
        <v>1200</v>
      </c>
      <c r="O456" s="490">
        <v>0.08</v>
      </c>
      <c r="P456" s="491">
        <v>0</v>
      </c>
      <c r="Q456" s="500">
        <v>0.08</v>
      </c>
      <c r="R456" s="502">
        <f t="shared" si="523"/>
        <v>0</v>
      </c>
      <c r="S456" s="492">
        <v>0</v>
      </c>
      <c r="T456" s="492">
        <v>0</v>
      </c>
      <c r="U456" s="492">
        <v>0</v>
      </c>
      <c r="V456" s="492">
        <f t="shared" si="613"/>
        <v>0</v>
      </c>
      <c r="W456" s="492">
        <v>0</v>
      </c>
      <c r="X456" s="492">
        <v>0</v>
      </c>
      <c r="Y456" s="492">
        <v>0</v>
      </c>
      <c r="Z456" s="492">
        <f t="shared" si="529"/>
        <v>0</v>
      </c>
      <c r="AA456" s="492">
        <f t="shared" si="530"/>
        <v>0</v>
      </c>
      <c r="AB456" s="74">
        <f t="shared" si="531"/>
        <v>0</v>
      </c>
      <c r="AC456" s="74">
        <f t="shared" si="532"/>
        <v>0</v>
      </c>
      <c r="AD456" s="492">
        <v>0</v>
      </c>
      <c r="AE456" s="492">
        <v>0</v>
      </c>
      <c r="AF456" s="492">
        <f t="shared" si="614"/>
        <v>0</v>
      </c>
      <c r="AG456" s="492">
        <f t="shared" si="615"/>
        <v>0</v>
      </c>
      <c r="AH456" s="493">
        <v>0</v>
      </c>
      <c r="AI456" s="493">
        <v>0</v>
      </c>
      <c r="AJ456" s="493">
        <v>0</v>
      </c>
      <c r="AK456" s="493">
        <v>0</v>
      </c>
      <c r="AL456" s="493">
        <v>0</v>
      </c>
      <c r="AM456" s="493">
        <v>0</v>
      </c>
      <c r="AN456" s="493">
        <v>0</v>
      </c>
      <c r="AO456" s="493">
        <f t="shared" si="524"/>
        <v>0</v>
      </c>
      <c r="AP456" s="493">
        <f t="shared" si="525"/>
        <v>0</v>
      </c>
      <c r="AQ456" s="495">
        <f t="shared" si="535"/>
        <v>0</v>
      </c>
      <c r="AR456" s="501">
        <f t="shared" si="616"/>
        <v>30240</v>
      </c>
      <c r="AS456" s="492">
        <f t="shared" si="617"/>
        <v>21384</v>
      </c>
      <c r="AT456" s="492">
        <f t="shared" si="618"/>
        <v>0</v>
      </c>
      <c r="AU456" s="492">
        <f t="shared" si="619"/>
        <v>7228</v>
      </c>
      <c r="AV456" s="492">
        <f t="shared" si="619"/>
        <v>428</v>
      </c>
      <c r="AW456" s="492">
        <f t="shared" si="620"/>
        <v>1200</v>
      </c>
      <c r="AX456" s="493">
        <f t="shared" si="621"/>
        <v>0.08</v>
      </c>
      <c r="AY456" s="493">
        <f t="shared" si="622"/>
        <v>0</v>
      </c>
      <c r="AZ456" s="495">
        <f t="shared" si="622"/>
        <v>0.08</v>
      </c>
    </row>
    <row r="457" spans="1:52" ht="14.1" customHeight="1" x14ac:dyDescent="0.2">
      <c r="A457" s="78">
        <v>88</v>
      </c>
      <c r="B457" s="75">
        <v>2499</v>
      </c>
      <c r="C457" s="76">
        <v>650025288</v>
      </c>
      <c r="D457" s="75">
        <v>70983283</v>
      </c>
      <c r="E457" s="77" t="s">
        <v>742</v>
      </c>
      <c r="F457" s="78"/>
      <c r="G457" s="77"/>
      <c r="H457" s="79"/>
      <c r="I457" s="80">
        <v>9995865</v>
      </c>
      <c r="J457" s="81">
        <v>7284674</v>
      </c>
      <c r="K457" s="81">
        <v>0</v>
      </c>
      <c r="L457" s="81">
        <v>2462220</v>
      </c>
      <c r="M457" s="81">
        <v>145693</v>
      </c>
      <c r="N457" s="81">
        <v>103278</v>
      </c>
      <c r="O457" s="82">
        <v>16.481599999999997</v>
      </c>
      <c r="P457" s="82">
        <v>10.618300000000001</v>
      </c>
      <c r="Q457" s="452">
        <v>5.8632999999999997</v>
      </c>
      <c r="R457" s="80">
        <f t="shared" ref="R457:AZ457" si="623">SUM(R451:R456)</f>
        <v>0</v>
      </c>
      <c r="S457" s="81">
        <f t="shared" si="623"/>
        <v>0</v>
      </c>
      <c r="T457" s="81">
        <f t="shared" si="623"/>
        <v>0</v>
      </c>
      <c r="U457" s="81">
        <f t="shared" si="623"/>
        <v>0</v>
      </c>
      <c r="V457" s="81">
        <f t="shared" si="623"/>
        <v>0</v>
      </c>
      <c r="W457" s="81">
        <f t="shared" si="623"/>
        <v>0</v>
      </c>
      <c r="X457" s="81">
        <f t="shared" si="623"/>
        <v>0</v>
      </c>
      <c r="Y457" s="81">
        <f t="shared" si="623"/>
        <v>0</v>
      </c>
      <c r="Z457" s="81">
        <f t="shared" si="623"/>
        <v>0</v>
      </c>
      <c r="AA457" s="81">
        <f t="shared" si="623"/>
        <v>0</v>
      </c>
      <c r="AB457" s="81">
        <f t="shared" si="623"/>
        <v>0</v>
      </c>
      <c r="AC457" s="81">
        <f t="shared" si="623"/>
        <v>0</v>
      </c>
      <c r="AD457" s="81">
        <f t="shared" si="623"/>
        <v>0</v>
      </c>
      <c r="AE457" s="81">
        <f t="shared" si="623"/>
        <v>0</v>
      </c>
      <c r="AF457" s="81">
        <f t="shared" si="623"/>
        <v>0</v>
      </c>
      <c r="AG457" s="81">
        <f t="shared" si="623"/>
        <v>0</v>
      </c>
      <c r="AH457" s="82">
        <f t="shared" si="623"/>
        <v>0</v>
      </c>
      <c r="AI457" s="82">
        <f t="shared" si="623"/>
        <v>0</v>
      </c>
      <c r="AJ457" s="82">
        <f t="shared" si="623"/>
        <v>0</v>
      </c>
      <c r="AK457" s="82">
        <f t="shared" ref="AK457:AL457" si="624">SUM(AK451:AK456)</f>
        <v>0</v>
      </c>
      <c r="AL457" s="82">
        <f t="shared" si="624"/>
        <v>0</v>
      </c>
      <c r="AM457" s="82">
        <f t="shared" si="623"/>
        <v>0</v>
      </c>
      <c r="AN457" s="82">
        <f t="shared" si="623"/>
        <v>0</v>
      </c>
      <c r="AO457" s="82">
        <f t="shared" si="623"/>
        <v>0</v>
      </c>
      <c r="AP457" s="82">
        <f t="shared" si="623"/>
        <v>0</v>
      </c>
      <c r="AQ457" s="83">
        <f t="shared" si="623"/>
        <v>0</v>
      </c>
      <c r="AR457" s="438">
        <f t="shared" si="623"/>
        <v>9995865</v>
      </c>
      <c r="AS457" s="81">
        <f t="shared" si="623"/>
        <v>7284674</v>
      </c>
      <c r="AT457" s="81">
        <f t="shared" si="623"/>
        <v>0</v>
      </c>
      <c r="AU457" s="81">
        <f t="shared" si="623"/>
        <v>2462220</v>
      </c>
      <c r="AV457" s="81">
        <f t="shared" si="623"/>
        <v>145693</v>
      </c>
      <c r="AW457" s="81">
        <f t="shared" si="623"/>
        <v>103278</v>
      </c>
      <c r="AX457" s="82">
        <f t="shared" si="623"/>
        <v>16.481599999999997</v>
      </c>
      <c r="AY457" s="82">
        <f t="shared" si="623"/>
        <v>10.618300000000001</v>
      </c>
      <c r="AZ457" s="83">
        <f t="shared" si="623"/>
        <v>5.8632999999999997</v>
      </c>
    </row>
    <row r="458" spans="1:52" ht="14.1" customHeight="1" x14ac:dyDescent="0.2">
      <c r="A458" s="72">
        <v>89</v>
      </c>
      <c r="B458" s="69">
        <v>2331</v>
      </c>
      <c r="C458" s="70">
        <v>691014302</v>
      </c>
      <c r="D458" s="69" t="s">
        <v>802</v>
      </c>
      <c r="E458" s="71" t="s">
        <v>809</v>
      </c>
      <c r="F458" s="72">
        <v>3111</v>
      </c>
      <c r="G458" s="71" t="s">
        <v>312</v>
      </c>
      <c r="H458" s="73" t="s">
        <v>278</v>
      </c>
      <c r="I458" s="494">
        <v>3176353</v>
      </c>
      <c r="J458" s="674">
        <v>2329715</v>
      </c>
      <c r="K458" s="674">
        <v>0</v>
      </c>
      <c r="L458" s="489">
        <v>787444</v>
      </c>
      <c r="M458" s="489">
        <v>46594</v>
      </c>
      <c r="N458" s="489">
        <v>12600</v>
      </c>
      <c r="O458" s="490">
        <v>5.6097999999999999</v>
      </c>
      <c r="P458" s="490">
        <v>4.22</v>
      </c>
      <c r="Q458" s="500">
        <v>1.3897999999999999</v>
      </c>
      <c r="R458" s="502">
        <f t="shared" si="523"/>
        <v>0</v>
      </c>
      <c r="S458" s="492">
        <v>0</v>
      </c>
      <c r="T458" s="492">
        <v>0</v>
      </c>
      <c r="U458" s="492">
        <v>0</v>
      </c>
      <c r="V458" s="492">
        <f>SUM(R458:U458)</f>
        <v>0</v>
      </c>
      <c r="W458" s="492">
        <v>0</v>
      </c>
      <c r="X458" s="492">
        <v>0</v>
      </c>
      <c r="Y458" s="492">
        <v>0</v>
      </c>
      <c r="Z458" s="492">
        <f t="shared" si="529"/>
        <v>0</v>
      </c>
      <c r="AA458" s="492">
        <f t="shared" si="530"/>
        <v>0</v>
      </c>
      <c r="AB458" s="74">
        <f t="shared" si="531"/>
        <v>0</v>
      </c>
      <c r="AC458" s="74">
        <f t="shared" si="532"/>
        <v>0</v>
      </c>
      <c r="AD458" s="492">
        <v>0</v>
      </c>
      <c r="AE458" s="492">
        <v>0</v>
      </c>
      <c r="AF458" s="492">
        <f>SUM(AD458:AE458)</f>
        <v>0</v>
      </c>
      <c r="AG458" s="492">
        <f>AA458+AB458+AC458+AF458</f>
        <v>0</v>
      </c>
      <c r="AH458" s="493">
        <v>0</v>
      </c>
      <c r="AI458" s="493">
        <v>0</v>
      </c>
      <c r="AJ458" s="493">
        <v>0</v>
      </c>
      <c r="AK458" s="493">
        <v>0</v>
      </c>
      <c r="AL458" s="493">
        <v>0</v>
      </c>
      <c r="AM458" s="493">
        <v>0</v>
      </c>
      <c r="AN458" s="493">
        <v>0</v>
      </c>
      <c r="AO458" s="493">
        <f t="shared" si="524"/>
        <v>0</v>
      </c>
      <c r="AP458" s="493">
        <f t="shared" si="525"/>
        <v>0</v>
      </c>
      <c r="AQ458" s="495">
        <f t="shared" si="535"/>
        <v>0</v>
      </c>
      <c r="AR458" s="501">
        <f>I458+AG458</f>
        <v>3176353</v>
      </c>
      <c r="AS458" s="492">
        <f>J458+V458</f>
        <v>2329715</v>
      </c>
      <c r="AT458" s="492">
        <f t="shared" ref="AT458:AT459" si="625">K458+Z458</f>
        <v>0</v>
      </c>
      <c r="AU458" s="492">
        <f>L458+AB458</f>
        <v>787444</v>
      </c>
      <c r="AV458" s="492">
        <f>M458+AC458</f>
        <v>46594</v>
      </c>
      <c r="AW458" s="492">
        <f>N458+AF458</f>
        <v>12600</v>
      </c>
      <c r="AX458" s="493">
        <f>O458+AQ458</f>
        <v>5.6097999999999999</v>
      </c>
      <c r="AY458" s="493">
        <f>P458+AO458</f>
        <v>4.22</v>
      </c>
      <c r="AZ458" s="495">
        <f>Q458+AP458</f>
        <v>1.3897999999999999</v>
      </c>
    </row>
    <row r="459" spans="1:52" ht="14.1" customHeight="1" x14ac:dyDescent="0.2">
      <c r="A459" s="72">
        <v>89</v>
      </c>
      <c r="B459" s="69">
        <v>2331</v>
      </c>
      <c r="C459" s="70">
        <v>691014302</v>
      </c>
      <c r="D459" s="69" t="s">
        <v>802</v>
      </c>
      <c r="E459" s="71" t="s">
        <v>809</v>
      </c>
      <c r="F459" s="72">
        <v>3141</v>
      </c>
      <c r="G459" s="71" t="s">
        <v>316</v>
      </c>
      <c r="H459" s="73" t="s">
        <v>279</v>
      </c>
      <c r="I459" s="494">
        <v>454947</v>
      </c>
      <c r="J459" s="489">
        <v>333817</v>
      </c>
      <c r="K459" s="489">
        <v>0</v>
      </c>
      <c r="L459" s="489">
        <v>112830</v>
      </c>
      <c r="M459" s="489">
        <v>6676</v>
      </c>
      <c r="N459" s="489">
        <v>1624</v>
      </c>
      <c r="O459" s="490">
        <v>1.05</v>
      </c>
      <c r="P459" s="491">
        <v>0</v>
      </c>
      <c r="Q459" s="500">
        <v>1.05</v>
      </c>
      <c r="R459" s="502">
        <f t="shared" si="523"/>
        <v>0</v>
      </c>
      <c r="S459" s="492">
        <v>0</v>
      </c>
      <c r="T459" s="492">
        <v>0</v>
      </c>
      <c r="U459" s="492">
        <v>0</v>
      </c>
      <c r="V459" s="492">
        <f>SUM(R459:U459)</f>
        <v>0</v>
      </c>
      <c r="W459" s="492">
        <v>0</v>
      </c>
      <c r="X459" s="492">
        <v>0</v>
      </c>
      <c r="Y459" s="492">
        <v>0</v>
      </c>
      <c r="Z459" s="492">
        <f t="shared" si="529"/>
        <v>0</v>
      </c>
      <c r="AA459" s="492">
        <f t="shared" si="530"/>
        <v>0</v>
      </c>
      <c r="AB459" s="74">
        <f t="shared" si="531"/>
        <v>0</v>
      </c>
      <c r="AC459" s="74">
        <f t="shared" si="532"/>
        <v>0</v>
      </c>
      <c r="AD459" s="492">
        <v>0</v>
      </c>
      <c r="AE459" s="492">
        <v>0</v>
      </c>
      <c r="AF459" s="492">
        <f>SUM(AD459:AE459)</f>
        <v>0</v>
      </c>
      <c r="AG459" s="492">
        <f>AA459+AB459+AC459+AF459</f>
        <v>0</v>
      </c>
      <c r="AH459" s="493">
        <v>0</v>
      </c>
      <c r="AI459" s="493">
        <v>0</v>
      </c>
      <c r="AJ459" s="493">
        <v>0</v>
      </c>
      <c r="AK459" s="493">
        <v>0</v>
      </c>
      <c r="AL459" s="493">
        <v>0</v>
      </c>
      <c r="AM459" s="493">
        <v>0</v>
      </c>
      <c r="AN459" s="493">
        <v>0</v>
      </c>
      <c r="AO459" s="493">
        <f t="shared" si="524"/>
        <v>0</v>
      </c>
      <c r="AP459" s="493">
        <f t="shared" si="525"/>
        <v>0</v>
      </c>
      <c r="AQ459" s="495">
        <f t="shared" si="535"/>
        <v>0</v>
      </c>
      <c r="AR459" s="501">
        <f>I459+AG459</f>
        <v>454947</v>
      </c>
      <c r="AS459" s="492">
        <f>J459+V459</f>
        <v>333817</v>
      </c>
      <c r="AT459" s="492">
        <f t="shared" si="625"/>
        <v>0</v>
      </c>
      <c r="AU459" s="492">
        <f>L459+AB459</f>
        <v>112830</v>
      </c>
      <c r="AV459" s="492">
        <f>M459+AC459</f>
        <v>6676</v>
      </c>
      <c r="AW459" s="492">
        <f>N459+AF459</f>
        <v>1624</v>
      </c>
      <c r="AX459" s="493">
        <f>O459+AQ459</f>
        <v>1.05</v>
      </c>
      <c r="AY459" s="493">
        <f>P459+AO459</f>
        <v>0</v>
      </c>
      <c r="AZ459" s="495">
        <f>Q459+AP459</f>
        <v>1.05</v>
      </c>
    </row>
    <row r="460" spans="1:52" ht="14.1" customHeight="1" x14ac:dyDescent="0.2">
      <c r="A460" s="78">
        <v>89</v>
      </c>
      <c r="B460" s="75">
        <v>2331</v>
      </c>
      <c r="C460" s="76">
        <v>691014302</v>
      </c>
      <c r="D460" s="75" t="s">
        <v>802</v>
      </c>
      <c r="E460" s="77" t="s">
        <v>810</v>
      </c>
      <c r="F460" s="216"/>
      <c r="G460" s="77"/>
      <c r="H460" s="79"/>
      <c r="I460" s="80">
        <v>3631300</v>
      </c>
      <c r="J460" s="81">
        <v>2663532</v>
      </c>
      <c r="K460" s="81">
        <v>0</v>
      </c>
      <c r="L460" s="81">
        <v>900274</v>
      </c>
      <c r="M460" s="81">
        <v>53270</v>
      </c>
      <c r="N460" s="81">
        <v>14224</v>
      </c>
      <c r="O460" s="82">
        <v>6.6597999999999997</v>
      </c>
      <c r="P460" s="82">
        <v>4.22</v>
      </c>
      <c r="Q460" s="452">
        <v>2.4398</v>
      </c>
      <c r="R460" s="80">
        <f t="shared" ref="R460:AZ460" si="626">SUM(R458:R459)</f>
        <v>0</v>
      </c>
      <c r="S460" s="81">
        <f t="shared" si="626"/>
        <v>0</v>
      </c>
      <c r="T460" s="81">
        <f t="shared" si="626"/>
        <v>0</v>
      </c>
      <c r="U460" s="81">
        <f t="shared" si="626"/>
        <v>0</v>
      </c>
      <c r="V460" s="81">
        <f t="shared" si="626"/>
        <v>0</v>
      </c>
      <c r="W460" s="81">
        <f t="shared" si="626"/>
        <v>0</v>
      </c>
      <c r="X460" s="81">
        <f t="shared" si="626"/>
        <v>0</v>
      </c>
      <c r="Y460" s="81">
        <f t="shared" si="626"/>
        <v>0</v>
      </c>
      <c r="Z460" s="81">
        <f t="shared" si="626"/>
        <v>0</v>
      </c>
      <c r="AA460" s="81">
        <f t="shared" si="626"/>
        <v>0</v>
      </c>
      <c r="AB460" s="81">
        <f t="shared" si="626"/>
        <v>0</v>
      </c>
      <c r="AC460" s="81">
        <f t="shared" si="626"/>
        <v>0</v>
      </c>
      <c r="AD460" s="81">
        <f t="shared" si="626"/>
        <v>0</v>
      </c>
      <c r="AE460" s="81">
        <f t="shared" si="626"/>
        <v>0</v>
      </c>
      <c r="AF460" s="81">
        <f t="shared" si="626"/>
        <v>0</v>
      </c>
      <c r="AG460" s="81">
        <f t="shared" si="626"/>
        <v>0</v>
      </c>
      <c r="AH460" s="82">
        <f t="shared" si="626"/>
        <v>0</v>
      </c>
      <c r="AI460" s="82">
        <f t="shared" si="626"/>
        <v>0</v>
      </c>
      <c r="AJ460" s="82">
        <f t="shared" si="626"/>
        <v>0</v>
      </c>
      <c r="AK460" s="82">
        <f t="shared" ref="AK460:AL460" si="627">SUM(AK458:AK459)</f>
        <v>0</v>
      </c>
      <c r="AL460" s="82">
        <f t="shared" si="627"/>
        <v>0</v>
      </c>
      <c r="AM460" s="82">
        <f t="shared" si="626"/>
        <v>0</v>
      </c>
      <c r="AN460" s="82">
        <f t="shared" si="626"/>
        <v>0</v>
      </c>
      <c r="AO460" s="82">
        <f t="shared" si="626"/>
        <v>0</v>
      </c>
      <c r="AP460" s="82">
        <f t="shared" si="626"/>
        <v>0</v>
      </c>
      <c r="AQ460" s="83">
        <f t="shared" si="626"/>
        <v>0</v>
      </c>
      <c r="AR460" s="438">
        <f t="shared" si="626"/>
        <v>3631300</v>
      </c>
      <c r="AS460" s="81">
        <f t="shared" si="626"/>
        <v>2663532</v>
      </c>
      <c r="AT460" s="81">
        <f t="shared" si="626"/>
        <v>0</v>
      </c>
      <c r="AU460" s="81">
        <f t="shared" si="626"/>
        <v>900274</v>
      </c>
      <c r="AV460" s="81">
        <f t="shared" si="626"/>
        <v>53270</v>
      </c>
      <c r="AW460" s="81">
        <f t="shared" si="626"/>
        <v>14224</v>
      </c>
      <c r="AX460" s="82">
        <f t="shared" si="626"/>
        <v>6.6597999999999997</v>
      </c>
      <c r="AY460" s="82">
        <f t="shared" si="626"/>
        <v>4.22</v>
      </c>
      <c r="AZ460" s="83">
        <f t="shared" si="626"/>
        <v>2.4398</v>
      </c>
    </row>
    <row r="461" spans="1:52" ht="14.1" customHeight="1" x14ac:dyDescent="0.2">
      <c r="A461" s="72">
        <v>90</v>
      </c>
      <c r="B461" s="205">
        <v>2332</v>
      </c>
      <c r="C461" s="205">
        <v>691015295</v>
      </c>
      <c r="D461" s="206">
        <v>10988122</v>
      </c>
      <c r="E461" s="203" t="s">
        <v>823</v>
      </c>
      <c r="F461" s="217">
        <v>3111</v>
      </c>
      <c r="G461" s="218" t="s">
        <v>312</v>
      </c>
      <c r="H461" s="73" t="s">
        <v>278</v>
      </c>
      <c r="I461" s="494">
        <v>5091135</v>
      </c>
      <c r="J461" s="674">
        <v>3728781</v>
      </c>
      <c r="K461" s="674">
        <v>0</v>
      </c>
      <c r="L461" s="489">
        <v>1260328</v>
      </c>
      <c r="M461" s="489">
        <v>74576</v>
      </c>
      <c r="N461" s="489">
        <v>27450</v>
      </c>
      <c r="O461" s="490">
        <v>8.4681999999999995</v>
      </c>
      <c r="P461" s="490">
        <v>6.484</v>
      </c>
      <c r="Q461" s="500">
        <v>1.9842</v>
      </c>
      <c r="R461" s="502">
        <f t="shared" ref="R461:R463" si="628">W461*-1</f>
        <v>0</v>
      </c>
      <c r="S461" s="492">
        <v>0</v>
      </c>
      <c r="T461" s="492">
        <v>0</v>
      </c>
      <c r="U461" s="492">
        <v>0</v>
      </c>
      <c r="V461" s="492">
        <f>SUM(R461:U461)</f>
        <v>0</v>
      </c>
      <c r="W461" s="492">
        <v>0</v>
      </c>
      <c r="X461" s="492">
        <v>0</v>
      </c>
      <c r="Y461" s="492">
        <v>0</v>
      </c>
      <c r="Z461" s="492">
        <f t="shared" si="529"/>
        <v>0</v>
      </c>
      <c r="AA461" s="492">
        <f t="shared" si="530"/>
        <v>0</v>
      </c>
      <c r="AB461" s="74">
        <f t="shared" si="531"/>
        <v>0</v>
      </c>
      <c r="AC461" s="74">
        <f t="shared" si="532"/>
        <v>0</v>
      </c>
      <c r="AD461" s="492">
        <v>0</v>
      </c>
      <c r="AE461" s="492">
        <v>0</v>
      </c>
      <c r="AF461" s="492">
        <f>SUM(AD461:AE461)</f>
        <v>0</v>
      </c>
      <c r="AG461" s="492">
        <f>AA461+AB461+AC461+AF461</f>
        <v>0</v>
      </c>
      <c r="AH461" s="493">
        <v>0</v>
      </c>
      <c r="AI461" s="493">
        <v>0</v>
      </c>
      <c r="AJ461" s="493">
        <v>0</v>
      </c>
      <c r="AK461" s="493">
        <v>0</v>
      </c>
      <c r="AL461" s="493">
        <v>0</v>
      </c>
      <c r="AM461" s="493">
        <v>0</v>
      </c>
      <c r="AN461" s="493">
        <v>0</v>
      </c>
      <c r="AO461" s="493">
        <f t="shared" ref="AO461:AO463" si="629">AH461+AJ461+AK461+AM461</f>
        <v>0</v>
      </c>
      <c r="AP461" s="493">
        <f t="shared" ref="AP461:AP463" si="630">AI461+AL461+AN461</f>
        <v>0</v>
      </c>
      <c r="AQ461" s="495">
        <f t="shared" si="535"/>
        <v>0</v>
      </c>
      <c r="AR461" s="501">
        <f>I461+AG461</f>
        <v>5091135</v>
      </c>
      <c r="AS461" s="492">
        <f>J461+V461</f>
        <v>3728781</v>
      </c>
      <c r="AT461" s="492">
        <f t="shared" ref="AT461:AT463" si="631">K461+Z461</f>
        <v>0</v>
      </c>
      <c r="AU461" s="492">
        <f t="shared" ref="AU461:AV463" si="632">L461+AB461</f>
        <v>1260328</v>
      </c>
      <c r="AV461" s="492">
        <f t="shared" si="632"/>
        <v>74576</v>
      </c>
      <c r="AW461" s="492">
        <f>N461+AF461</f>
        <v>27450</v>
      </c>
      <c r="AX461" s="493">
        <f>O461+AQ461</f>
        <v>8.4681999999999995</v>
      </c>
      <c r="AY461" s="493">
        <f t="shared" ref="AY461:AZ463" si="633">P461+AO461</f>
        <v>6.484</v>
      </c>
      <c r="AZ461" s="495">
        <f t="shared" si="633"/>
        <v>1.9842</v>
      </c>
    </row>
    <row r="462" spans="1:52" ht="14.1" customHeight="1" x14ac:dyDescent="0.2">
      <c r="A462" s="72">
        <v>90</v>
      </c>
      <c r="B462" s="205">
        <v>2332</v>
      </c>
      <c r="C462" s="205">
        <v>691015295</v>
      </c>
      <c r="D462" s="206">
        <v>10988122</v>
      </c>
      <c r="E462" s="203" t="s">
        <v>823</v>
      </c>
      <c r="F462" s="217">
        <v>3111</v>
      </c>
      <c r="G462" s="218" t="s">
        <v>313</v>
      </c>
      <c r="H462" s="73" t="s">
        <v>279</v>
      </c>
      <c r="I462" s="494">
        <v>300583</v>
      </c>
      <c r="J462" s="489">
        <v>221342</v>
      </c>
      <c r="K462" s="489">
        <v>0</v>
      </c>
      <c r="L462" s="489">
        <v>74814</v>
      </c>
      <c r="M462" s="489">
        <v>4427</v>
      </c>
      <c r="N462" s="489">
        <v>0</v>
      </c>
      <c r="O462" s="490">
        <v>0.64</v>
      </c>
      <c r="P462" s="491">
        <v>0.64</v>
      </c>
      <c r="Q462" s="500">
        <v>0</v>
      </c>
      <c r="R462" s="502">
        <f t="shared" si="628"/>
        <v>0</v>
      </c>
      <c r="S462" s="489">
        <v>0</v>
      </c>
      <c r="T462" s="492">
        <v>0</v>
      </c>
      <c r="U462" s="492">
        <v>0</v>
      </c>
      <c r="V462" s="492">
        <f>SUM(R462:U462)</f>
        <v>0</v>
      </c>
      <c r="W462" s="492">
        <v>0</v>
      </c>
      <c r="X462" s="492">
        <v>0</v>
      </c>
      <c r="Y462" s="492">
        <v>0</v>
      </c>
      <c r="Z462" s="492">
        <f t="shared" si="529"/>
        <v>0</v>
      </c>
      <c r="AA462" s="492">
        <f t="shared" si="530"/>
        <v>0</v>
      </c>
      <c r="AB462" s="74">
        <f t="shared" si="531"/>
        <v>0</v>
      </c>
      <c r="AC462" s="74">
        <f t="shared" si="532"/>
        <v>0</v>
      </c>
      <c r="AD462" s="492">
        <v>0</v>
      </c>
      <c r="AE462" s="492">
        <v>0</v>
      </c>
      <c r="AF462" s="492">
        <f>SUM(AD462:AE462)</f>
        <v>0</v>
      </c>
      <c r="AG462" s="492">
        <f>AA462+AB462+AC462+AF462</f>
        <v>0</v>
      </c>
      <c r="AH462" s="493">
        <v>0</v>
      </c>
      <c r="AI462" s="493">
        <v>0</v>
      </c>
      <c r="AJ462" s="493">
        <v>0</v>
      </c>
      <c r="AK462" s="493">
        <v>0</v>
      </c>
      <c r="AL462" s="493">
        <v>0</v>
      </c>
      <c r="AM462" s="493">
        <v>0</v>
      </c>
      <c r="AN462" s="493">
        <v>0</v>
      </c>
      <c r="AO462" s="493">
        <f t="shared" si="629"/>
        <v>0</v>
      </c>
      <c r="AP462" s="493">
        <f t="shared" si="630"/>
        <v>0</v>
      </c>
      <c r="AQ462" s="495">
        <f t="shared" si="535"/>
        <v>0</v>
      </c>
      <c r="AR462" s="501">
        <f>I462+AG462</f>
        <v>300583</v>
      </c>
      <c r="AS462" s="492">
        <f>J462+V462</f>
        <v>221342</v>
      </c>
      <c r="AT462" s="492">
        <f t="shared" si="631"/>
        <v>0</v>
      </c>
      <c r="AU462" s="492">
        <f t="shared" si="632"/>
        <v>74814</v>
      </c>
      <c r="AV462" s="492">
        <f t="shared" si="632"/>
        <v>4427</v>
      </c>
      <c r="AW462" s="492">
        <f>N462+AF462</f>
        <v>0</v>
      </c>
      <c r="AX462" s="493">
        <f>O462+AQ462</f>
        <v>0.64</v>
      </c>
      <c r="AY462" s="493">
        <f t="shared" si="633"/>
        <v>0.64</v>
      </c>
      <c r="AZ462" s="495">
        <f t="shared" si="633"/>
        <v>0</v>
      </c>
    </row>
    <row r="463" spans="1:52" ht="14.1" customHeight="1" x14ac:dyDescent="0.2">
      <c r="A463" s="207">
        <v>90</v>
      </c>
      <c r="B463" s="208">
        <v>2332</v>
      </c>
      <c r="C463" s="205">
        <v>691015295</v>
      </c>
      <c r="D463" s="206">
        <v>10988122</v>
      </c>
      <c r="E463" s="203" t="s">
        <v>823</v>
      </c>
      <c r="F463" s="209">
        <v>3141</v>
      </c>
      <c r="G463" s="210" t="s">
        <v>316</v>
      </c>
      <c r="H463" s="73" t="s">
        <v>279</v>
      </c>
      <c r="I463" s="494">
        <v>315691</v>
      </c>
      <c r="J463" s="489">
        <v>230761</v>
      </c>
      <c r="K463" s="489">
        <v>0</v>
      </c>
      <c r="L463" s="489">
        <v>77997</v>
      </c>
      <c r="M463" s="489">
        <v>4615</v>
      </c>
      <c r="N463" s="489">
        <v>2318</v>
      </c>
      <c r="O463" s="490">
        <v>0.73</v>
      </c>
      <c r="P463" s="491">
        <v>0</v>
      </c>
      <c r="Q463" s="500">
        <v>0.73</v>
      </c>
      <c r="R463" s="502">
        <f t="shared" si="628"/>
        <v>0</v>
      </c>
      <c r="S463" s="492">
        <v>0</v>
      </c>
      <c r="T463" s="492">
        <v>0</v>
      </c>
      <c r="U463" s="492">
        <v>0</v>
      </c>
      <c r="V463" s="492">
        <f>SUM(R463:U463)</f>
        <v>0</v>
      </c>
      <c r="W463" s="492">
        <v>0</v>
      </c>
      <c r="X463" s="492">
        <v>0</v>
      </c>
      <c r="Y463" s="492">
        <v>0</v>
      </c>
      <c r="Z463" s="492">
        <f t="shared" ref="Z463" si="634">SUM(W463:Y463)</f>
        <v>0</v>
      </c>
      <c r="AA463" s="492">
        <f t="shared" ref="AA463" si="635">V463+Z463</f>
        <v>0</v>
      </c>
      <c r="AB463" s="74">
        <f t="shared" ref="AB463" si="636">ROUND((V463+W463+X463)*33.8%,0)</f>
        <v>0</v>
      </c>
      <c r="AC463" s="74">
        <f t="shared" ref="AC463" si="637">ROUND(V463*2%,0)</f>
        <v>0</v>
      </c>
      <c r="AD463" s="492">
        <v>0</v>
      </c>
      <c r="AE463" s="492">
        <v>0</v>
      </c>
      <c r="AF463" s="492">
        <f>SUM(AD463:AE463)</f>
        <v>0</v>
      </c>
      <c r="AG463" s="492">
        <f>AA463+AB463+AC463+AF463</f>
        <v>0</v>
      </c>
      <c r="AH463" s="493">
        <v>0</v>
      </c>
      <c r="AI463" s="493">
        <v>0</v>
      </c>
      <c r="AJ463" s="493">
        <v>0</v>
      </c>
      <c r="AK463" s="493">
        <v>0</v>
      </c>
      <c r="AL463" s="493">
        <v>0</v>
      </c>
      <c r="AM463" s="493">
        <v>0</v>
      </c>
      <c r="AN463" s="493">
        <v>0</v>
      </c>
      <c r="AO463" s="493">
        <f t="shared" si="629"/>
        <v>0</v>
      </c>
      <c r="AP463" s="493">
        <f t="shared" si="630"/>
        <v>0</v>
      </c>
      <c r="AQ463" s="495">
        <f t="shared" ref="AQ463" si="638">SUM(AO463:AP463)</f>
        <v>0</v>
      </c>
      <c r="AR463" s="501">
        <f>I463+AG463</f>
        <v>315691</v>
      </c>
      <c r="AS463" s="492">
        <f>J463+V463</f>
        <v>230761</v>
      </c>
      <c r="AT463" s="492">
        <f t="shared" si="631"/>
        <v>0</v>
      </c>
      <c r="AU463" s="492">
        <f t="shared" si="632"/>
        <v>77997</v>
      </c>
      <c r="AV463" s="492">
        <f t="shared" si="632"/>
        <v>4615</v>
      </c>
      <c r="AW463" s="492">
        <f>N463+AF463</f>
        <v>2318</v>
      </c>
      <c r="AX463" s="493">
        <f>O463+AQ463</f>
        <v>0.73</v>
      </c>
      <c r="AY463" s="493">
        <f t="shared" si="633"/>
        <v>0</v>
      </c>
      <c r="AZ463" s="495">
        <f t="shared" si="633"/>
        <v>0.73</v>
      </c>
    </row>
    <row r="464" spans="1:52" ht="14.1" customHeight="1" thickBot="1" x14ac:dyDescent="0.25">
      <c r="A464" s="211">
        <v>90</v>
      </c>
      <c r="B464" s="212">
        <v>2332</v>
      </c>
      <c r="C464" s="212">
        <v>691015295</v>
      </c>
      <c r="D464" s="213">
        <v>10988122</v>
      </c>
      <c r="E464" s="204" t="s">
        <v>824</v>
      </c>
      <c r="F464" s="214"/>
      <c r="G464" s="215"/>
      <c r="H464" s="215"/>
      <c r="I464" s="670">
        <v>5707409</v>
      </c>
      <c r="J464" s="671">
        <v>4180884</v>
      </c>
      <c r="K464" s="671">
        <v>0</v>
      </c>
      <c r="L464" s="671">
        <v>1413139</v>
      </c>
      <c r="M464" s="671">
        <v>83618</v>
      </c>
      <c r="N464" s="671">
        <v>29768</v>
      </c>
      <c r="O464" s="672">
        <v>9.8382000000000005</v>
      </c>
      <c r="P464" s="672">
        <v>7.1239999999999997</v>
      </c>
      <c r="Q464" s="711">
        <v>2.7141999999999999</v>
      </c>
      <c r="R464" s="670">
        <f t="shared" ref="R464:AZ464" si="639">SUM(R461:R463)</f>
        <v>0</v>
      </c>
      <c r="S464" s="671">
        <f t="shared" si="639"/>
        <v>0</v>
      </c>
      <c r="T464" s="671">
        <f t="shared" si="639"/>
        <v>0</v>
      </c>
      <c r="U464" s="671">
        <f t="shared" si="639"/>
        <v>0</v>
      </c>
      <c r="V464" s="671">
        <f t="shared" si="639"/>
        <v>0</v>
      </c>
      <c r="W464" s="671">
        <f t="shared" si="639"/>
        <v>0</v>
      </c>
      <c r="X464" s="671">
        <f t="shared" si="639"/>
        <v>0</v>
      </c>
      <c r="Y464" s="671">
        <f t="shared" si="639"/>
        <v>0</v>
      </c>
      <c r="Z464" s="671">
        <f t="shared" si="639"/>
        <v>0</v>
      </c>
      <c r="AA464" s="671">
        <f t="shared" si="639"/>
        <v>0</v>
      </c>
      <c r="AB464" s="671">
        <f t="shared" si="639"/>
        <v>0</v>
      </c>
      <c r="AC464" s="671">
        <f t="shared" si="639"/>
        <v>0</v>
      </c>
      <c r="AD464" s="671">
        <f t="shared" si="639"/>
        <v>0</v>
      </c>
      <c r="AE464" s="671">
        <f t="shared" si="639"/>
        <v>0</v>
      </c>
      <c r="AF464" s="671">
        <f t="shared" si="639"/>
        <v>0</v>
      </c>
      <c r="AG464" s="671">
        <f t="shared" si="639"/>
        <v>0</v>
      </c>
      <c r="AH464" s="672">
        <f t="shared" si="639"/>
        <v>0</v>
      </c>
      <c r="AI464" s="672">
        <f t="shared" si="639"/>
        <v>0</v>
      </c>
      <c r="AJ464" s="672">
        <f t="shared" si="639"/>
        <v>0</v>
      </c>
      <c r="AK464" s="672">
        <f t="shared" ref="AK464:AL464" si="640">SUM(AK461:AK463)</f>
        <v>0</v>
      </c>
      <c r="AL464" s="672">
        <f t="shared" si="640"/>
        <v>0</v>
      </c>
      <c r="AM464" s="672">
        <f t="shared" si="639"/>
        <v>0</v>
      </c>
      <c r="AN464" s="672">
        <f t="shared" si="639"/>
        <v>0</v>
      </c>
      <c r="AO464" s="672">
        <f t="shared" si="639"/>
        <v>0</v>
      </c>
      <c r="AP464" s="672">
        <f t="shared" si="639"/>
        <v>0</v>
      </c>
      <c r="AQ464" s="673">
        <f t="shared" si="639"/>
        <v>0</v>
      </c>
      <c r="AR464" s="503">
        <f t="shared" si="639"/>
        <v>5707409</v>
      </c>
      <c r="AS464" s="267">
        <f t="shared" si="639"/>
        <v>4180884</v>
      </c>
      <c r="AT464" s="267">
        <f t="shared" si="639"/>
        <v>0</v>
      </c>
      <c r="AU464" s="267">
        <f t="shared" si="639"/>
        <v>1413139</v>
      </c>
      <c r="AV464" s="267">
        <f t="shared" si="639"/>
        <v>83618</v>
      </c>
      <c r="AW464" s="267">
        <f t="shared" si="639"/>
        <v>29768</v>
      </c>
      <c r="AX464" s="268">
        <f t="shared" si="639"/>
        <v>9.8382000000000005</v>
      </c>
      <c r="AY464" s="268">
        <f t="shared" si="639"/>
        <v>7.1239999999999997</v>
      </c>
      <c r="AZ464" s="685">
        <f t="shared" si="639"/>
        <v>2.7141999999999999</v>
      </c>
    </row>
    <row r="465" spans="1:52" ht="14.1" customHeight="1" thickBot="1" x14ac:dyDescent="0.25">
      <c r="A465" s="269"/>
      <c r="B465" s="270"/>
      <c r="C465" s="270"/>
      <c r="D465" s="270"/>
      <c r="E465" s="271" t="s">
        <v>743</v>
      </c>
      <c r="F465" s="270"/>
      <c r="G465" s="270"/>
      <c r="H465" s="270"/>
      <c r="I465" s="684">
        <f t="shared" ref="I465:AZ465" si="641">I464+I460+I457+I450+I443+I436+I429+I422+I415+I409+I406+I399+I392+I388+I382+I375+I373+I369+I362+I357+I350+I344+I335+I332+I328+I324+I322+I316+I312+I305+I298+I296+I288+I283+I276+I272+I266+I262+I258+I256+I249+I243+I237+I231+I225+I219+I213+I206+I200+I194+I187+I180+I174+I168+I162+I157+I151+I145+I139+I132+I125+I120+I116+I113+I109+I105+I102+I98+I94+I90+I86+I82+I79+I75+I70+I67+I63+I59+I55+I52+I49+I46+I42+I39+I35+I31+I27+I22+I18+I13</f>
        <v>1820739516</v>
      </c>
      <c r="J465" s="667">
        <f t="shared" si="641"/>
        <v>1316440676</v>
      </c>
      <c r="K465" s="667">
        <f t="shared" si="641"/>
        <v>6178141</v>
      </c>
      <c r="L465" s="667">
        <f t="shared" si="641"/>
        <v>446963031</v>
      </c>
      <c r="M465" s="667">
        <f t="shared" si="641"/>
        <v>26328810</v>
      </c>
      <c r="N465" s="667">
        <f t="shared" si="641"/>
        <v>24828858</v>
      </c>
      <c r="O465" s="668">
        <f t="shared" si="641"/>
        <v>2713.0620999999996</v>
      </c>
      <c r="P465" s="668">
        <f t="shared" si="641"/>
        <v>1964.2591000000002</v>
      </c>
      <c r="Q465" s="669">
        <f t="shared" si="641"/>
        <v>748.80300000000057</v>
      </c>
      <c r="R465" s="667">
        <f t="shared" si="641"/>
        <v>0</v>
      </c>
      <c r="S465" s="667">
        <f t="shared" si="641"/>
        <v>981501</v>
      </c>
      <c r="T465" s="667">
        <f t="shared" si="641"/>
        <v>613651</v>
      </c>
      <c r="U465" s="667">
        <f t="shared" si="641"/>
        <v>-30839</v>
      </c>
      <c r="V465" s="667">
        <f t="shared" si="641"/>
        <v>1564313</v>
      </c>
      <c r="W465" s="667">
        <f t="shared" si="641"/>
        <v>0</v>
      </c>
      <c r="X465" s="667">
        <f t="shared" si="641"/>
        <v>0</v>
      </c>
      <c r="Y465" s="667">
        <f t="shared" si="641"/>
        <v>0</v>
      </c>
      <c r="Z465" s="667">
        <f t="shared" si="641"/>
        <v>0</v>
      </c>
      <c r="AA465" s="667">
        <f t="shared" si="641"/>
        <v>1564313</v>
      </c>
      <c r="AB465" s="667">
        <f t="shared" si="641"/>
        <v>528737</v>
      </c>
      <c r="AC465" s="667">
        <f t="shared" si="641"/>
        <v>31285</v>
      </c>
      <c r="AD465" s="667">
        <f t="shared" si="641"/>
        <v>8750</v>
      </c>
      <c r="AE465" s="667">
        <f t="shared" si="641"/>
        <v>106878</v>
      </c>
      <c r="AF465" s="667">
        <f t="shared" si="641"/>
        <v>115628</v>
      </c>
      <c r="AG465" s="667">
        <f t="shared" si="641"/>
        <v>2239963</v>
      </c>
      <c r="AH465" s="668">
        <f t="shared" si="641"/>
        <v>0</v>
      </c>
      <c r="AI465" s="668">
        <f t="shared" si="641"/>
        <v>0</v>
      </c>
      <c r="AJ465" s="668">
        <f t="shared" si="641"/>
        <v>2.68</v>
      </c>
      <c r="AK465" s="668">
        <f t="shared" ref="AK465:AL465" si="642">AK464+AK460+AK457+AK450+AK443+AK436+AK429+AK422+AK415+AK409+AK406+AK399+AK392+AK388+AK382+AK375+AK373+AK369+AK362+AK357+AK350+AK344+AK335+AK332+AK328+AK324+AK322+AK316+AK312+AK305+AK298+AK296+AK288+AK283+AK276+AK272+AK266+AK262+AK258+AK256+AK249+AK243+AK237+AK231+AK225+AK219+AK213+AK206+AK200+AK194+AK187+AK180+AK174+AK168+AK162+AK157+AK151+AK145+AK139+AK132+AK125+AK120+AK116+AK113+AK109+AK105+AK102+AK98+AK94+AK90+AK86+AK82+AK79+AK75+AK70+AK67+AK63+AK59+AK55+AK52+AK49+AK46+AK42+AK39+AK35+AK31+AK27+AK22+AK18+AK13</f>
        <v>0.61</v>
      </c>
      <c r="AL465" s="668">
        <f t="shared" si="642"/>
        <v>-0.26</v>
      </c>
      <c r="AM465" s="668">
        <f t="shared" si="641"/>
        <v>0</v>
      </c>
      <c r="AN465" s="668">
        <f t="shared" si="641"/>
        <v>0</v>
      </c>
      <c r="AO465" s="668">
        <f t="shared" si="641"/>
        <v>3.29</v>
      </c>
      <c r="AP465" s="668">
        <f t="shared" si="641"/>
        <v>-0.26</v>
      </c>
      <c r="AQ465" s="712">
        <f t="shared" si="641"/>
        <v>3.0300000000000007</v>
      </c>
      <c r="AR465" s="686">
        <f t="shared" si="641"/>
        <v>1822979479</v>
      </c>
      <c r="AS465" s="450">
        <f t="shared" si="641"/>
        <v>1318004989</v>
      </c>
      <c r="AT465" s="450">
        <f t="shared" si="641"/>
        <v>6178141</v>
      </c>
      <c r="AU465" s="450">
        <f t="shared" si="641"/>
        <v>447491768</v>
      </c>
      <c r="AV465" s="450">
        <f t="shared" si="641"/>
        <v>26360095</v>
      </c>
      <c r="AW465" s="450">
        <f t="shared" si="641"/>
        <v>24944486</v>
      </c>
      <c r="AX465" s="451">
        <f t="shared" si="641"/>
        <v>2716.0921000000003</v>
      </c>
      <c r="AY465" s="451">
        <f t="shared" si="641"/>
        <v>1967.5491000000004</v>
      </c>
      <c r="AZ465" s="687">
        <f t="shared" si="641"/>
        <v>748.54300000000057</v>
      </c>
    </row>
    <row r="466" spans="1:52" ht="14.1" customHeight="1" x14ac:dyDescent="0.2">
      <c r="I466" s="507">
        <f>SUM(J465:N465)</f>
        <v>1820739516</v>
      </c>
      <c r="J466" s="507"/>
      <c r="K466" s="507"/>
      <c r="L466" s="507"/>
      <c r="M466" s="507"/>
      <c r="N466" s="507"/>
      <c r="O466" s="508">
        <f>SUM(P465:Q465)</f>
        <v>2713.062100000001</v>
      </c>
      <c r="P466" s="508"/>
      <c r="Q466" s="508"/>
      <c r="R466" s="507">
        <f>W465</f>
        <v>0</v>
      </c>
      <c r="S466" s="509"/>
      <c r="T466" s="509"/>
      <c r="U466" s="509"/>
      <c r="V466" s="510">
        <f>SUM(R465:U465)</f>
        <v>1564313</v>
      </c>
      <c r="W466" s="510">
        <f>R465</f>
        <v>0</v>
      </c>
      <c r="X466" s="517"/>
      <c r="Y466" s="517"/>
      <c r="Z466" s="516">
        <f>SUM(W465:Y465)</f>
        <v>0</v>
      </c>
      <c r="AA466" s="516">
        <f>V465+Z465</f>
        <v>1564313</v>
      </c>
      <c r="AB466" s="518"/>
      <c r="AC466" s="518"/>
      <c r="AD466" s="517"/>
      <c r="AE466" s="517"/>
      <c r="AF466" s="516">
        <f>SUM(AD465:AE465)</f>
        <v>115628</v>
      </c>
      <c r="AG466" s="516">
        <f>AA465+AB465+AC465+AF465</f>
        <v>2239963</v>
      </c>
      <c r="AH466" s="519"/>
      <c r="AI466" s="519"/>
      <c r="AJ466" s="519"/>
      <c r="AK466" s="519"/>
      <c r="AL466" s="519"/>
      <c r="AM466" s="519"/>
      <c r="AN466" s="519"/>
      <c r="AO466" s="520">
        <f>AH465+AJ465+AK465+AM465</f>
        <v>3.29</v>
      </c>
      <c r="AP466" s="520">
        <f>AI465+AL465+AN465</f>
        <v>-0.26</v>
      </c>
      <c r="AQ466" s="520">
        <f>SUM(AO465:AP465)</f>
        <v>3.0300000000000002</v>
      </c>
      <c r="AR466" s="507">
        <f>SUM(AS465:AW465)</f>
        <v>1822979479</v>
      </c>
      <c r="AX466" s="508">
        <f>SUM(AY465:AZ465)</f>
        <v>2716.0921000000008</v>
      </c>
    </row>
    <row r="467" spans="1:52" ht="14.1" customHeight="1" thickBot="1" x14ac:dyDescent="0.25">
      <c r="H467" s="57"/>
      <c r="I467" s="95">
        <f>SUM(J468:N468)</f>
        <v>1820739516</v>
      </c>
      <c r="J467" s="57"/>
      <c r="K467" s="57"/>
      <c r="L467" s="515"/>
      <c r="M467" s="515"/>
      <c r="N467" s="57"/>
      <c r="O467" s="96">
        <f>SUM(P468:Q468)</f>
        <v>2713.0621000000001</v>
      </c>
      <c r="P467" s="187"/>
      <c r="Q467" s="187"/>
      <c r="R467" s="508"/>
      <c r="S467" s="508"/>
      <c r="T467" s="508"/>
      <c r="U467" s="508"/>
      <c r="V467" s="516">
        <f>SUM(R468:U468)</f>
        <v>1564313</v>
      </c>
      <c r="W467" s="517"/>
      <c r="X467" s="517"/>
      <c r="Y467" s="517"/>
      <c r="Z467" s="516">
        <f>SUM(W468:Y468)</f>
        <v>0</v>
      </c>
      <c r="AA467" s="516">
        <f>V468+Z468</f>
        <v>1564313</v>
      </c>
      <c r="AB467" s="518"/>
      <c r="AC467" s="518"/>
      <c r="AD467" s="517"/>
      <c r="AE467" s="517"/>
      <c r="AF467" s="516">
        <f>SUM(AD468:AE468)</f>
        <v>115628</v>
      </c>
      <c r="AG467" s="516">
        <f>AA468+AB468+AC468+AF468</f>
        <v>2239963</v>
      </c>
      <c r="AH467" s="519"/>
      <c r="AI467" s="519"/>
      <c r="AJ467" s="519"/>
      <c r="AK467" s="519"/>
      <c r="AL467" s="519"/>
      <c r="AM467" s="519"/>
      <c r="AN467" s="519"/>
      <c r="AO467" s="715">
        <f>AH468+AJ468+AK468+AM468</f>
        <v>3.29</v>
      </c>
      <c r="AP467" s="715">
        <f>AI468+AL468+AN468</f>
        <v>-0.26</v>
      </c>
      <c r="AQ467" s="520">
        <f>SUM(AO468:AP468)</f>
        <v>3.0300000000000002</v>
      </c>
      <c r="AR467" s="507">
        <f>SUM(AS468:AW468)</f>
        <v>1822979479</v>
      </c>
      <c r="AX467" s="508">
        <f>SUM(AY468:AZ468)</f>
        <v>2716.0920999999998</v>
      </c>
    </row>
    <row r="468" spans="1:52" customFormat="1" ht="13.5" thickBot="1" x14ac:dyDescent="0.25">
      <c r="D468" s="27"/>
      <c r="E468" s="28"/>
      <c r="F468" s="27"/>
      <c r="G468" s="46"/>
      <c r="H468" s="26" t="s">
        <v>0</v>
      </c>
      <c r="I468" s="150">
        <f t="shared" ref="I468:AZ468" si="643">SUM(I469:I478)</f>
        <v>1820739516</v>
      </c>
      <c r="J468" s="38">
        <f t="shared" si="643"/>
        <v>1316440676</v>
      </c>
      <c r="K468" s="38">
        <f t="shared" si="643"/>
        <v>6178141</v>
      </c>
      <c r="L468" s="38">
        <f t="shared" si="643"/>
        <v>446963031</v>
      </c>
      <c r="M468" s="38">
        <f t="shared" si="643"/>
        <v>26328810</v>
      </c>
      <c r="N468" s="38">
        <f t="shared" si="643"/>
        <v>24828858</v>
      </c>
      <c r="O468" s="39">
        <f t="shared" si="643"/>
        <v>2713.0621000000001</v>
      </c>
      <c r="P468" s="39">
        <f t="shared" si="643"/>
        <v>1964.2590999999998</v>
      </c>
      <c r="Q468" s="159">
        <f t="shared" si="643"/>
        <v>748.80300000000011</v>
      </c>
      <c r="R468" s="150">
        <f t="shared" si="643"/>
        <v>0</v>
      </c>
      <c r="S468" s="38">
        <f t="shared" si="643"/>
        <v>981501</v>
      </c>
      <c r="T468" s="38">
        <f t="shared" si="643"/>
        <v>613651</v>
      </c>
      <c r="U468" s="38">
        <f t="shared" si="643"/>
        <v>-30839</v>
      </c>
      <c r="V468" s="38">
        <f t="shared" si="643"/>
        <v>1564313</v>
      </c>
      <c r="W468" s="38">
        <f t="shared" si="643"/>
        <v>0</v>
      </c>
      <c r="X468" s="38">
        <f t="shared" si="643"/>
        <v>0</v>
      </c>
      <c r="Y468" s="38">
        <f t="shared" si="643"/>
        <v>0</v>
      </c>
      <c r="Z468" s="38">
        <f t="shared" si="643"/>
        <v>0</v>
      </c>
      <c r="AA468" s="38">
        <f t="shared" si="643"/>
        <v>1564313</v>
      </c>
      <c r="AB468" s="38">
        <f t="shared" si="643"/>
        <v>528737</v>
      </c>
      <c r="AC468" s="38">
        <f t="shared" si="643"/>
        <v>31285</v>
      </c>
      <c r="AD468" s="38">
        <f t="shared" si="643"/>
        <v>8750</v>
      </c>
      <c r="AE468" s="38">
        <f t="shared" si="643"/>
        <v>106878</v>
      </c>
      <c r="AF468" s="38">
        <f t="shared" si="643"/>
        <v>115628</v>
      </c>
      <c r="AG468" s="38">
        <f t="shared" si="643"/>
        <v>2239963</v>
      </c>
      <c r="AH468" s="39">
        <f t="shared" si="643"/>
        <v>0</v>
      </c>
      <c r="AI468" s="39">
        <f t="shared" si="643"/>
        <v>0</v>
      </c>
      <c r="AJ468" s="39">
        <f t="shared" si="643"/>
        <v>2.68</v>
      </c>
      <c r="AK468" s="39">
        <f t="shared" ref="AK468:AL468" si="644">SUM(AK469:AK478)</f>
        <v>0.61</v>
      </c>
      <c r="AL468" s="39">
        <f t="shared" si="644"/>
        <v>-0.26</v>
      </c>
      <c r="AM468" s="39">
        <f t="shared" si="643"/>
        <v>0</v>
      </c>
      <c r="AN468" s="39">
        <f t="shared" si="643"/>
        <v>0</v>
      </c>
      <c r="AO468" s="39">
        <f t="shared" si="643"/>
        <v>3.29</v>
      </c>
      <c r="AP468" s="39">
        <f t="shared" si="643"/>
        <v>-0.26</v>
      </c>
      <c r="AQ468" s="40">
        <f t="shared" si="643"/>
        <v>3.0300000000000002</v>
      </c>
      <c r="AR468" s="160">
        <f t="shared" si="643"/>
        <v>1822979479</v>
      </c>
      <c r="AS468" s="38">
        <f t="shared" si="643"/>
        <v>1318004989</v>
      </c>
      <c r="AT468" s="38">
        <f t="shared" si="643"/>
        <v>6178141</v>
      </c>
      <c r="AU468" s="38">
        <f t="shared" si="643"/>
        <v>447491768</v>
      </c>
      <c r="AV468" s="38">
        <f t="shared" si="643"/>
        <v>26360095</v>
      </c>
      <c r="AW468" s="38">
        <f t="shared" si="643"/>
        <v>24944486</v>
      </c>
      <c r="AX468" s="39">
        <f t="shared" si="643"/>
        <v>2716.0920999999998</v>
      </c>
      <c r="AY468" s="39">
        <f t="shared" si="643"/>
        <v>1967.5490999999997</v>
      </c>
      <c r="AZ468" s="40">
        <f t="shared" si="643"/>
        <v>748.54300000000001</v>
      </c>
    </row>
    <row r="469" spans="1:52" customFormat="1" ht="12.75" x14ac:dyDescent="0.2">
      <c r="D469" s="27"/>
      <c r="E469" s="28"/>
      <c r="F469" s="27"/>
      <c r="G469" s="46"/>
      <c r="H469" s="1">
        <v>3111</v>
      </c>
      <c r="I469" s="35">
        <f t="shared" ref="I469:AZ469" si="645">SUMIF($F$12:$F$465,"=3111",I$12:I$465)</f>
        <v>380826613</v>
      </c>
      <c r="J469" s="157">
        <f t="shared" si="645"/>
        <v>278334228</v>
      </c>
      <c r="K469" s="157">
        <f t="shared" si="645"/>
        <v>497065</v>
      </c>
      <c r="L469" s="157">
        <f t="shared" si="645"/>
        <v>94244982</v>
      </c>
      <c r="M469" s="157">
        <f t="shared" si="645"/>
        <v>5566688</v>
      </c>
      <c r="N469" s="157">
        <f t="shared" si="645"/>
        <v>2183650</v>
      </c>
      <c r="O469" s="158">
        <f t="shared" si="645"/>
        <v>625.16899999999976</v>
      </c>
      <c r="P469" s="158">
        <f t="shared" si="645"/>
        <v>479.58150000000001</v>
      </c>
      <c r="Q469" s="504">
        <f t="shared" si="645"/>
        <v>145.58750000000001</v>
      </c>
      <c r="R469" s="35">
        <f t="shared" si="645"/>
        <v>0</v>
      </c>
      <c r="S469" s="157">
        <f t="shared" si="645"/>
        <v>259832</v>
      </c>
      <c r="T469" s="157">
        <f t="shared" si="645"/>
        <v>0</v>
      </c>
      <c r="U469" s="157">
        <f t="shared" si="645"/>
        <v>0</v>
      </c>
      <c r="V469" s="157">
        <f t="shared" si="645"/>
        <v>259832</v>
      </c>
      <c r="W469" s="157">
        <f t="shared" si="645"/>
        <v>0</v>
      </c>
      <c r="X469" s="157">
        <f t="shared" si="645"/>
        <v>0</v>
      </c>
      <c r="Y469" s="157">
        <f t="shared" si="645"/>
        <v>0</v>
      </c>
      <c r="Z469" s="157">
        <f t="shared" si="645"/>
        <v>0</v>
      </c>
      <c r="AA469" s="157">
        <f t="shared" si="645"/>
        <v>259832</v>
      </c>
      <c r="AB469" s="157">
        <f t="shared" si="645"/>
        <v>87823</v>
      </c>
      <c r="AC469" s="157">
        <f t="shared" si="645"/>
        <v>5197</v>
      </c>
      <c r="AD469" s="157">
        <f t="shared" si="645"/>
        <v>4000</v>
      </c>
      <c r="AE469" s="157">
        <f t="shared" si="645"/>
        <v>0</v>
      </c>
      <c r="AF469" s="157">
        <f t="shared" si="645"/>
        <v>4000</v>
      </c>
      <c r="AG469" s="157">
        <f t="shared" si="645"/>
        <v>356852</v>
      </c>
      <c r="AH469" s="158">
        <f t="shared" si="645"/>
        <v>0</v>
      </c>
      <c r="AI469" s="158">
        <f t="shared" si="645"/>
        <v>0</v>
      </c>
      <c r="AJ469" s="158">
        <f t="shared" si="645"/>
        <v>0.75</v>
      </c>
      <c r="AK469" s="158">
        <f t="shared" si="645"/>
        <v>0</v>
      </c>
      <c r="AL469" s="158">
        <f t="shared" si="645"/>
        <v>0</v>
      </c>
      <c r="AM469" s="158">
        <f t="shared" si="645"/>
        <v>0</v>
      </c>
      <c r="AN469" s="158">
        <f t="shared" si="645"/>
        <v>0</v>
      </c>
      <c r="AO469" s="158">
        <f t="shared" si="645"/>
        <v>0.75</v>
      </c>
      <c r="AP469" s="158">
        <f t="shared" si="645"/>
        <v>0</v>
      </c>
      <c r="AQ469" s="263">
        <f t="shared" si="645"/>
        <v>0.75</v>
      </c>
      <c r="AR469" s="36">
        <f t="shared" si="645"/>
        <v>381183465</v>
      </c>
      <c r="AS469" s="157">
        <f t="shared" si="645"/>
        <v>278594060</v>
      </c>
      <c r="AT469" s="157">
        <f t="shared" si="645"/>
        <v>497065</v>
      </c>
      <c r="AU469" s="157">
        <f t="shared" si="645"/>
        <v>94332805</v>
      </c>
      <c r="AV469" s="157">
        <f t="shared" si="645"/>
        <v>5571885</v>
      </c>
      <c r="AW469" s="157">
        <f t="shared" si="645"/>
        <v>2187650</v>
      </c>
      <c r="AX469" s="158">
        <f t="shared" si="645"/>
        <v>625.91899999999976</v>
      </c>
      <c r="AY469" s="158">
        <f t="shared" si="645"/>
        <v>480.33150000000001</v>
      </c>
      <c r="AZ469" s="263">
        <f t="shared" si="645"/>
        <v>145.58750000000001</v>
      </c>
    </row>
    <row r="470" spans="1:52" customFormat="1" ht="12.75" x14ac:dyDescent="0.2">
      <c r="D470" s="27"/>
      <c r="E470" s="28"/>
      <c r="F470" s="27"/>
      <c r="G470" s="46"/>
      <c r="H470" s="2">
        <v>3113</v>
      </c>
      <c r="I470" s="29">
        <f t="shared" ref="I470:AZ470" si="646">SUMIF($F$12:$F$465,"=3113",I$12:I$465)</f>
        <v>1012280683</v>
      </c>
      <c r="J470" s="30">
        <f t="shared" si="646"/>
        <v>727879269</v>
      </c>
      <c r="K470" s="30">
        <f t="shared" si="646"/>
        <v>2749737</v>
      </c>
      <c r="L470" s="30">
        <f t="shared" si="646"/>
        <v>246952607</v>
      </c>
      <c r="M470" s="30">
        <f t="shared" si="646"/>
        <v>14557580</v>
      </c>
      <c r="N470" s="30">
        <f t="shared" si="646"/>
        <v>20141490</v>
      </c>
      <c r="O470" s="31">
        <f t="shared" si="646"/>
        <v>1359.4378999999999</v>
      </c>
      <c r="P470" s="31">
        <f t="shared" si="646"/>
        <v>1098.0951999999997</v>
      </c>
      <c r="Q470" s="505">
        <f t="shared" si="646"/>
        <v>261.34270000000004</v>
      </c>
      <c r="R470" s="29">
        <f t="shared" si="646"/>
        <v>0</v>
      </c>
      <c r="S470" s="30">
        <f t="shared" si="646"/>
        <v>461837</v>
      </c>
      <c r="T470" s="30">
        <f t="shared" si="646"/>
        <v>0</v>
      </c>
      <c r="U470" s="30">
        <f t="shared" si="646"/>
        <v>0</v>
      </c>
      <c r="V470" s="30">
        <f t="shared" si="646"/>
        <v>461837</v>
      </c>
      <c r="W470" s="30">
        <f t="shared" si="646"/>
        <v>0</v>
      </c>
      <c r="X470" s="30">
        <f t="shared" si="646"/>
        <v>0</v>
      </c>
      <c r="Y470" s="30">
        <f t="shared" si="646"/>
        <v>0</v>
      </c>
      <c r="Z470" s="30">
        <f t="shared" si="646"/>
        <v>0</v>
      </c>
      <c r="AA470" s="30">
        <f t="shared" si="646"/>
        <v>461837</v>
      </c>
      <c r="AB470" s="30">
        <f t="shared" si="646"/>
        <v>156100</v>
      </c>
      <c r="AC470" s="30">
        <f t="shared" si="646"/>
        <v>9235</v>
      </c>
      <c r="AD470" s="30">
        <f t="shared" si="646"/>
        <v>4750</v>
      </c>
      <c r="AE470" s="30">
        <f t="shared" si="646"/>
        <v>0</v>
      </c>
      <c r="AF470" s="30">
        <f t="shared" si="646"/>
        <v>4750</v>
      </c>
      <c r="AG470" s="30">
        <f t="shared" si="646"/>
        <v>631922</v>
      </c>
      <c r="AH470" s="31">
        <f t="shared" si="646"/>
        <v>0</v>
      </c>
      <c r="AI470" s="31">
        <f t="shared" si="646"/>
        <v>0</v>
      </c>
      <c r="AJ470" s="31">
        <f t="shared" si="646"/>
        <v>1.1800000000000002</v>
      </c>
      <c r="AK470" s="31">
        <f t="shared" si="646"/>
        <v>0</v>
      </c>
      <c r="AL470" s="31">
        <f t="shared" si="646"/>
        <v>0</v>
      </c>
      <c r="AM470" s="31">
        <f t="shared" si="646"/>
        <v>0</v>
      </c>
      <c r="AN470" s="31">
        <f t="shared" si="646"/>
        <v>0</v>
      </c>
      <c r="AO470" s="31">
        <f t="shared" si="646"/>
        <v>1.1800000000000002</v>
      </c>
      <c r="AP470" s="31">
        <f t="shared" si="646"/>
        <v>0</v>
      </c>
      <c r="AQ470" s="264">
        <f t="shared" si="646"/>
        <v>1.1800000000000002</v>
      </c>
      <c r="AR470" s="43">
        <f t="shared" si="646"/>
        <v>1012912605</v>
      </c>
      <c r="AS470" s="30">
        <f t="shared" si="646"/>
        <v>728341106</v>
      </c>
      <c r="AT470" s="30">
        <f t="shared" si="646"/>
        <v>2749737</v>
      </c>
      <c r="AU470" s="30">
        <f t="shared" si="646"/>
        <v>247108707</v>
      </c>
      <c r="AV470" s="30">
        <f t="shared" si="646"/>
        <v>14566815</v>
      </c>
      <c r="AW470" s="30">
        <f t="shared" si="646"/>
        <v>20146240</v>
      </c>
      <c r="AX470" s="31">
        <f t="shared" si="646"/>
        <v>1360.6178999999997</v>
      </c>
      <c r="AY470" s="31">
        <f t="shared" si="646"/>
        <v>1099.2751999999996</v>
      </c>
      <c r="AZ470" s="264">
        <f t="shared" si="646"/>
        <v>261.34270000000004</v>
      </c>
    </row>
    <row r="471" spans="1:52" customFormat="1" ht="12.75" x14ac:dyDescent="0.2">
      <c r="D471" s="27"/>
      <c r="E471" s="28"/>
      <c r="F471" s="27"/>
      <c r="G471" s="46"/>
      <c r="H471" s="2">
        <v>3114</v>
      </c>
      <c r="I471" s="29">
        <f t="shared" ref="I471:AZ471" si="647">SUMIF($F$12:$F$465,"=3114",I$12:I$465)</f>
        <v>61417675</v>
      </c>
      <c r="J471" s="30">
        <f t="shared" si="647"/>
        <v>44739864</v>
      </c>
      <c r="K471" s="30">
        <f t="shared" si="647"/>
        <v>141480</v>
      </c>
      <c r="L471" s="30">
        <f t="shared" si="647"/>
        <v>15169894</v>
      </c>
      <c r="M471" s="30">
        <f t="shared" si="647"/>
        <v>894797</v>
      </c>
      <c r="N471" s="30">
        <f t="shared" si="647"/>
        <v>471640</v>
      </c>
      <c r="O471" s="31">
        <f t="shared" si="647"/>
        <v>88.354799999999997</v>
      </c>
      <c r="P471" s="31">
        <f t="shared" si="647"/>
        <v>73.549099999999996</v>
      </c>
      <c r="Q471" s="505">
        <f t="shared" si="647"/>
        <v>14.805699999999998</v>
      </c>
      <c r="R471" s="29">
        <f t="shared" si="647"/>
        <v>0</v>
      </c>
      <c r="S471" s="30">
        <f t="shared" si="647"/>
        <v>0</v>
      </c>
      <c r="T471" s="30">
        <f t="shared" si="647"/>
        <v>0</v>
      </c>
      <c r="U471" s="30">
        <f t="shared" si="647"/>
        <v>0</v>
      </c>
      <c r="V471" s="30">
        <f t="shared" si="647"/>
        <v>0</v>
      </c>
      <c r="W471" s="30">
        <f t="shared" si="647"/>
        <v>0</v>
      </c>
      <c r="X471" s="30">
        <f t="shared" si="647"/>
        <v>0</v>
      </c>
      <c r="Y471" s="30">
        <f t="shared" si="647"/>
        <v>0</v>
      </c>
      <c r="Z471" s="30">
        <f t="shared" si="647"/>
        <v>0</v>
      </c>
      <c r="AA471" s="30">
        <f t="shared" si="647"/>
        <v>0</v>
      </c>
      <c r="AB471" s="30">
        <f t="shared" si="647"/>
        <v>0</v>
      </c>
      <c r="AC471" s="30">
        <f t="shared" si="647"/>
        <v>0</v>
      </c>
      <c r="AD471" s="30">
        <f t="shared" si="647"/>
        <v>0</v>
      </c>
      <c r="AE471" s="30">
        <f t="shared" si="647"/>
        <v>0</v>
      </c>
      <c r="AF471" s="30">
        <f t="shared" si="647"/>
        <v>0</v>
      </c>
      <c r="AG471" s="30">
        <f t="shared" si="647"/>
        <v>0</v>
      </c>
      <c r="AH471" s="31">
        <f t="shared" si="647"/>
        <v>0</v>
      </c>
      <c r="AI471" s="31">
        <f t="shared" si="647"/>
        <v>0</v>
      </c>
      <c r="AJ471" s="31">
        <f t="shared" si="647"/>
        <v>0</v>
      </c>
      <c r="AK471" s="31">
        <f t="shared" si="647"/>
        <v>0</v>
      </c>
      <c r="AL471" s="31">
        <f t="shared" si="647"/>
        <v>0</v>
      </c>
      <c r="AM471" s="31">
        <f t="shared" si="647"/>
        <v>0</v>
      </c>
      <c r="AN471" s="31">
        <f t="shared" si="647"/>
        <v>0</v>
      </c>
      <c r="AO471" s="31">
        <f t="shared" si="647"/>
        <v>0</v>
      </c>
      <c r="AP471" s="31">
        <f t="shared" si="647"/>
        <v>0</v>
      </c>
      <c r="AQ471" s="264">
        <f t="shared" si="647"/>
        <v>0</v>
      </c>
      <c r="AR471" s="43">
        <f t="shared" si="647"/>
        <v>61417675</v>
      </c>
      <c r="AS471" s="30">
        <f t="shared" si="647"/>
        <v>44739864</v>
      </c>
      <c r="AT471" s="30">
        <f t="shared" si="647"/>
        <v>141480</v>
      </c>
      <c r="AU471" s="30">
        <f t="shared" si="647"/>
        <v>15169894</v>
      </c>
      <c r="AV471" s="30">
        <f t="shared" si="647"/>
        <v>894797</v>
      </c>
      <c r="AW471" s="30">
        <f t="shared" si="647"/>
        <v>471640</v>
      </c>
      <c r="AX471" s="31">
        <f t="shared" si="647"/>
        <v>88.354799999999997</v>
      </c>
      <c r="AY471" s="31">
        <f t="shared" si="647"/>
        <v>73.549099999999996</v>
      </c>
      <c r="AZ471" s="264">
        <f t="shared" si="647"/>
        <v>14.805699999999998</v>
      </c>
    </row>
    <row r="472" spans="1:52" customFormat="1" ht="12.75" x14ac:dyDescent="0.2">
      <c r="D472" s="27"/>
      <c r="E472" s="28"/>
      <c r="F472" s="27"/>
      <c r="G472" s="46"/>
      <c r="H472" s="2">
        <v>3117</v>
      </c>
      <c r="I472" s="29">
        <f t="shared" ref="I472:AZ472" si="648">SUMIF($F$12:$F$465,"=3117",I$12:I$465)</f>
        <v>47209238</v>
      </c>
      <c r="J472" s="30">
        <f t="shared" si="648"/>
        <v>33933910</v>
      </c>
      <c r="K472" s="30">
        <f t="shared" si="648"/>
        <v>284700</v>
      </c>
      <c r="L472" s="30">
        <f t="shared" si="648"/>
        <v>11565889</v>
      </c>
      <c r="M472" s="30">
        <f t="shared" si="648"/>
        <v>678679</v>
      </c>
      <c r="N472" s="30">
        <f t="shared" si="648"/>
        <v>746060</v>
      </c>
      <c r="O472" s="31">
        <f t="shared" si="648"/>
        <v>72.228300000000004</v>
      </c>
      <c r="P472" s="31">
        <f t="shared" si="648"/>
        <v>54.006700000000002</v>
      </c>
      <c r="Q472" s="505">
        <f t="shared" si="648"/>
        <v>18.221599999999999</v>
      </c>
      <c r="R472" s="29">
        <f t="shared" si="648"/>
        <v>0</v>
      </c>
      <c r="S472" s="30">
        <f t="shared" si="648"/>
        <v>259832</v>
      </c>
      <c r="T472" s="30">
        <f t="shared" si="648"/>
        <v>190514</v>
      </c>
      <c r="U472" s="30">
        <f t="shared" si="648"/>
        <v>0</v>
      </c>
      <c r="V472" s="30">
        <f t="shared" si="648"/>
        <v>450346</v>
      </c>
      <c r="W472" s="30">
        <f t="shared" si="648"/>
        <v>0</v>
      </c>
      <c r="X472" s="30">
        <f t="shared" si="648"/>
        <v>0</v>
      </c>
      <c r="Y472" s="30">
        <f t="shared" si="648"/>
        <v>0</v>
      </c>
      <c r="Z472" s="30">
        <f t="shared" si="648"/>
        <v>0</v>
      </c>
      <c r="AA472" s="30">
        <f t="shared" si="648"/>
        <v>450346</v>
      </c>
      <c r="AB472" s="30">
        <f t="shared" si="648"/>
        <v>152217</v>
      </c>
      <c r="AC472" s="30">
        <f t="shared" si="648"/>
        <v>9007</v>
      </c>
      <c r="AD472" s="30">
        <f t="shared" si="648"/>
        <v>0</v>
      </c>
      <c r="AE472" s="30">
        <f t="shared" si="648"/>
        <v>0</v>
      </c>
      <c r="AF472" s="30">
        <f t="shared" si="648"/>
        <v>0</v>
      </c>
      <c r="AG472" s="30">
        <f t="shared" si="648"/>
        <v>611570</v>
      </c>
      <c r="AH472" s="31">
        <f t="shared" si="648"/>
        <v>0</v>
      </c>
      <c r="AI472" s="31">
        <f t="shared" si="648"/>
        <v>0</v>
      </c>
      <c r="AJ472" s="31">
        <f t="shared" si="648"/>
        <v>0.75</v>
      </c>
      <c r="AK472" s="31">
        <f t="shared" si="648"/>
        <v>0.61</v>
      </c>
      <c r="AL472" s="31">
        <f t="shared" si="648"/>
        <v>-0.26</v>
      </c>
      <c r="AM472" s="31">
        <f t="shared" si="648"/>
        <v>0</v>
      </c>
      <c r="AN472" s="31">
        <f t="shared" si="648"/>
        <v>0</v>
      </c>
      <c r="AO472" s="31">
        <f t="shared" si="648"/>
        <v>1.3599999999999999</v>
      </c>
      <c r="AP472" s="31">
        <f t="shared" si="648"/>
        <v>-0.26</v>
      </c>
      <c r="AQ472" s="264">
        <f t="shared" si="648"/>
        <v>1.1000000000000001</v>
      </c>
      <c r="AR472" s="43">
        <f t="shared" si="648"/>
        <v>47820808</v>
      </c>
      <c r="AS472" s="30">
        <f t="shared" si="648"/>
        <v>34384256</v>
      </c>
      <c r="AT472" s="30">
        <f t="shared" si="648"/>
        <v>284700</v>
      </c>
      <c r="AU472" s="30">
        <f t="shared" si="648"/>
        <v>11718106</v>
      </c>
      <c r="AV472" s="30">
        <f t="shared" si="648"/>
        <v>687686</v>
      </c>
      <c r="AW472" s="30">
        <f t="shared" si="648"/>
        <v>746060</v>
      </c>
      <c r="AX472" s="31">
        <f t="shared" si="648"/>
        <v>73.328299999999999</v>
      </c>
      <c r="AY472" s="31">
        <f t="shared" si="648"/>
        <v>55.366700000000009</v>
      </c>
      <c r="AZ472" s="264">
        <f t="shared" si="648"/>
        <v>17.961600000000001</v>
      </c>
    </row>
    <row r="473" spans="1:52" customFormat="1" ht="12.75" x14ac:dyDescent="0.2">
      <c r="D473" s="27"/>
      <c r="E473" s="28"/>
      <c r="F473" s="27"/>
      <c r="G473" s="46"/>
      <c r="H473" s="2">
        <v>3122</v>
      </c>
      <c r="I473" s="29">
        <f t="shared" ref="I473:AZ473" si="649">SUMIF($F$12:$F$465,"=3122",I$12:I$465)</f>
        <v>0</v>
      </c>
      <c r="J473" s="30">
        <f t="shared" si="649"/>
        <v>0</v>
      </c>
      <c r="K473" s="30">
        <f t="shared" si="649"/>
        <v>0</v>
      </c>
      <c r="L473" s="30">
        <f t="shared" si="649"/>
        <v>0</v>
      </c>
      <c r="M473" s="30">
        <f t="shared" si="649"/>
        <v>0</v>
      </c>
      <c r="N473" s="30">
        <f t="shared" si="649"/>
        <v>0</v>
      </c>
      <c r="O473" s="31">
        <f t="shared" si="649"/>
        <v>0</v>
      </c>
      <c r="P473" s="31">
        <f t="shared" si="649"/>
        <v>0</v>
      </c>
      <c r="Q473" s="505">
        <f t="shared" si="649"/>
        <v>0</v>
      </c>
      <c r="R473" s="29">
        <f t="shared" si="649"/>
        <v>0</v>
      </c>
      <c r="S473" s="30">
        <f t="shared" si="649"/>
        <v>0</v>
      </c>
      <c r="T473" s="30">
        <f t="shared" si="649"/>
        <v>0</v>
      </c>
      <c r="U473" s="30">
        <f t="shared" si="649"/>
        <v>0</v>
      </c>
      <c r="V473" s="30">
        <f t="shared" si="649"/>
        <v>0</v>
      </c>
      <c r="W473" s="30">
        <f t="shared" si="649"/>
        <v>0</v>
      </c>
      <c r="X473" s="30">
        <f t="shared" si="649"/>
        <v>0</v>
      </c>
      <c r="Y473" s="30">
        <f t="shared" si="649"/>
        <v>0</v>
      </c>
      <c r="Z473" s="30">
        <f t="shared" si="649"/>
        <v>0</v>
      </c>
      <c r="AA473" s="30">
        <f t="shared" si="649"/>
        <v>0</v>
      </c>
      <c r="AB473" s="30">
        <f t="shared" si="649"/>
        <v>0</v>
      </c>
      <c r="AC473" s="30">
        <f t="shared" si="649"/>
        <v>0</v>
      </c>
      <c r="AD473" s="30">
        <f t="shared" si="649"/>
        <v>0</v>
      </c>
      <c r="AE473" s="30">
        <f t="shared" si="649"/>
        <v>0</v>
      </c>
      <c r="AF473" s="30">
        <f t="shared" si="649"/>
        <v>0</v>
      </c>
      <c r="AG473" s="30">
        <f t="shared" si="649"/>
        <v>0</v>
      </c>
      <c r="AH473" s="31">
        <f t="shared" si="649"/>
        <v>0</v>
      </c>
      <c r="AI473" s="31">
        <f t="shared" si="649"/>
        <v>0</v>
      </c>
      <c r="AJ473" s="31">
        <f t="shared" si="649"/>
        <v>0</v>
      </c>
      <c r="AK473" s="31">
        <f t="shared" si="649"/>
        <v>0</v>
      </c>
      <c r="AL473" s="31">
        <f t="shared" si="649"/>
        <v>0</v>
      </c>
      <c r="AM473" s="31">
        <f t="shared" si="649"/>
        <v>0</v>
      </c>
      <c r="AN473" s="31">
        <f t="shared" si="649"/>
        <v>0</v>
      </c>
      <c r="AO473" s="31">
        <f t="shared" si="649"/>
        <v>0</v>
      </c>
      <c r="AP473" s="31">
        <f t="shared" si="649"/>
        <v>0</v>
      </c>
      <c r="AQ473" s="264">
        <f t="shared" si="649"/>
        <v>0</v>
      </c>
      <c r="AR473" s="43">
        <f t="shared" si="649"/>
        <v>0</v>
      </c>
      <c r="AS473" s="30">
        <f t="shared" si="649"/>
        <v>0</v>
      </c>
      <c r="AT473" s="30">
        <f t="shared" si="649"/>
        <v>0</v>
      </c>
      <c r="AU473" s="30">
        <f t="shared" si="649"/>
        <v>0</v>
      </c>
      <c r="AV473" s="30">
        <f t="shared" si="649"/>
        <v>0</v>
      </c>
      <c r="AW473" s="30">
        <f t="shared" si="649"/>
        <v>0</v>
      </c>
      <c r="AX473" s="31">
        <f t="shared" si="649"/>
        <v>0</v>
      </c>
      <c r="AY473" s="31">
        <f t="shared" si="649"/>
        <v>0</v>
      </c>
      <c r="AZ473" s="264">
        <f t="shared" si="649"/>
        <v>0</v>
      </c>
    </row>
    <row r="474" spans="1:52" customFormat="1" ht="12.75" x14ac:dyDescent="0.2">
      <c r="D474" s="27"/>
      <c r="E474" s="28"/>
      <c r="F474" s="27"/>
      <c r="G474" s="46"/>
      <c r="H474" s="2">
        <v>3124</v>
      </c>
      <c r="I474" s="29">
        <f t="shared" ref="I474:AZ474" si="650">SUMIF($F$12:$F$465,"=3124",I$12:I$465)</f>
        <v>0</v>
      </c>
      <c r="J474" s="30">
        <f t="shared" si="650"/>
        <v>0</v>
      </c>
      <c r="K474" s="30">
        <f t="shared" si="650"/>
        <v>0</v>
      </c>
      <c r="L474" s="30">
        <f t="shared" si="650"/>
        <v>0</v>
      </c>
      <c r="M474" s="30">
        <f t="shared" si="650"/>
        <v>0</v>
      </c>
      <c r="N474" s="30">
        <f t="shared" si="650"/>
        <v>0</v>
      </c>
      <c r="O474" s="31">
        <f t="shared" si="650"/>
        <v>0</v>
      </c>
      <c r="P474" s="31">
        <f t="shared" si="650"/>
        <v>0</v>
      </c>
      <c r="Q474" s="505">
        <f t="shared" si="650"/>
        <v>0</v>
      </c>
      <c r="R474" s="29">
        <f t="shared" si="650"/>
        <v>0</v>
      </c>
      <c r="S474" s="30">
        <f t="shared" si="650"/>
        <v>0</v>
      </c>
      <c r="T474" s="30">
        <f t="shared" si="650"/>
        <v>0</v>
      </c>
      <c r="U474" s="30">
        <f t="shared" si="650"/>
        <v>0</v>
      </c>
      <c r="V474" s="30">
        <f t="shared" si="650"/>
        <v>0</v>
      </c>
      <c r="W474" s="30">
        <f t="shared" si="650"/>
        <v>0</v>
      </c>
      <c r="X474" s="30">
        <f t="shared" si="650"/>
        <v>0</v>
      </c>
      <c r="Y474" s="30">
        <f t="shared" si="650"/>
        <v>0</v>
      </c>
      <c r="Z474" s="30">
        <f t="shared" si="650"/>
        <v>0</v>
      </c>
      <c r="AA474" s="30">
        <f t="shared" si="650"/>
        <v>0</v>
      </c>
      <c r="AB474" s="30">
        <f t="shared" si="650"/>
        <v>0</v>
      </c>
      <c r="AC474" s="30">
        <f t="shared" si="650"/>
        <v>0</v>
      </c>
      <c r="AD474" s="30">
        <f t="shared" si="650"/>
        <v>0</v>
      </c>
      <c r="AE474" s="30">
        <f t="shared" si="650"/>
        <v>0</v>
      </c>
      <c r="AF474" s="30">
        <f t="shared" si="650"/>
        <v>0</v>
      </c>
      <c r="AG474" s="30">
        <f t="shared" si="650"/>
        <v>0</v>
      </c>
      <c r="AH474" s="31">
        <f t="shared" si="650"/>
        <v>0</v>
      </c>
      <c r="AI474" s="31">
        <f t="shared" si="650"/>
        <v>0</v>
      </c>
      <c r="AJ474" s="31">
        <f t="shared" si="650"/>
        <v>0</v>
      </c>
      <c r="AK474" s="31">
        <f t="shared" si="650"/>
        <v>0</v>
      </c>
      <c r="AL474" s="31">
        <f t="shared" si="650"/>
        <v>0</v>
      </c>
      <c r="AM474" s="31">
        <f t="shared" si="650"/>
        <v>0</v>
      </c>
      <c r="AN474" s="31">
        <f t="shared" si="650"/>
        <v>0</v>
      </c>
      <c r="AO474" s="31">
        <f t="shared" si="650"/>
        <v>0</v>
      </c>
      <c r="AP474" s="31">
        <f t="shared" si="650"/>
        <v>0</v>
      </c>
      <c r="AQ474" s="264">
        <f t="shared" si="650"/>
        <v>0</v>
      </c>
      <c r="AR474" s="43">
        <f t="shared" si="650"/>
        <v>0</v>
      </c>
      <c r="AS474" s="30">
        <f t="shared" si="650"/>
        <v>0</v>
      </c>
      <c r="AT474" s="30">
        <f t="shared" si="650"/>
        <v>0</v>
      </c>
      <c r="AU474" s="30">
        <f t="shared" si="650"/>
        <v>0</v>
      </c>
      <c r="AV474" s="30">
        <f t="shared" si="650"/>
        <v>0</v>
      </c>
      <c r="AW474" s="30">
        <f t="shared" si="650"/>
        <v>0</v>
      </c>
      <c r="AX474" s="31">
        <f t="shared" si="650"/>
        <v>0</v>
      </c>
      <c r="AY474" s="31">
        <f t="shared" si="650"/>
        <v>0</v>
      </c>
      <c r="AZ474" s="264">
        <f t="shared" si="650"/>
        <v>0</v>
      </c>
    </row>
    <row r="475" spans="1:52" customFormat="1" ht="12.75" x14ac:dyDescent="0.2">
      <c r="D475" s="27"/>
      <c r="E475" s="28"/>
      <c r="F475" s="27"/>
      <c r="G475" s="46"/>
      <c r="H475" s="2">
        <v>3141</v>
      </c>
      <c r="I475" s="29">
        <f t="shared" ref="I475:AZ475" si="651">SUMIF($F$12:$F$465,"=3141",I$12:I$465)</f>
        <v>122353756</v>
      </c>
      <c r="J475" s="30">
        <f t="shared" si="651"/>
        <v>89118612</v>
      </c>
      <c r="K475" s="30">
        <f t="shared" si="651"/>
        <v>338699</v>
      </c>
      <c r="L475" s="30">
        <f t="shared" si="651"/>
        <v>30236568</v>
      </c>
      <c r="M475" s="30">
        <f t="shared" si="651"/>
        <v>1782371</v>
      </c>
      <c r="N475" s="30">
        <f t="shared" si="651"/>
        <v>877506</v>
      </c>
      <c r="O475" s="31">
        <f t="shared" si="651"/>
        <v>280.75000000000006</v>
      </c>
      <c r="P475" s="31">
        <f t="shared" si="651"/>
        <v>0</v>
      </c>
      <c r="Q475" s="505">
        <f t="shared" si="651"/>
        <v>280.75000000000006</v>
      </c>
      <c r="R475" s="29">
        <f t="shared" si="651"/>
        <v>0</v>
      </c>
      <c r="S475" s="30">
        <f t="shared" si="651"/>
        <v>0</v>
      </c>
      <c r="T475" s="30">
        <f t="shared" si="651"/>
        <v>0</v>
      </c>
      <c r="U475" s="30">
        <f t="shared" si="651"/>
        <v>0</v>
      </c>
      <c r="V475" s="30">
        <f t="shared" si="651"/>
        <v>0</v>
      </c>
      <c r="W475" s="30">
        <f t="shared" si="651"/>
        <v>0</v>
      </c>
      <c r="X475" s="30">
        <f t="shared" si="651"/>
        <v>0</v>
      </c>
      <c r="Y475" s="30">
        <f t="shared" si="651"/>
        <v>0</v>
      </c>
      <c r="Z475" s="30">
        <f t="shared" si="651"/>
        <v>0</v>
      </c>
      <c r="AA475" s="30">
        <f t="shared" si="651"/>
        <v>0</v>
      </c>
      <c r="AB475" s="30">
        <f t="shared" si="651"/>
        <v>0</v>
      </c>
      <c r="AC475" s="30">
        <f t="shared" si="651"/>
        <v>0</v>
      </c>
      <c r="AD475" s="30">
        <f t="shared" si="651"/>
        <v>0</v>
      </c>
      <c r="AE475" s="30">
        <f t="shared" si="651"/>
        <v>0</v>
      </c>
      <c r="AF475" s="30">
        <f t="shared" si="651"/>
        <v>0</v>
      </c>
      <c r="AG475" s="30">
        <f t="shared" si="651"/>
        <v>0</v>
      </c>
      <c r="AH475" s="31">
        <f t="shared" si="651"/>
        <v>0</v>
      </c>
      <c r="AI475" s="31">
        <f t="shared" si="651"/>
        <v>0</v>
      </c>
      <c r="AJ475" s="31">
        <f t="shared" si="651"/>
        <v>0</v>
      </c>
      <c r="AK475" s="31">
        <f t="shared" si="651"/>
        <v>0</v>
      </c>
      <c r="AL475" s="31">
        <f t="shared" si="651"/>
        <v>0</v>
      </c>
      <c r="AM475" s="31">
        <f t="shared" si="651"/>
        <v>0</v>
      </c>
      <c r="AN475" s="31">
        <f t="shared" si="651"/>
        <v>0</v>
      </c>
      <c r="AO475" s="31">
        <f t="shared" si="651"/>
        <v>0</v>
      </c>
      <c r="AP475" s="31">
        <f t="shared" si="651"/>
        <v>0</v>
      </c>
      <c r="AQ475" s="264">
        <f t="shared" si="651"/>
        <v>0</v>
      </c>
      <c r="AR475" s="43">
        <f t="shared" si="651"/>
        <v>122353756</v>
      </c>
      <c r="AS475" s="30">
        <f t="shared" si="651"/>
        <v>89118612</v>
      </c>
      <c r="AT475" s="30">
        <f t="shared" si="651"/>
        <v>338699</v>
      </c>
      <c r="AU475" s="30">
        <f t="shared" si="651"/>
        <v>30236568</v>
      </c>
      <c r="AV475" s="30">
        <f t="shared" si="651"/>
        <v>1782371</v>
      </c>
      <c r="AW475" s="30">
        <f t="shared" si="651"/>
        <v>877506</v>
      </c>
      <c r="AX475" s="31">
        <f t="shared" si="651"/>
        <v>280.75000000000006</v>
      </c>
      <c r="AY475" s="31">
        <f t="shared" si="651"/>
        <v>0</v>
      </c>
      <c r="AZ475" s="264">
        <f t="shared" si="651"/>
        <v>280.75000000000006</v>
      </c>
    </row>
    <row r="476" spans="1:52" customFormat="1" ht="12.75" x14ac:dyDescent="0.2">
      <c r="D476" s="27"/>
      <c r="E476" s="28"/>
      <c r="F476" s="27"/>
      <c r="G476" s="46"/>
      <c r="H476" s="2">
        <v>3143</v>
      </c>
      <c r="I476" s="29">
        <f t="shared" ref="I476:AZ476" si="652">SUMIF($F$12:$F$465,"=3143",I$12:I$465)</f>
        <v>102224534</v>
      </c>
      <c r="J476" s="30">
        <f t="shared" si="652"/>
        <v>74946011</v>
      </c>
      <c r="K476" s="30">
        <f t="shared" si="652"/>
        <v>232960</v>
      </c>
      <c r="L476" s="30">
        <f t="shared" si="652"/>
        <v>25410494</v>
      </c>
      <c r="M476" s="30">
        <f t="shared" si="652"/>
        <v>1498919</v>
      </c>
      <c r="N476" s="30">
        <f t="shared" si="652"/>
        <v>136150</v>
      </c>
      <c r="O476" s="31">
        <f t="shared" si="652"/>
        <v>159.12390000000011</v>
      </c>
      <c r="P476" s="31">
        <f t="shared" si="652"/>
        <v>149.36390000000003</v>
      </c>
      <c r="Q476" s="505">
        <f t="shared" si="652"/>
        <v>9.7600000000000016</v>
      </c>
      <c r="R476" s="29">
        <f t="shared" si="652"/>
        <v>0</v>
      </c>
      <c r="S476" s="30">
        <f t="shared" si="652"/>
        <v>0</v>
      </c>
      <c r="T476" s="30">
        <f t="shared" si="652"/>
        <v>0</v>
      </c>
      <c r="U476" s="30">
        <f t="shared" si="652"/>
        <v>-30839</v>
      </c>
      <c r="V476" s="30">
        <f t="shared" si="652"/>
        <v>-30839</v>
      </c>
      <c r="W476" s="30">
        <f t="shared" si="652"/>
        <v>0</v>
      </c>
      <c r="X476" s="30">
        <f t="shared" si="652"/>
        <v>0</v>
      </c>
      <c r="Y476" s="30">
        <f t="shared" si="652"/>
        <v>0</v>
      </c>
      <c r="Z476" s="30">
        <f t="shared" si="652"/>
        <v>0</v>
      </c>
      <c r="AA476" s="30">
        <f t="shared" si="652"/>
        <v>-30839</v>
      </c>
      <c r="AB476" s="30">
        <f t="shared" si="652"/>
        <v>-10423</v>
      </c>
      <c r="AC476" s="30">
        <f t="shared" si="652"/>
        <v>-617</v>
      </c>
      <c r="AD476" s="30">
        <f t="shared" si="652"/>
        <v>0</v>
      </c>
      <c r="AE476" s="30">
        <f t="shared" si="652"/>
        <v>0</v>
      </c>
      <c r="AF476" s="30">
        <f t="shared" si="652"/>
        <v>0</v>
      </c>
      <c r="AG476" s="30">
        <f t="shared" si="652"/>
        <v>-41879</v>
      </c>
      <c r="AH476" s="31">
        <f t="shared" si="652"/>
        <v>0</v>
      </c>
      <c r="AI476" s="31">
        <f t="shared" si="652"/>
        <v>0</v>
      </c>
      <c r="AJ476" s="31">
        <f t="shared" si="652"/>
        <v>0</v>
      </c>
      <c r="AK476" s="31">
        <f t="shared" si="652"/>
        <v>0</v>
      </c>
      <c r="AL476" s="31">
        <f t="shared" si="652"/>
        <v>0</v>
      </c>
      <c r="AM476" s="31">
        <f t="shared" si="652"/>
        <v>0</v>
      </c>
      <c r="AN476" s="31">
        <f t="shared" si="652"/>
        <v>0</v>
      </c>
      <c r="AO476" s="31">
        <f t="shared" si="652"/>
        <v>0</v>
      </c>
      <c r="AP476" s="31">
        <f t="shared" si="652"/>
        <v>0</v>
      </c>
      <c r="AQ476" s="264">
        <f t="shared" si="652"/>
        <v>0</v>
      </c>
      <c r="AR476" s="43">
        <f t="shared" si="652"/>
        <v>102182655</v>
      </c>
      <c r="AS476" s="30">
        <f t="shared" si="652"/>
        <v>74915172</v>
      </c>
      <c r="AT476" s="30">
        <f t="shared" si="652"/>
        <v>232960</v>
      </c>
      <c r="AU476" s="30">
        <f t="shared" si="652"/>
        <v>25400071</v>
      </c>
      <c r="AV476" s="30">
        <f t="shared" si="652"/>
        <v>1498302</v>
      </c>
      <c r="AW476" s="30">
        <f t="shared" si="652"/>
        <v>136150</v>
      </c>
      <c r="AX476" s="31">
        <f t="shared" si="652"/>
        <v>159.12390000000011</v>
      </c>
      <c r="AY476" s="31">
        <f t="shared" si="652"/>
        <v>149.36390000000003</v>
      </c>
      <c r="AZ476" s="264">
        <f t="shared" si="652"/>
        <v>9.7600000000000016</v>
      </c>
    </row>
    <row r="477" spans="1:52" customFormat="1" ht="12.75" x14ac:dyDescent="0.2">
      <c r="D477" s="27"/>
      <c r="E477" s="28"/>
      <c r="F477" s="27"/>
      <c r="G477" s="46"/>
      <c r="H477" s="2">
        <v>3231</v>
      </c>
      <c r="I477" s="29">
        <f t="shared" ref="I477:AZ477" si="653">SUMIF($F$12:$F$465,"=3231",I$12:I$465)</f>
        <v>81252714</v>
      </c>
      <c r="J477" s="30">
        <f t="shared" si="653"/>
        <v>59485360</v>
      </c>
      <c r="K477" s="30">
        <f t="shared" si="653"/>
        <v>162500</v>
      </c>
      <c r="L477" s="30">
        <f t="shared" si="653"/>
        <v>20160976</v>
      </c>
      <c r="M477" s="30">
        <f t="shared" si="653"/>
        <v>1189708</v>
      </c>
      <c r="N477" s="30">
        <f t="shared" si="653"/>
        <v>254170</v>
      </c>
      <c r="O477" s="31">
        <f t="shared" si="653"/>
        <v>110.37820000000001</v>
      </c>
      <c r="P477" s="31">
        <f t="shared" si="653"/>
        <v>98.242699999999985</v>
      </c>
      <c r="Q477" s="505">
        <f t="shared" si="653"/>
        <v>12.135499999999997</v>
      </c>
      <c r="R477" s="29">
        <f t="shared" si="653"/>
        <v>0</v>
      </c>
      <c r="S477" s="30">
        <f t="shared" si="653"/>
        <v>0</v>
      </c>
      <c r="T477" s="30">
        <f t="shared" si="653"/>
        <v>0</v>
      </c>
      <c r="U477" s="30">
        <f t="shared" si="653"/>
        <v>0</v>
      </c>
      <c r="V477" s="30">
        <f t="shared" si="653"/>
        <v>0</v>
      </c>
      <c r="W477" s="30">
        <f t="shared" si="653"/>
        <v>0</v>
      </c>
      <c r="X477" s="30">
        <f t="shared" si="653"/>
        <v>0</v>
      </c>
      <c r="Y477" s="30">
        <f t="shared" si="653"/>
        <v>0</v>
      </c>
      <c r="Z477" s="30">
        <f t="shared" si="653"/>
        <v>0</v>
      </c>
      <c r="AA477" s="30">
        <f t="shared" si="653"/>
        <v>0</v>
      </c>
      <c r="AB477" s="30">
        <f t="shared" si="653"/>
        <v>0</v>
      </c>
      <c r="AC477" s="30">
        <f t="shared" si="653"/>
        <v>0</v>
      </c>
      <c r="AD477" s="30">
        <f t="shared" si="653"/>
        <v>0</v>
      </c>
      <c r="AE477" s="30">
        <f t="shared" si="653"/>
        <v>0</v>
      </c>
      <c r="AF477" s="30">
        <f t="shared" si="653"/>
        <v>0</v>
      </c>
      <c r="AG477" s="30">
        <f t="shared" si="653"/>
        <v>0</v>
      </c>
      <c r="AH477" s="31">
        <f t="shared" si="653"/>
        <v>0</v>
      </c>
      <c r="AI477" s="31">
        <f t="shared" si="653"/>
        <v>0</v>
      </c>
      <c r="AJ477" s="31">
        <f t="shared" si="653"/>
        <v>0</v>
      </c>
      <c r="AK477" s="31">
        <f t="shared" si="653"/>
        <v>0</v>
      </c>
      <c r="AL477" s="31">
        <f t="shared" si="653"/>
        <v>0</v>
      </c>
      <c r="AM477" s="31">
        <f t="shared" si="653"/>
        <v>0</v>
      </c>
      <c r="AN477" s="31">
        <f t="shared" si="653"/>
        <v>0</v>
      </c>
      <c r="AO477" s="31">
        <f t="shared" si="653"/>
        <v>0</v>
      </c>
      <c r="AP477" s="31">
        <f t="shared" si="653"/>
        <v>0</v>
      </c>
      <c r="AQ477" s="264">
        <f t="shared" si="653"/>
        <v>0</v>
      </c>
      <c r="AR477" s="43">
        <f t="shared" si="653"/>
        <v>81252714</v>
      </c>
      <c r="AS477" s="30">
        <f t="shared" si="653"/>
        <v>59485360</v>
      </c>
      <c r="AT477" s="30">
        <f t="shared" si="653"/>
        <v>162500</v>
      </c>
      <c r="AU477" s="30">
        <f t="shared" si="653"/>
        <v>20160976</v>
      </c>
      <c r="AV477" s="30">
        <f t="shared" si="653"/>
        <v>1189708</v>
      </c>
      <c r="AW477" s="30">
        <f t="shared" si="653"/>
        <v>254170</v>
      </c>
      <c r="AX477" s="31">
        <f t="shared" si="653"/>
        <v>110.37820000000001</v>
      </c>
      <c r="AY477" s="31">
        <f t="shared" si="653"/>
        <v>98.242699999999985</v>
      </c>
      <c r="AZ477" s="264">
        <f t="shared" si="653"/>
        <v>12.135499999999997</v>
      </c>
    </row>
    <row r="478" spans="1:52" customFormat="1" ht="13.5" thickBot="1" x14ac:dyDescent="0.25">
      <c r="D478" s="27"/>
      <c r="E478" s="28"/>
      <c r="F478" s="27"/>
      <c r="G478" s="46"/>
      <c r="H478" s="162">
        <v>3233</v>
      </c>
      <c r="I478" s="32">
        <f t="shared" ref="I478:AZ478" si="654">SUMIF($F$12:$F$465,"=3233",I$12:I$465)</f>
        <v>13174303</v>
      </c>
      <c r="J478" s="33">
        <f t="shared" si="654"/>
        <v>8003422</v>
      </c>
      <c r="K478" s="33">
        <f t="shared" si="654"/>
        <v>1771000</v>
      </c>
      <c r="L478" s="33">
        <f t="shared" si="654"/>
        <v>3221621</v>
      </c>
      <c r="M478" s="33">
        <f t="shared" si="654"/>
        <v>160068</v>
      </c>
      <c r="N478" s="33">
        <f t="shared" si="654"/>
        <v>18192</v>
      </c>
      <c r="O478" s="156">
        <f t="shared" si="654"/>
        <v>17.62</v>
      </c>
      <c r="P478" s="156">
        <f t="shared" si="654"/>
        <v>11.42</v>
      </c>
      <c r="Q478" s="506">
        <f t="shared" si="654"/>
        <v>6.2</v>
      </c>
      <c r="R478" s="32">
        <f t="shared" si="654"/>
        <v>0</v>
      </c>
      <c r="S478" s="33">
        <f t="shared" si="654"/>
        <v>0</v>
      </c>
      <c r="T478" s="33">
        <f t="shared" si="654"/>
        <v>423137</v>
      </c>
      <c r="U478" s="33">
        <f t="shared" si="654"/>
        <v>0</v>
      </c>
      <c r="V478" s="33">
        <f t="shared" si="654"/>
        <v>423137</v>
      </c>
      <c r="W478" s="33">
        <f t="shared" si="654"/>
        <v>0</v>
      </c>
      <c r="X478" s="33">
        <f t="shared" si="654"/>
        <v>0</v>
      </c>
      <c r="Y478" s="33">
        <f t="shared" si="654"/>
        <v>0</v>
      </c>
      <c r="Z478" s="33">
        <f t="shared" si="654"/>
        <v>0</v>
      </c>
      <c r="AA478" s="33">
        <f t="shared" si="654"/>
        <v>423137</v>
      </c>
      <c r="AB478" s="33">
        <f t="shared" si="654"/>
        <v>143020</v>
      </c>
      <c r="AC478" s="33">
        <f t="shared" si="654"/>
        <v>8463</v>
      </c>
      <c r="AD478" s="33">
        <f t="shared" si="654"/>
        <v>0</v>
      </c>
      <c r="AE478" s="33">
        <f t="shared" si="654"/>
        <v>106878</v>
      </c>
      <c r="AF478" s="33">
        <f t="shared" si="654"/>
        <v>106878</v>
      </c>
      <c r="AG478" s="33">
        <f t="shared" si="654"/>
        <v>681498</v>
      </c>
      <c r="AH478" s="156">
        <f t="shared" si="654"/>
        <v>0</v>
      </c>
      <c r="AI478" s="156">
        <f t="shared" si="654"/>
        <v>0</v>
      </c>
      <c r="AJ478" s="156">
        <f t="shared" si="654"/>
        <v>0</v>
      </c>
      <c r="AK478" s="156">
        <f t="shared" si="654"/>
        <v>0</v>
      </c>
      <c r="AL478" s="156">
        <f t="shared" si="654"/>
        <v>0</v>
      </c>
      <c r="AM478" s="156">
        <f t="shared" si="654"/>
        <v>0</v>
      </c>
      <c r="AN478" s="156">
        <f t="shared" si="654"/>
        <v>0</v>
      </c>
      <c r="AO478" s="156">
        <f t="shared" si="654"/>
        <v>0</v>
      </c>
      <c r="AP478" s="156">
        <f t="shared" si="654"/>
        <v>0</v>
      </c>
      <c r="AQ478" s="265">
        <f t="shared" si="654"/>
        <v>0</v>
      </c>
      <c r="AR478" s="161">
        <f t="shared" si="654"/>
        <v>13855801</v>
      </c>
      <c r="AS478" s="33">
        <f t="shared" si="654"/>
        <v>8426559</v>
      </c>
      <c r="AT478" s="33">
        <f t="shared" si="654"/>
        <v>1771000</v>
      </c>
      <c r="AU478" s="33">
        <f t="shared" si="654"/>
        <v>3364641</v>
      </c>
      <c r="AV478" s="33">
        <f t="shared" si="654"/>
        <v>168531</v>
      </c>
      <c r="AW478" s="33">
        <f t="shared" si="654"/>
        <v>125070</v>
      </c>
      <c r="AX478" s="156">
        <f t="shared" si="654"/>
        <v>17.62</v>
      </c>
      <c r="AY478" s="156">
        <f t="shared" si="654"/>
        <v>11.42</v>
      </c>
      <c r="AZ478" s="265">
        <f t="shared" si="654"/>
        <v>6.2</v>
      </c>
    </row>
    <row r="480" spans="1:52" x14ac:dyDescent="0.2">
      <c r="I480" s="58"/>
      <c r="J480" s="58"/>
      <c r="K480" s="58"/>
      <c r="L480" s="58"/>
      <c r="M480" s="58"/>
      <c r="N480" s="58"/>
      <c r="O480" s="58"/>
      <c r="P480" s="58"/>
      <c r="Q480" s="58"/>
    </row>
    <row r="481" spans="1:52" x14ac:dyDescent="0.2">
      <c r="E481" s="57"/>
      <c r="I481" s="58"/>
      <c r="J481" s="58"/>
      <c r="K481" s="58"/>
      <c r="L481" s="58"/>
      <c r="M481" s="58"/>
      <c r="N481" s="58"/>
      <c r="O481" s="58"/>
      <c r="P481" s="58"/>
      <c r="Q481" s="58"/>
    </row>
    <row r="482" spans="1:52" x14ac:dyDescent="0.2">
      <c r="E482" s="57"/>
      <c r="O482" s="59"/>
    </row>
    <row r="483" spans="1:52" x14ac:dyDescent="0.2">
      <c r="E483" s="57"/>
    </row>
    <row r="484" spans="1:52" s="58" customFormat="1" x14ac:dyDescent="0.2">
      <c r="B484" s="57"/>
      <c r="C484" s="57"/>
      <c r="D484" s="57"/>
      <c r="E484" s="57"/>
      <c r="I484" s="442"/>
      <c r="J484" s="442"/>
      <c r="K484" s="442"/>
      <c r="L484" s="442"/>
      <c r="M484" s="442"/>
      <c r="N484" s="442"/>
      <c r="O484" s="192"/>
      <c r="P484" s="192"/>
      <c r="Q484" s="192"/>
      <c r="R484" s="442"/>
      <c r="S484" s="442"/>
      <c r="T484" s="442"/>
      <c r="U484" s="442"/>
      <c r="V484" s="442"/>
      <c r="W484" s="442"/>
      <c r="X484" s="442"/>
      <c r="Y484" s="442"/>
      <c r="Z484" s="442"/>
      <c r="AA484" s="442"/>
      <c r="AB484" s="442"/>
      <c r="AC484" s="442"/>
      <c r="AD484" s="442"/>
      <c r="AE484" s="442"/>
      <c r="AF484" s="442"/>
      <c r="AG484" s="442"/>
      <c r="AH484" s="192"/>
      <c r="AI484" s="192"/>
      <c r="AJ484" s="192"/>
      <c r="AK484" s="192"/>
      <c r="AL484" s="192"/>
      <c r="AM484" s="192"/>
      <c r="AN484" s="192"/>
      <c r="AO484" s="192"/>
      <c r="AP484" s="192"/>
      <c r="AQ484" s="192"/>
      <c r="AR484" s="442"/>
      <c r="AS484" s="442"/>
      <c r="AT484" s="442"/>
      <c r="AU484" s="442"/>
      <c r="AV484" s="442"/>
      <c r="AW484" s="442"/>
      <c r="AX484" s="192"/>
      <c r="AY484" s="192"/>
      <c r="AZ484" s="192"/>
    </row>
    <row r="485" spans="1:52" x14ac:dyDescent="0.2">
      <c r="E485" s="57"/>
    </row>
    <row r="486" spans="1:52" s="58" customFormat="1" x14ac:dyDescent="0.2">
      <c r="B486" s="57"/>
      <c r="C486" s="57"/>
      <c r="D486" s="57"/>
      <c r="E486" s="57"/>
      <c r="I486" s="442"/>
      <c r="J486" s="442"/>
      <c r="K486" s="442"/>
      <c r="L486" s="442"/>
      <c r="M486" s="442"/>
      <c r="N486" s="442"/>
      <c r="O486" s="192"/>
      <c r="P486" s="192"/>
      <c r="Q486" s="192"/>
      <c r="R486" s="442"/>
      <c r="S486" s="442"/>
      <c r="T486" s="442"/>
      <c r="U486" s="442"/>
      <c r="V486" s="442"/>
      <c r="W486" s="442"/>
      <c r="X486" s="442"/>
      <c r="Y486" s="442"/>
      <c r="Z486" s="442"/>
      <c r="AA486" s="442"/>
      <c r="AB486" s="442"/>
      <c r="AC486" s="442"/>
      <c r="AD486" s="442"/>
      <c r="AE486" s="442"/>
      <c r="AF486" s="442"/>
      <c r="AG486" s="442"/>
      <c r="AH486" s="192"/>
      <c r="AI486" s="192"/>
      <c r="AJ486" s="192"/>
      <c r="AK486" s="192"/>
      <c r="AL486" s="192"/>
      <c r="AM486" s="192"/>
      <c r="AN486" s="192"/>
      <c r="AO486" s="192"/>
      <c r="AP486" s="192"/>
      <c r="AQ486" s="192"/>
      <c r="AR486" s="442"/>
      <c r="AS486" s="442"/>
      <c r="AT486" s="442"/>
      <c r="AU486" s="442"/>
      <c r="AV486" s="442"/>
      <c r="AW486" s="442"/>
      <c r="AX486" s="192"/>
      <c r="AY486" s="192"/>
      <c r="AZ486" s="192"/>
    </row>
    <row r="487" spans="1:52" s="58" customFormat="1" x14ac:dyDescent="0.2">
      <c r="B487" s="57"/>
      <c r="C487" s="57"/>
      <c r="D487" s="57"/>
      <c r="E487" s="57"/>
      <c r="I487" s="442"/>
      <c r="J487" s="442"/>
      <c r="K487" s="442"/>
      <c r="L487" s="442"/>
      <c r="M487" s="442"/>
      <c r="N487" s="442"/>
      <c r="O487" s="192"/>
      <c r="P487" s="192"/>
      <c r="Q487" s="192"/>
      <c r="R487" s="442"/>
      <c r="S487" s="442"/>
      <c r="T487" s="442"/>
      <c r="U487" s="442"/>
      <c r="V487" s="442"/>
      <c r="W487" s="442"/>
      <c r="X487" s="442"/>
      <c r="Y487" s="442"/>
      <c r="Z487" s="442"/>
      <c r="AA487" s="442"/>
      <c r="AB487" s="442"/>
      <c r="AC487" s="442"/>
      <c r="AD487" s="442"/>
      <c r="AE487" s="442"/>
      <c r="AF487" s="442"/>
      <c r="AG487" s="442"/>
      <c r="AH487" s="192"/>
      <c r="AI487" s="192"/>
      <c r="AJ487" s="192"/>
      <c r="AK487" s="192"/>
      <c r="AL487" s="192"/>
      <c r="AM487" s="192"/>
      <c r="AN487" s="192"/>
      <c r="AO487" s="192"/>
      <c r="AP487" s="192"/>
      <c r="AQ487" s="192"/>
      <c r="AR487" s="442"/>
      <c r="AS487" s="442"/>
      <c r="AT487" s="442"/>
      <c r="AU487" s="442"/>
      <c r="AV487" s="442"/>
      <c r="AW487" s="442"/>
      <c r="AX487" s="192"/>
      <c r="AY487" s="192"/>
      <c r="AZ487" s="192"/>
    </row>
    <row r="488" spans="1:52" s="59" customFormat="1" x14ac:dyDescent="0.2">
      <c r="A488" s="58"/>
      <c r="B488" s="57"/>
      <c r="C488" s="57"/>
      <c r="D488" s="57"/>
      <c r="E488" s="57"/>
      <c r="F488" s="58"/>
      <c r="G488" s="58"/>
      <c r="H488" s="58"/>
      <c r="O488" s="97"/>
      <c r="P488" s="97"/>
      <c r="Q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X488" s="97"/>
      <c r="AY488" s="97"/>
      <c r="AZ488" s="97"/>
    </row>
    <row r="489" spans="1:52" s="59" customFormat="1" x14ac:dyDescent="0.2">
      <c r="A489" s="58"/>
      <c r="B489" s="57"/>
      <c r="C489" s="57"/>
      <c r="D489" s="57"/>
      <c r="E489" s="57"/>
      <c r="F489" s="58"/>
      <c r="G489" s="58"/>
      <c r="H489" s="58"/>
      <c r="O489" s="97"/>
      <c r="P489" s="97"/>
      <c r="Q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X489" s="97"/>
      <c r="AY489" s="97"/>
      <c r="AZ489" s="97"/>
    </row>
    <row r="490" spans="1:52" s="59" customFormat="1" x14ac:dyDescent="0.2">
      <c r="A490" s="58"/>
      <c r="B490" s="57"/>
      <c r="C490" s="57"/>
      <c r="D490" s="57"/>
      <c r="E490" s="57"/>
      <c r="F490" s="58"/>
      <c r="G490" s="58"/>
      <c r="H490" s="58"/>
      <c r="O490" s="97"/>
      <c r="P490" s="97"/>
      <c r="Q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X490" s="97"/>
      <c r="AY490" s="97"/>
      <c r="AZ490" s="97"/>
    </row>
    <row r="491" spans="1:52" s="59" customFormat="1" x14ac:dyDescent="0.2">
      <c r="A491" s="58"/>
      <c r="B491" s="57"/>
      <c r="C491" s="57"/>
      <c r="D491" s="57"/>
      <c r="E491" s="57"/>
      <c r="F491" s="58"/>
      <c r="G491" s="58"/>
      <c r="H491" s="58"/>
      <c r="O491" s="97"/>
      <c r="P491" s="97"/>
      <c r="Q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X491" s="97"/>
      <c r="AY491" s="97"/>
      <c r="AZ491" s="97"/>
    </row>
    <row r="492" spans="1:52" x14ac:dyDescent="0.2">
      <c r="E492" s="57"/>
    </row>
    <row r="494" spans="1:52" s="59" customFormat="1" ht="15" customHeight="1" x14ac:dyDescent="0.2">
      <c r="A494" s="58"/>
      <c r="B494" s="57"/>
      <c r="C494" s="57"/>
      <c r="D494" s="57"/>
      <c r="E494" s="58"/>
      <c r="F494" s="58"/>
      <c r="G494" s="58"/>
      <c r="H494" s="58"/>
      <c r="O494" s="97"/>
      <c r="P494" s="97"/>
      <c r="Q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X494" s="97"/>
      <c r="AY494" s="97"/>
      <c r="AZ494" s="97"/>
    </row>
    <row r="495" spans="1:52" s="59" customFormat="1" ht="15" customHeight="1" x14ac:dyDescent="0.2">
      <c r="A495" s="58"/>
      <c r="B495" s="57"/>
      <c r="C495" s="57"/>
      <c r="D495" s="57"/>
      <c r="E495" s="58"/>
      <c r="F495" s="58"/>
      <c r="G495" s="58"/>
      <c r="H495" s="58"/>
      <c r="O495" s="97"/>
      <c r="P495" s="97"/>
      <c r="Q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X495" s="97"/>
      <c r="AY495" s="97"/>
      <c r="AZ495" s="97"/>
    </row>
    <row r="496" spans="1:52" s="59" customFormat="1" ht="15" customHeight="1" x14ac:dyDescent="0.2">
      <c r="A496" s="58"/>
      <c r="B496" s="57"/>
      <c r="C496" s="57"/>
      <c r="D496" s="57"/>
      <c r="E496" s="58"/>
      <c r="F496" s="58"/>
      <c r="G496" s="58"/>
      <c r="H496" s="58"/>
      <c r="O496" s="97"/>
      <c r="P496" s="97"/>
      <c r="Q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X496" s="97"/>
      <c r="AY496" s="97"/>
      <c r="AZ496" s="97"/>
    </row>
    <row r="497" spans="1:52" s="59" customFormat="1" ht="15" customHeight="1" x14ac:dyDescent="0.2">
      <c r="A497" s="58"/>
      <c r="B497" s="57"/>
      <c r="C497" s="57"/>
      <c r="D497" s="57"/>
      <c r="E497" s="58"/>
      <c r="F497" s="58"/>
      <c r="G497" s="58"/>
      <c r="H497" s="58"/>
      <c r="O497" s="97"/>
      <c r="P497" s="97"/>
      <c r="Q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X497" s="97"/>
      <c r="AY497" s="97"/>
      <c r="AZ497" s="97"/>
    </row>
    <row r="498" spans="1:52" s="59" customFormat="1" ht="15" customHeight="1" x14ac:dyDescent="0.2">
      <c r="A498" s="58"/>
      <c r="B498" s="57"/>
      <c r="C498" s="57"/>
      <c r="D498" s="57"/>
      <c r="E498" s="58"/>
      <c r="F498" s="58"/>
      <c r="G498" s="58"/>
      <c r="H498" s="58"/>
      <c r="O498" s="97"/>
      <c r="P498" s="97"/>
      <c r="Q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X498" s="97"/>
      <c r="AY498" s="97"/>
      <c r="AZ498" s="97"/>
    </row>
    <row r="499" spans="1:52" s="59" customFormat="1" ht="15" customHeight="1" x14ac:dyDescent="0.2">
      <c r="A499" s="58"/>
      <c r="B499" s="57"/>
      <c r="C499" s="57"/>
      <c r="D499" s="57"/>
      <c r="E499" s="58"/>
      <c r="F499" s="58"/>
      <c r="G499" s="58"/>
      <c r="H499" s="58"/>
      <c r="O499" s="97"/>
      <c r="P499" s="97"/>
      <c r="Q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X499" s="97"/>
      <c r="AY499" s="97"/>
      <c r="AZ499" s="97"/>
    </row>
    <row r="500" spans="1:52" s="59" customFormat="1" ht="15" customHeight="1" x14ac:dyDescent="0.2">
      <c r="A500" s="58"/>
      <c r="B500" s="57"/>
      <c r="C500" s="57"/>
      <c r="D500" s="57"/>
      <c r="E500" s="58"/>
      <c r="F500" s="58"/>
      <c r="G500" s="58"/>
      <c r="H500" s="58"/>
      <c r="O500" s="97"/>
      <c r="P500" s="97"/>
      <c r="Q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X500" s="97"/>
      <c r="AY500" s="97"/>
      <c r="AZ500" s="97"/>
    </row>
    <row r="501" spans="1:52" s="59" customFormat="1" ht="15" customHeight="1" x14ac:dyDescent="0.2">
      <c r="A501" s="58"/>
      <c r="B501" s="57"/>
      <c r="C501" s="57"/>
      <c r="D501" s="57"/>
      <c r="E501" s="58"/>
      <c r="F501" s="58"/>
      <c r="G501" s="58"/>
      <c r="H501" s="58"/>
      <c r="O501" s="97"/>
      <c r="P501" s="97"/>
      <c r="Q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X501" s="97"/>
      <c r="AY501" s="97"/>
      <c r="AZ501" s="97"/>
    </row>
    <row r="502" spans="1:52" s="59" customFormat="1" ht="15" customHeight="1" x14ac:dyDescent="0.2">
      <c r="A502" s="58"/>
      <c r="B502" s="57"/>
      <c r="C502" s="57"/>
      <c r="D502" s="57"/>
      <c r="E502" s="58"/>
      <c r="F502" s="58"/>
      <c r="G502" s="58"/>
      <c r="H502" s="58"/>
      <c r="O502" s="97"/>
      <c r="P502" s="97"/>
      <c r="Q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X502" s="97"/>
      <c r="AY502" s="97"/>
      <c r="AZ502" s="97"/>
    </row>
    <row r="503" spans="1:52" s="59" customFormat="1" ht="15" customHeight="1" x14ac:dyDescent="0.2">
      <c r="A503" s="58"/>
      <c r="B503" s="57"/>
      <c r="C503" s="57"/>
      <c r="D503" s="57"/>
      <c r="E503" s="58"/>
      <c r="F503" s="58"/>
      <c r="G503" s="58"/>
      <c r="H503" s="58"/>
      <c r="O503" s="97"/>
      <c r="P503" s="97"/>
      <c r="Q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X503" s="97"/>
      <c r="AY503" s="97"/>
      <c r="AZ503" s="97"/>
    </row>
    <row r="504" spans="1:52" s="59" customFormat="1" ht="15" customHeight="1" x14ac:dyDescent="0.2">
      <c r="A504" s="58"/>
      <c r="B504" s="57"/>
      <c r="C504" s="57"/>
      <c r="D504" s="57"/>
      <c r="E504" s="58"/>
      <c r="F504" s="58"/>
      <c r="G504" s="58"/>
      <c r="H504" s="58"/>
      <c r="O504" s="97"/>
      <c r="P504" s="97"/>
      <c r="Q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X504" s="97"/>
      <c r="AY504" s="97"/>
      <c r="AZ504" s="97"/>
    </row>
    <row r="505" spans="1:52" s="59" customFormat="1" ht="15" customHeight="1" x14ac:dyDescent="0.2">
      <c r="A505" s="58"/>
      <c r="B505" s="57"/>
      <c r="C505" s="57"/>
      <c r="D505" s="57"/>
      <c r="E505" s="58"/>
      <c r="F505" s="98"/>
      <c r="G505" s="58"/>
      <c r="H505" s="58"/>
      <c r="O505" s="97"/>
      <c r="P505" s="97"/>
      <c r="Q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X505" s="97"/>
      <c r="AY505" s="97"/>
      <c r="AZ505" s="97"/>
    </row>
    <row r="506" spans="1:52" s="59" customFormat="1" ht="15" customHeight="1" x14ac:dyDescent="0.2">
      <c r="A506" s="58"/>
      <c r="B506" s="57"/>
      <c r="C506" s="57"/>
      <c r="D506" s="57"/>
      <c r="E506" s="58"/>
      <c r="F506" s="98"/>
      <c r="G506" s="58"/>
      <c r="H506" s="58"/>
      <c r="O506" s="97"/>
      <c r="P506" s="97"/>
      <c r="Q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X506" s="97"/>
      <c r="AY506" s="97"/>
      <c r="AZ506" s="97"/>
    </row>
    <row r="507" spans="1:52" s="59" customFormat="1" ht="15" customHeight="1" x14ac:dyDescent="0.2">
      <c r="A507" s="58"/>
      <c r="B507" s="57"/>
      <c r="C507" s="57"/>
      <c r="D507" s="57"/>
      <c r="E507" s="58"/>
      <c r="F507" s="98"/>
      <c r="G507" s="58"/>
      <c r="H507" s="58"/>
      <c r="O507" s="97"/>
      <c r="P507" s="97"/>
      <c r="Q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X507" s="97"/>
      <c r="AY507" s="97"/>
      <c r="AZ507" s="97"/>
    </row>
    <row r="508" spans="1:52" s="59" customFormat="1" ht="15" customHeight="1" x14ac:dyDescent="0.2">
      <c r="A508" s="58"/>
      <c r="B508" s="57"/>
      <c r="C508" s="57"/>
      <c r="D508" s="57"/>
      <c r="E508" s="58"/>
      <c r="F508" s="98"/>
      <c r="G508" s="58"/>
      <c r="H508" s="58"/>
      <c r="O508" s="97"/>
      <c r="P508" s="97"/>
      <c r="Q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X508" s="97"/>
      <c r="AY508" s="97"/>
      <c r="AZ508" s="97"/>
    </row>
    <row r="509" spans="1:52" s="59" customFormat="1" ht="15" customHeight="1" x14ac:dyDescent="0.2">
      <c r="A509" s="58"/>
      <c r="B509" s="57"/>
      <c r="C509" s="57"/>
      <c r="D509" s="57"/>
      <c r="E509" s="58"/>
      <c r="F509" s="98"/>
      <c r="G509" s="58"/>
      <c r="H509" s="58"/>
      <c r="O509" s="97"/>
      <c r="P509" s="97"/>
      <c r="Q509" s="97"/>
      <c r="AH509" s="97"/>
      <c r="AI509" s="97"/>
      <c r="AJ509" s="97"/>
      <c r="AK509" s="97"/>
      <c r="AL509" s="97"/>
      <c r="AM509" s="97"/>
      <c r="AN509" s="97"/>
      <c r="AO509" s="97"/>
      <c r="AP509" s="97"/>
      <c r="AQ509" s="97"/>
      <c r="AX509" s="97"/>
      <c r="AY509" s="97"/>
      <c r="AZ509" s="97"/>
    </row>
    <row r="535" spans="1:52" s="59" customFormat="1" ht="15" customHeight="1" x14ac:dyDescent="0.2">
      <c r="A535" s="58"/>
      <c r="B535" s="57"/>
      <c r="C535" s="57"/>
      <c r="D535" s="57"/>
      <c r="E535" s="58"/>
      <c r="F535" s="98"/>
      <c r="G535" s="58"/>
      <c r="H535" s="58"/>
      <c r="O535" s="97"/>
      <c r="P535" s="97"/>
      <c r="Q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X535" s="97"/>
      <c r="AY535" s="97"/>
      <c r="AZ535" s="97"/>
    </row>
    <row r="536" spans="1:52" s="59" customFormat="1" ht="15" customHeight="1" x14ac:dyDescent="0.2">
      <c r="A536" s="58"/>
      <c r="B536" s="57"/>
      <c r="C536" s="57"/>
      <c r="D536" s="57"/>
      <c r="E536" s="58"/>
      <c r="F536" s="98"/>
      <c r="G536" s="58"/>
      <c r="H536" s="58"/>
      <c r="O536" s="97"/>
      <c r="P536" s="97"/>
      <c r="Q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X536" s="97"/>
      <c r="AY536" s="97"/>
      <c r="AZ536" s="97"/>
    </row>
    <row r="554" spans="1:52" s="59" customFormat="1" x14ac:dyDescent="0.2">
      <c r="A554" s="58"/>
      <c r="B554" s="57"/>
      <c r="C554" s="57"/>
      <c r="D554" s="57"/>
      <c r="E554" s="98"/>
      <c r="F554" s="58"/>
      <c r="G554" s="58"/>
      <c r="H554" s="58"/>
      <c r="O554" s="97"/>
      <c r="P554" s="97"/>
      <c r="Q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X554" s="97"/>
      <c r="AY554" s="97"/>
      <c r="AZ554" s="97"/>
    </row>
    <row r="555" spans="1:52" s="59" customFormat="1" x14ac:dyDescent="0.2">
      <c r="A555" s="58"/>
      <c r="B555" s="57"/>
      <c r="C555" s="57"/>
      <c r="D555" s="57"/>
      <c r="E555" s="98"/>
      <c r="F555" s="58"/>
      <c r="G555" s="58"/>
      <c r="H555" s="58"/>
      <c r="O555" s="97"/>
      <c r="P555" s="97"/>
      <c r="Q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X555" s="97"/>
      <c r="AY555" s="97"/>
      <c r="AZ555" s="97"/>
    </row>
    <row r="563" spans="1:52" s="59" customFormat="1" x14ac:dyDescent="0.2">
      <c r="A563" s="58"/>
      <c r="B563" s="57"/>
      <c r="C563" s="57"/>
      <c r="D563" s="57"/>
      <c r="E563" s="58"/>
      <c r="F563" s="58"/>
      <c r="G563" s="58"/>
      <c r="H563" s="58"/>
      <c r="O563" s="97"/>
      <c r="P563" s="97"/>
      <c r="Q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X563" s="97"/>
      <c r="AY563" s="97"/>
      <c r="AZ563" s="97"/>
    </row>
    <row r="564" spans="1:52" s="59" customFormat="1" ht="15" customHeight="1" x14ac:dyDescent="0.2">
      <c r="A564" s="58"/>
      <c r="B564" s="57"/>
      <c r="C564" s="57"/>
      <c r="D564" s="57"/>
      <c r="E564" s="58"/>
      <c r="F564" s="58"/>
      <c r="G564" s="98"/>
      <c r="H564" s="58"/>
      <c r="O564" s="97"/>
      <c r="P564" s="97"/>
      <c r="Q564" s="97"/>
      <c r="AH564" s="97"/>
      <c r="AI564" s="97"/>
      <c r="AJ564" s="97"/>
      <c r="AK564" s="97"/>
      <c r="AL564" s="97"/>
      <c r="AM564" s="97"/>
      <c r="AN564" s="97"/>
      <c r="AO564" s="97"/>
      <c r="AP564" s="97"/>
      <c r="AQ564" s="97"/>
      <c r="AX564" s="97"/>
      <c r="AY564" s="97"/>
      <c r="AZ564" s="97"/>
    </row>
    <row r="565" spans="1:52" s="59" customFormat="1" ht="15" customHeight="1" x14ac:dyDescent="0.2">
      <c r="A565" s="58"/>
      <c r="B565" s="57"/>
      <c r="C565" s="57"/>
      <c r="D565" s="57"/>
      <c r="E565" s="58"/>
      <c r="F565" s="58"/>
      <c r="G565" s="98"/>
      <c r="H565" s="58"/>
      <c r="O565" s="97"/>
      <c r="P565" s="97"/>
      <c r="Q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X565" s="97"/>
      <c r="AY565" s="97"/>
      <c r="AZ565" s="97"/>
    </row>
    <row r="566" spans="1:52" s="59" customFormat="1" ht="15" customHeight="1" x14ac:dyDescent="0.2">
      <c r="A566" s="58"/>
      <c r="B566" s="57"/>
      <c r="C566" s="57"/>
      <c r="D566" s="57"/>
      <c r="E566" s="58"/>
      <c r="F566" s="58"/>
      <c r="G566" s="98"/>
      <c r="H566" s="58"/>
      <c r="O566" s="97"/>
      <c r="P566" s="97"/>
      <c r="Q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X566" s="97"/>
      <c r="AY566" s="97"/>
      <c r="AZ566" s="97"/>
    </row>
    <row r="567" spans="1:52" s="59" customFormat="1" ht="15" customHeight="1" x14ac:dyDescent="0.2">
      <c r="A567" s="58"/>
      <c r="B567" s="57"/>
      <c r="C567" s="57"/>
      <c r="D567" s="57"/>
      <c r="E567" s="58"/>
      <c r="F567" s="58"/>
      <c r="G567" s="98"/>
      <c r="H567" s="58"/>
      <c r="O567" s="97"/>
      <c r="P567" s="97"/>
      <c r="Q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X567" s="97"/>
      <c r="AY567" s="97"/>
      <c r="AZ567" s="97"/>
    </row>
    <row r="568" spans="1:52" s="59" customFormat="1" ht="15" customHeight="1" x14ac:dyDescent="0.2">
      <c r="A568" s="58"/>
      <c r="B568" s="57"/>
      <c r="C568" s="57"/>
      <c r="D568" s="57"/>
      <c r="E568" s="58"/>
      <c r="F568" s="58"/>
      <c r="G568" s="98"/>
      <c r="H568" s="58"/>
      <c r="O568" s="97"/>
      <c r="P568" s="97"/>
      <c r="Q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X568" s="97"/>
      <c r="AY568" s="97"/>
      <c r="AZ568" s="97"/>
    </row>
    <row r="569" spans="1:52" s="59" customFormat="1" ht="15" customHeight="1" x14ac:dyDescent="0.2">
      <c r="A569" s="58"/>
      <c r="B569" s="57"/>
      <c r="C569" s="57"/>
      <c r="D569" s="57"/>
      <c r="E569" s="58"/>
      <c r="F569" s="58"/>
      <c r="G569" s="98"/>
      <c r="H569" s="58"/>
      <c r="O569" s="97"/>
      <c r="P569" s="97"/>
      <c r="Q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X569" s="97"/>
      <c r="AY569" s="97"/>
      <c r="AZ569" s="97"/>
    </row>
    <row r="570" spans="1:52" s="59" customFormat="1" ht="15" customHeight="1" x14ac:dyDescent="0.2">
      <c r="A570" s="58"/>
      <c r="B570" s="57"/>
      <c r="C570" s="57"/>
      <c r="D570" s="57"/>
      <c r="E570" s="58"/>
      <c r="F570" s="58"/>
      <c r="G570" s="98"/>
      <c r="H570" s="58"/>
      <c r="O570" s="97"/>
      <c r="P570" s="97"/>
      <c r="Q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X570" s="97"/>
      <c r="AY570" s="97"/>
      <c r="AZ570" s="97"/>
    </row>
    <row r="571" spans="1:52" s="59" customFormat="1" ht="15" customHeight="1" x14ac:dyDescent="0.2">
      <c r="A571" s="58"/>
      <c r="B571" s="57"/>
      <c r="C571" s="57"/>
      <c r="D571" s="57"/>
      <c r="E571" s="58"/>
      <c r="F571" s="58"/>
      <c r="G571" s="98"/>
      <c r="H571" s="58"/>
      <c r="O571" s="97"/>
      <c r="P571" s="97"/>
      <c r="Q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X571" s="97"/>
      <c r="AY571" s="97"/>
      <c r="AZ571" s="97"/>
    </row>
    <row r="572" spans="1:52" s="59" customFormat="1" ht="15" customHeight="1" x14ac:dyDescent="0.2">
      <c r="A572" s="58"/>
      <c r="B572" s="57"/>
      <c r="C572" s="57"/>
      <c r="D572" s="57"/>
      <c r="E572" s="58"/>
      <c r="F572" s="58"/>
      <c r="G572" s="98"/>
      <c r="H572" s="58"/>
      <c r="O572" s="97"/>
      <c r="P572" s="97"/>
      <c r="Q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X572" s="97"/>
      <c r="AY572" s="97"/>
      <c r="AZ572" s="97"/>
    </row>
    <row r="573" spans="1:52" s="59" customFormat="1" ht="15" customHeight="1" x14ac:dyDescent="0.2">
      <c r="A573" s="58"/>
      <c r="B573" s="57"/>
      <c r="C573" s="57"/>
      <c r="D573" s="57"/>
      <c r="E573" s="58"/>
      <c r="F573" s="58"/>
      <c r="G573" s="98"/>
      <c r="H573" s="58"/>
      <c r="O573" s="97"/>
      <c r="P573" s="97"/>
      <c r="Q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X573" s="97"/>
      <c r="AY573" s="97"/>
      <c r="AZ573" s="97"/>
    </row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86" spans="5:5" x14ac:dyDescent="0.2">
      <c r="E686" s="57"/>
    </row>
    <row r="687" spans="5:5" x14ac:dyDescent="0.2">
      <c r="E687" s="57"/>
    </row>
    <row r="688" spans="5:5" x14ac:dyDescent="0.2">
      <c r="E688" s="57"/>
    </row>
    <row r="689" spans="5:5" x14ac:dyDescent="0.2">
      <c r="E689" s="57"/>
    </row>
    <row r="690" spans="5:5" x14ac:dyDescent="0.2">
      <c r="E690" s="57"/>
    </row>
    <row r="691" spans="5:5" x14ac:dyDescent="0.2">
      <c r="E691" s="57"/>
    </row>
    <row r="692" spans="5:5" x14ac:dyDescent="0.2">
      <c r="E692" s="57"/>
    </row>
    <row r="693" spans="5:5" x14ac:dyDescent="0.2">
      <c r="E693" s="57"/>
    </row>
    <row r="694" spans="5:5" x14ac:dyDescent="0.2">
      <c r="E694" s="57"/>
    </row>
    <row r="695" spans="5:5" x14ac:dyDescent="0.2">
      <c r="E695" s="57"/>
    </row>
    <row r="696" spans="5:5" x14ac:dyDescent="0.2">
      <c r="E696" s="57"/>
    </row>
    <row r="697" spans="5:5" x14ac:dyDescent="0.2">
      <c r="E697" s="57"/>
    </row>
    <row r="698" spans="5:5" x14ac:dyDescent="0.2">
      <c r="E698" s="57"/>
    </row>
    <row r="700" spans="5:5" x14ac:dyDescent="0.2">
      <c r="E700" s="57"/>
    </row>
    <row r="701" spans="5:5" ht="12.75" x14ac:dyDescent="0.2">
      <c r="E701" s="259"/>
    </row>
    <row r="702" spans="5:5" ht="12.75" x14ac:dyDescent="0.2">
      <c r="E702" s="259"/>
    </row>
    <row r="703" spans="5:5" ht="12.75" x14ac:dyDescent="0.2">
      <c r="E703" s="259"/>
    </row>
    <row r="704" spans="5:5" ht="12.75" x14ac:dyDescent="0.2">
      <c r="E704" s="259"/>
    </row>
    <row r="705" spans="5:5" ht="12.75" x14ac:dyDescent="0.2">
      <c r="E705" s="259"/>
    </row>
    <row r="706" spans="5:5" ht="12.75" x14ac:dyDescent="0.2">
      <c r="E706" s="259"/>
    </row>
    <row r="707" spans="5:5" ht="12.75" x14ac:dyDescent="0.2">
      <c r="E707" s="259"/>
    </row>
    <row r="708" spans="5:5" ht="12.75" x14ac:dyDescent="0.2">
      <c r="E708" s="259"/>
    </row>
    <row r="709" spans="5:5" ht="12.75" x14ac:dyDescent="0.2">
      <c r="E709" s="259"/>
    </row>
    <row r="710" spans="5:5" ht="12.75" x14ac:dyDescent="0.2">
      <c r="E710" s="259"/>
    </row>
    <row r="711" spans="5:5" ht="12.75" x14ac:dyDescent="0.2">
      <c r="E711" s="259"/>
    </row>
    <row r="712" spans="5:5" ht="12.75" x14ac:dyDescent="0.2">
      <c r="E712" s="259"/>
    </row>
    <row r="713" spans="5:5" ht="12.75" x14ac:dyDescent="0.2">
      <c r="E713" s="259"/>
    </row>
    <row r="714" spans="5:5" ht="12.75" x14ac:dyDescent="0.2">
      <c r="E714" s="259"/>
    </row>
    <row r="715" spans="5:5" ht="12.75" x14ac:dyDescent="0.2">
      <c r="E715" s="259"/>
    </row>
    <row r="716" spans="5:5" ht="12.75" x14ac:dyDescent="0.2">
      <c r="E716" s="259"/>
    </row>
    <row r="717" spans="5:5" ht="12.75" x14ac:dyDescent="0.2">
      <c r="E717" s="259"/>
    </row>
    <row r="718" spans="5:5" x14ac:dyDescent="0.2">
      <c r="E718" s="57"/>
    </row>
    <row r="719" spans="5:5" x14ac:dyDescent="0.2">
      <c r="E719" s="57"/>
    </row>
    <row r="720" spans="5:5" x14ac:dyDescent="0.2">
      <c r="E720" s="57"/>
    </row>
    <row r="721" spans="5:5" x14ac:dyDescent="0.2">
      <c r="E721" s="57"/>
    </row>
    <row r="722" spans="5:5" x14ac:dyDescent="0.2">
      <c r="E722" s="57"/>
    </row>
    <row r="723" spans="5:5" x14ac:dyDescent="0.2">
      <c r="E723" s="57"/>
    </row>
    <row r="724" spans="5:5" x14ac:dyDescent="0.2">
      <c r="E724" s="57"/>
    </row>
    <row r="725" spans="5:5" x14ac:dyDescent="0.2">
      <c r="E725" s="57"/>
    </row>
    <row r="726" spans="5:5" x14ac:dyDescent="0.2">
      <c r="E726" s="57"/>
    </row>
    <row r="727" spans="5:5" x14ac:dyDescent="0.2">
      <c r="E727" s="57"/>
    </row>
    <row r="728" spans="5:5" x14ac:dyDescent="0.2">
      <c r="E728" s="57"/>
    </row>
    <row r="730" spans="5:5" ht="15" customHeight="1" x14ac:dyDescent="0.2"/>
    <row r="731" spans="5:5" ht="15" customHeight="1" x14ac:dyDescent="0.2"/>
    <row r="732" spans="5:5" ht="15" customHeight="1" x14ac:dyDescent="0.2"/>
    <row r="733" spans="5:5" ht="15" customHeight="1" x14ac:dyDescent="0.2"/>
    <row r="734" spans="5:5" ht="15" customHeight="1" x14ac:dyDescent="0.2"/>
    <row r="735" spans="5:5" ht="15" customHeight="1" x14ac:dyDescent="0.2"/>
    <row r="736" spans="5:5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spans="5:5" ht="15" customHeight="1" x14ac:dyDescent="0.2"/>
    <row r="755" spans="5:5" ht="15" customHeight="1" x14ac:dyDescent="0.2">
      <c r="E755" s="57"/>
    </row>
    <row r="756" spans="5:5" ht="15" customHeight="1" x14ac:dyDescent="0.2">
      <c r="E756" s="57"/>
    </row>
    <row r="757" spans="5:5" ht="15" customHeight="1" x14ac:dyDescent="0.2">
      <c r="E757" s="57"/>
    </row>
    <row r="758" spans="5:5" ht="15" customHeight="1" x14ac:dyDescent="0.2">
      <c r="E758" s="57"/>
    </row>
    <row r="759" spans="5:5" ht="15" customHeight="1" x14ac:dyDescent="0.2">
      <c r="E759" s="57"/>
    </row>
    <row r="760" spans="5:5" ht="15" customHeight="1" x14ac:dyDescent="0.2">
      <c r="E760" s="57"/>
    </row>
    <row r="761" spans="5:5" ht="15" customHeight="1" x14ac:dyDescent="0.2">
      <c r="E761" s="57"/>
    </row>
    <row r="762" spans="5:5" ht="15" customHeight="1" x14ac:dyDescent="0.2">
      <c r="E762" s="57"/>
    </row>
    <row r="763" spans="5:5" ht="15" customHeight="1" x14ac:dyDescent="0.2">
      <c r="E763" s="57"/>
    </row>
    <row r="764" spans="5:5" ht="15" customHeight="1" x14ac:dyDescent="0.2">
      <c r="E764" s="57"/>
    </row>
    <row r="765" spans="5:5" ht="15" customHeight="1" x14ac:dyDescent="0.2">
      <c r="E765" s="57"/>
    </row>
    <row r="766" spans="5:5" ht="15" customHeight="1" x14ac:dyDescent="0.2">
      <c r="E766" s="57"/>
    </row>
    <row r="767" spans="5:5" ht="15" customHeight="1" x14ac:dyDescent="0.2">
      <c r="E767" s="57"/>
    </row>
    <row r="768" spans="5:5" ht="12" customHeight="1" x14ac:dyDescent="0.2">
      <c r="E768" s="57"/>
    </row>
    <row r="769" spans="5:5" ht="12" customHeight="1" x14ac:dyDescent="0.2">
      <c r="E769" s="57"/>
    </row>
    <row r="770" spans="5:5" ht="12" customHeight="1" x14ac:dyDescent="0.2">
      <c r="E770" s="57"/>
    </row>
    <row r="771" spans="5:5" ht="12" customHeight="1" x14ac:dyDescent="0.2">
      <c r="E771" s="57"/>
    </row>
    <row r="772" spans="5:5" ht="12" customHeight="1" x14ac:dyDescent="0.2">
      <c r="E772" s="57"/>
    </row>
    <row r="773" spans="5:5" ht="12" customHeight="1" x14ac:dyDescent="0.2">
      <c r="E773" s="57"/>
    </row>
    <row r="774" spans="5:5" ht="12" customHeight="1" x14ac:dyDescent="0.2">
      <c r="E774" s="57"/>
    </row>
    <row r="775" spans="5:5" ht="12" customHeight="1" x14ac:dyDescent="0.2">
      <c r="E775" s="57"/>
    </row>
    <row r="776" spans="5:5" ht="12" customHeight="1" x14ac:dyDescent="0.2">
      <c r="E776" s="57"/>
    </row>
    <row r="777" spans="5:5" ht="12" customHeight="1" x14ac:dyDescent="0.2">
      <c r="E777" s="57"/>
    </row>
    <row r="778" spans="5:5" ht="12" customHeight="1" x14ac:dyDescent="0.2"/>
    <row r="779" spans="5:5" ht="12" customHeight="1" x14ac:dyDescent="0.2"/>
    <row r="780" spans="5:5" ht="12" customHeight="1" x14ac:dyDescent="0.2"/>
    <row r="781" spans="5:5" ht="12" customHeight="1" x14ac:dyDescent="0.2"/>
    <row r="782" spans="5:5" ht="12" customHeight="1" x14ac:dyDescent="0.2"/>
    <row r="783" spans="5:5" ht="12" customHeight="1" x14ac:dyDescent="0.2"/>
    <row r="784" spans="5:5" ht="12" customHeight="1" x14ac:dyDescent="0.2"/>
    <row r="785" spans="8:14" ht="12" customHeight="1" x14ac:dyDescent="0.2"/>
    <row r="786" spans="8:14" ht="12" customHeight="1" x14ac:dyDescent="0.2"/>
    <row r="787" spans="8:14" ht="12" customHeight="1" x14ac:dyDescent="0.2"/>
    <row r="788" spans="8:14" ht="12" customHeight="1" x14ac:dyDescent="0.2"/>
    <row r="789" spans="8:14" ht="12" customHeight="1" x14ac:dyDescent="0.2"/>
    <row r="790" spans="8:14" ht="12" customHeight="1" x14ac:dyDescent="0.2"/>
    <row r="791" spans="8:14" ht="12" customHeight="1" x14ac:dyDescent="0.2"/>
    <row r="792" spans="8:14" ht="12" customHeight="1" x14ac:dyDescent="0.2"/>
    <row r="793" spans="8:14" ht="12" customHeight="1" x14ac:dyDescent="0.2"/>
    <row r="795" spans="8:14" x14ac:dyDescent="0.2">
      <c r="H795" s="57"/>
      <c r="J795" s="62"/>
      <c r="K795" s="62"/>
      <c r="N795" s="62"/>
    </row>
    <row r="796" spans="8:14" x14ac:dyDescent="0.2">
      <c r="H796" s="57"/>
      <c r="J796" s="62"/>
      <c r="K796" s="62"/>
      <c r="N796" s="62"/>
    </row>
    <row r="797" spans="8:14" x14ac:dyDescent="0.2">
      <c r="H797" s="57"/>
      <c r="J797" s="62"/>
      <c r="K797" s="62"/>
      <c r="N797" s="62"/>
    </row>
    <row r="798" spans="8:14" x14ac:dyDescent="0.2">
      <c r="H798" s="57"/>
      <c r="J798" s="62"/>
      <c r="K798" s="62"/>
      <c r="N798" s="62"/>
    </row>
    <row r="799" spans="8:14" x14ac:dyDescent="0.2">
      <c r="H799" s="57"/>
      <c r="J799" s="62"/>
      <c r="K799" s="62"/>
      <c r="N799" s="62"/>
    </row>
    <row r="801" spans="5:14" x14ac:dyDescent="0.2">
      <c r="E801" s="57"/>
    </row>
    <row r="802" spans="5:14" x14ac:dyDescent="0.2">
      <c r="E802" s="57"/>
    </row>
    <row r="803" spans="5:14" x14ac:dyDescent="0.2">
      <c r="E803" s="57"/>
    </row>
    <row r="804" spans="5:14" x14ac:dyDescent="0.2">
      <c r="E804" s="57"/>
    </row>
    <row r="806" spans="5:14" x14ac:dyDescent="0.2">
      <c r="E806" s="57"/>
      <c r="J806" s="62"/>
      <c r="K806" s="62"/>
      <c r="N806" s="62"/>
    </row>
    <row r="807" spans="5:14" x14ac:dyDescent="0.2">
      <c r="E807" s="57"/>
      <c r="J807" s="62"/>
      <c r="K807" s="62"/>
      <c r="N807" s="62"/>
    </row>
    <row r="808" spans="5:14" x14ac:dyDescent="0.2">
      <c r="E808" s="57"/>
      <c r="J808" s="62"/>
      <c r="K808" s="62"/>
      <c r="N808" s="62"/>
    </row>
    <row r="809" spans="5:14" x14ac:dyDescent="0.2">
      <c r="E809" s="57"/>
      <c r="J809" s="62"/>
      <c r="K809" s="62"/>
      <c r="N809" s="62"/>
    </row>
    <row r="810" spans="5:14" x14ac:dyDescent="0.2">
      <c r="E810" s="57"/>
      <c r="J810" s="62"/>
      <c r="K810" s="62"/>
      <c r="N810" s="62"/>
    </row>
    <row r="811" spans="5:14" x14ac:dyDescent="0.2">
      <c r="E811" s="57"/>
      <c r="J811" s="62"/>
      <c r="K811" s="62"/>
      <c r="N811" s="62"/>
    </row>
    <row r="812" spans="5:14" x14ac:dyDescent="0.2">
      <c r="E812" s="57"/>
      <c r="J812" s="62"/>
      <c r="K812" s="62"/>
      <c r="N812" s="62"/>
    </row>
    <row r="813" spans="5:14" x14ac:dyDescent="0.2">
      <c r="E813" s="57"/>
      <c r="J813" s="62"/>
      <c r="K813" s="62"/>
      <c r="N813" s="62"/>
    </row>
    <row r="814" spans="5:14" x14ac:dyDescent="0.2">
      <c r="E814" s="57"/>
      <c r="J814" s="62"/>
      <c r="K814" s="62"/>
      <c r="N814" s="62"/>
    </row>
    <row r="816" spans="5:14" x14ac:dyDescent="0.2">
      <c r="E816" s="57"/>
      <c r="F816" s="57"/>
      <c r="J816" s="62"/>
      <c r="K816" s="62"/>
      <c r="N816" s="62"/>
    </row>
    <row r="817" spans="4:14" x14ac:dyDescent="0.2">
      <c r="E817" s="57"/>
      <c r="F817" s="57"/>
      <c r="J817" s="62"/>
      <c r="K817" s="62"/>
      <c r="N817" s="62"/>
    </row>
    <row r="818" spans="4:14" x14ac:dyDescent="0.2">
      <c r="E818" s="57"/>
      <c r="F818" s="57"/>
      <c r="J818" s="62"/>
      <c r="K818" s="62"/>
      <c r="N818" s="62"/>
    </row>
    <row r="819" spans="4:14" x14ac:dyDescent="0.2">
      <c r="E819" s="57"/>
      <c r="F819" s="57"/>
      <c r="J819" s="62"/>
      <c r="K819" s="62"/>
      <c r="N819" s="62"/>
    </row>
    <row r="820" spans="4:14" x14ac:dyDescent="0.2">
      <c r="E820" s="57"/>
      <c r="F820" s="57"/>
      <c r="J820" s="62"/>
      <c r="K820" s="62"/>
      <c r="N820" s="62"/>
    </row>
    <row r="821" spans="4:14" x14ac:dyDescent="0.2">
      <c r="E821" s="57"/>
      <c r="F821" s="57"/>
      <c r="J821" s="62"/>
      <c r="K821" s="62"/>
      <c r="N821" s="62"/>
    </row>
    <row r="822" spans="4:14" x14ac:dyDescent="0.2">
      <c r="E822" s="57"/>
      <c r="F822" s="57"/>
      <c r="J822" s="62"/>
      <c r="K822" s="62"/>
      <c r="N822" s="62"/>
    </row>
    <row r="823" spans="4:14" x14ac:dyDescent="0.2">
      <c r="E823" s="57"/>
      <c r="F823" s="57"/>
      <c r="J823" s="62"/>
      <c r="K823" s="62"/>
      <c r="N823" s="62"/>
    </row>
    <row r="824" spans="4:14" x14ac:dyDescent="0.2">
      <c r="E824" s="57"/>
      <c r="F824" s="57"/>
      <c r="J824" s="62"/>
      <c r="K824" s="62"/>
      <c r="N824" s="62"/>
    </row>
    <row r="825" spans="4:14" ht="15" customHeight="1" x14ac:dyDescent="0.2">
      <c r="D825" s="59"/>
      <c r="E825" s="59"/>
      <c r="F825" s="677"/>
      <c r="G825" s="59"/>
    </row>
    <row r="826" spans="4:14" ht="15" customHeight="1" x14ac:dyDescent="0.2">
      <c r="D826" s="59"/>
      <c r="E826" s="59"/>
      <c r="F826" s="677"/>
      <c r="G826" s="59"/>
    </row>
    <row r="827" spans="4:14" ht="15" customHeight="1" x14ac:dyDescent="0.2">
      <c r="D827" s="59"/>
      <c r="E827" s="59"/>
      <c r="F827" s="677"/>
      <c r="G827" s="59"/>
    </row>
    <row r="828" spans="4:14" ht="15" customHeight="1" x14ac:dyDescent="0.2">
      <c r="D828" s="59"/>
      <c r="E828" s="59"/>
      <c r="F828" s="677"/>
      <c r="G828" s="59"/>
    </row>
    <row r="829" spans="4:14" ht="15" customHeight="1" x14ac:dyDescent="0.2">
      <c r="D829" s="59"/>
      <c r="E829" s="59"/>
      <c r="F829" s="677"/>
      <c r="G829" s="59"/>
    </row>
    <row r="830" spans="4:14" ht="15" customHeight="1" x14ac:dyDescent="0.2">
      <c r="D830" s="59"/>
      <c r="E830" s="59"/>
      <c r="F830" s="677"/>
      <c r="G830" s="59"/>
    </row>
    <row r="831" spans="4:14" ht="15" customHeight="1" x14ac:dyDescent="0.2">
      <c r="D831" s="59"/>
      <c r="E831" s="59"/>
      <c r="F831" s="677"/>
      <c r="G831" s="59"/>
    </row>
    <row r="832" spans="4:14" ht="15" customHeight="1" x14ac:dyDescent="0.2">
      <c r="D832" s="59"/>
      <c r="E832" s="59"/>
      <c r="F832" s="677"/>
      <c r="G832" s="59"/>
    </row>
    <row r="833" spans="4:17" ht="15" customHeight="1" x14ac:dyDescent="0.2">
      <c r="D833" s="59"/>
      <c r="E833" s="59"/>
      <c r="F833" s="677"/>
      <c r="G833" s="59"/>
    </row>
    <row r="834" spans="4:17" ht="15" customHeight="1" x14ac:dyDescent="0.2">
      <c r="D834" s="59"/>
      <c r="E834" s="59"/>
      <c r="F834" s="677"/>
      <c r="G834" s="59"/>
    </row>
    <row r="835" spans="4:17" ht="15" customHeight="1" x14ac:dyDescent="0.2">
      <c r="D835" s="59"/>
      <c r="E835" s="59"/>
      <c r="F835" s="677"/>
      <c r="G835" s="59"/>
    </row>
    <row r="836" spans="4:17" ht="15" customHeight="1" x14ac:dyDescent="0.2">
      <c r="D836" s="59"/>
      <c r="E836" s="59"/>
      <c r="F836" s="677"/>
      <c r="G836" s="59"/>
    </row>
    <row r="837" spans="4:17" ht="15" customHeight="1" x14ac:dyDescent="0.2">
      <c r="D837" s="59"/>
      <c r="E837" s="59"/>
      <c r="F837" s="677"/>
      <c r="G837" s="59"/>
    </row>
    <row r="838" spans="4:17" ht="15" customHeight="1" x14ac:dyDescent="0.2">
      <c r="D838" s="59"/>
      <c r="E838" s="59"/>
      <c r="F838" s="677"/>
      <c r="G838" s="59"/>
    </row>
    <row r="839" spans="4:17" ht="15" customHeight="1" x14ac:dyDescent="0.2">
      <c r="D839" s="59"/>
      <c r="E839" s="59"/>
      <c r="F839" s="677"/>
      <c r="G839" s="59"/>
    </row>
    <row r="840" spans="4:17" ht="15" customHeight="1" x14ac:dyDescent="0.2">
      <c r="D840" s="59"/>
      <c r="E840" s="59"/>
      <c r="F840" s="677"/>
      <c r="G840" s="59"/>
    </row>
    <row r="841" spans="4:17" x14ac:dyDescent="0.2">
      <c r="D841" s="59"/>
      <c r="E841" s="59"/>
      <c r="F841" s="59"/>
      <c r="G841" s="59"/>
      <c r="H841" s="59"/>
      <c r="I841" s="97"/>
      <c r="J841" s="97"/>
      <c r="K841" s="97"/>
    </row>
    <row r="842" spans="4:17" x14ac:dyDescent="0.2">
      <c r="E842" s="57" t="s">
        <v>570</v>
      </c>
    </row>
    <row r="843" spans="4:17" x14ac:dyDescent="0.2">
      <c r="E843" s="57"/>
    </row>
    <row r="844" spans="4:17" ht="12" customHeight="1" x14ac:dyDescent="0.2">
      <c r="E844" s="57"/>
      <c r="J844" s="62"/>
      <c r="K844" s="62"/>
      <c r="N844" s="62"/>
      <c r="Q844" s="62"/>
    </row>
    <row r="845" spans="4:17" ht="12" customHeight="1" x14ac:dyDescent="0.2">
      <c r="E845" s="57"/>
      <c r="J845" s="62"/>
      <c r="K845" s="62"/>
      <c r="N845" s="62"/>
      <c r="Q845" s="62"/>
    </row>
    <row r="846" spans="4:17" ht="12" customHeight="1" x14ac:dyDescent="0.2">
      <c r="E846" s="57"/>
      <c r="J846" s="62"/>
      <c r="K846" s="62"/>
      <c r="N846" s="62"/>
      <c r="Q846" s="62"/>
    </row>
    <row r="847" spans="4:17" ht="12" customHeight="1" x14ac:dyDescent="0.2">
      <c r="E847" s="57"/>
      <c r="J847" s="62"/>
      <c r="K847" s="62"/>
      <c r="N847" s="62"/>
      <c r="Q847" s="62"/>
    </row>
    <row r="848" spans="4:17" ht="12" customHeight="1" x14ac:dyDescent="0.2">
      <c r="E848" s="57"/>
      <c r="J848" s="62"/>
      <c r="K848" s="62"/>
      <c r="N848" s="62"/>
      <c r="Q848" s="62"/>
    </row>
    <row r="849" spans="5:17" ht="12" customHeight="1" x14ac:dyDescent="0.2">
      <c r="E849" s="57"/>
      <c r="J849" s="62"/>
      <c r="K849" s="62"/>
      <c r="N849" s="62"/>
      <c r="Q849" s="62"/>
    </row>
    <row r="850" spans="5:17" x14ac:dyDescent="0.2">
      <c r="E850" s="57"/>
      <c r="J850" s="62"/>
      <c r="K850" s="62"/>
      <c r="N850" s="62"/>
      <c r="Q850" s="62"/>
    </row>
  </sheetData>
  <mergeCells count="25">
    <mergeCell ref="AX8:AX10"/>
    <mergeCell ref="AY8:AZ9"/>
    <mergeCell ref="AM8:AN9"/>
    <mergeCell ref="A3:E3"/>
    <mergeCell ref="AC7:AC10"/>
    <mergeCell ref="AO8:AQ9"/>
    <mergeCell ref="AR8:AR10"/>
    <mergeCell ref="AS8:AW9"/>
    <mergeCell ref="I6:Q7"/>
    <mergeCell ref="R6:AQ6"/>
    <mergeCell ref="AR6:AZ7"/>
    <mergeCell ref="R7:V9"/>
    <mergeCell ref="W7:Z9"/>
    <mergeCell ref="AA7:AA10"/>
    <mergeCell ref="AB7:AB10"/>
    <mergeCell ref="AD7:AF9"/>
    <mergeCell ref="AG7:AG10"/>
    <mergeCell ref="AH7:AQ7"/>
    <mergeCell ref="I8:I10"/>
    <mergeCell ref="J8:N9"/>
    <mergeCell ref="O8:O10"/>
    <mergeCell ref="P8:Q9"/>
    <mergeCell ref="AH8:AI9"/>
    <mergeCell ref="AJ8:AJ9"/>
    <mergeCell ref="AK8:AL9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85" fitToWidth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35"/>
  <sheetViews>
    <sheetView zoomScaleNormal="100" workbookViewId="0">
      <pane xSplit="8" ySplit="11" topLeftCell="Z12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ColWidth="9.140625" defaultRowHeight="15" x14ac:dyDescent="0.25"/>
  <cols>
    <col min="1" max="1" width="5" style="100" customWidth="1"/>
    <col min="2" max="2" width="4.7109375" style="99" bestFit="1" customWidth="1"/>
    <col min="3" max="3" width="8.7109375" style="99" customWidth="1"/>
    <col min="4" max="4" width="7.85546875" style="99" customWidth="1"/>
    <col min="5" max="5" width="29.42578125" style="100" customWidth="1"/>
    <col min="6" max="6" width="4.42578125" style="100" customWidth="1"/>
    <col min="7" max="7" width="10.28515625" style="100" customWidth="1"/>
    <col min="8" max="8" width="8" style="100" customWidth="1"/>
    <col min="9" max="9" width="12.28515625" style="60" customWidth="1"/>
    <col min="10" max="14" width="9.28515625" style="60" customWidth="1"/>
    <col min="15" max="15" width="11.42578125" style="61" customWidth="1"/>
    <col min="16" max="17" width="9.28515625" style="61" customWidth="1"/>
    <col min="18" max="19" width="9.140625" style="60" customWidth="1"/>
    <col min="20" max="21" width="9.7109375" style="60" customWidth="1"/>
    <col min="22" max="26" width="9.140625" style="60" customWidth="1"/>
    <col min="27" max="27" width="10.140625" style="60" customWidth="1"/>
    <col min="28" max="33" width="9.28515625" style="60" customWidth="1"/>
    <col min="34" max="43" width="9.28515625" style="61" customWidth="1"/>
    <col min="44" max="44" width="10.140625" style="60" customWidth="1"/>
    <col min="45" max="45" width="10.28515625" style="60" customWidth="1"/>
    <col min="46" max="49" width="9.140625" style="60" customWidth="1"/>
    <col min="50" max="50" width="11.42578125" style="61" customWidth="1"/>
    <col min="51" max="52" width="9.28515625" style="61" customWidth="1"/>
    <col min="53" max="16384" width="9.140625" style="99"/>
  </cols>
  <sheetData>
    <row r="1" spans="1:52" s="62" customFormat="1" ht="12.75" x14ac:dyDescent="0.2">
      <c r="A1" s="56" t="s">
        <v>2</v>
      </c>
      <c r="B1" s="56"/>
      <c r="C1" s="47"/>
      <c r="D1" s="56"/>
      <c r="E1" s="56"/>
      <c r="F1" s="58"/>
      <c r="G1" s="58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97"/>
      <c r="AY1" s="97"/>
      <c r="AZ1" s="97"/>
    </row>
    <row r="2" spans="1:52" ht="12.75" customHeight="1" x14ac:dyDescent="0.25">
      <c r="A2" s="56" t="s">
        <v>3</v>
      </c>
      <c r="B2" s="56"/>
      <c r="C2" s="47"/>
      <c r="D2" s="56"/>
      <c r="E2" s="56"/>
    </row>
    <row r="3" spans="1:52" ht="12.75" customHeight="1" x14ac:dyDescent="0.25">
      <c r="A3" s="768" t="s">
        <v>4</v>
      </c>
      <c r="B3" s="768"/>
      <c r="C3" s="768"/>
      <c r="D3" s="768"/>
      <c r="E3" s="768"/>
    </row>
    <row r="4" spans="1:52" ht="12.75" customHeight="1" x14ac:dyDescent="0.25">
      <c r="A4" s="99"/>
      <c r="B4" s="56"/>
      <c r="C4" s="56"/>
      <c r="D4" s="56"/>
      <c r="E4" s="56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58"/>
      <c r="AR5" s="61"/>
      <c r="AS5" s="61"/>
      <c r="AT5" s="61"/>
      <c r="AU5" s="61"/>
      <c r="AV5" s="61"/>
    </row>
    <row r="6" spans="1:52" x14ac:dyDescent="0.25"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99"/>
      <c r="B7" s="7"/>
      <c r="C7"/>
      <c r="D7" s="11"/>
      <c r="E7" s="7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s="101" customFormat="1" ht="15" customHeight="1" x14ac:dyDescent="0.25">
      <c r="A8" s="128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s="102" customFormat="1" ht="10.5" customHeight="1" thickBot="1" x14ac:dyDescent="0.25">
      <c r="A9" s="127" t="s">
        <v>789</v>
      </c>
      <c r="B9"/>
      <c r="C9"/>
      <c r="D9" s="13"/>
      <c r="E9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s="102" customFormat="1" ht="34.5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132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145" t="s">
        <v>565</v>
      </c>
      <c r="H11" s="146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201" t="s">
        <v>307</v>
      </c>
      <c r="AN11" s="201" t="s">
        <v>308</v>
      </c>
      <c r="AO11" s="201" t="s">
        <v>307</v>
      </c>
      <c r="AP11" s="201" t="s">
        <v>308</v>
      </c>
      <c r="AQ11" s="202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s="106" customFormat="1" ht="14.1" customHeight="1" x14ac:dyDescent="0.2">
      <c r="A12" s="139">
        <v>1</v>
      </c>
      <c r="B12" s="140">
        <v>2323</v>
      </c>
      <c r="C12" s="141">
        <v>667000241</v>
      </c>
      <c r="D12" s="140">
        <v>71223461</v>
      </c>
      <c r="E12" s="140" t="s">
        <v>744</v>
      </c>
      <c r="F12" s="142">
        <v>3141</v>
      </c>
      <c r="G12" s="140" t="s">
        <v>316</v>
      </c>
      <c r="H12" s="143" t="s">
        <v>279</v>
      </c>
      <c r="I12" s="470">
        <v>4550442</v>
      </c>
      <c r="J12" s="679">
        <v>3291500</v>
      </c>
      <c r="K12" s="679">
        <v>32500</v>
      </c>
      <c r="L12" s="471">
        <v>1123512</v>
      </c>
      <c r="M12" s="471">
        <v>65830</v>
      </c>
      <c r="N12" s="679">
        <v>37100</v>
      </c>
      <c r="O12" s="472">
        <v>10.420000000000002</v>
      </c>
      <c r="P12" s="473">
        <v>0</v>
      </c>
      <c r="Q12" s="680">
        <v>10.420000000000002</v>
      </c>
      <c r="R12" s="474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476">
        <v>0</v>
      </c>
      <c r="AO12" s="476">
        <f>AH12+AJ12+AK12+AM12</f>
        <v>0</v>
      </c>
      <c r="AP12" s="476">
        <f>AI12+AL12+AN12</f>
        <v>0</v>
      </c>
      <c r="AQ12" s="663">
        <f>SUM(AO12:AP12)</f>
        <v>0</v>
      </c>
      <c r="AR12" s="477">
        <f>I12+AG12</f>
        <v>4550442</v>
      </c>
      <c r="AS12" s="475">
        <f>J12+V12</f>
        <v>3291500</v>
      </c>
      <c r="AT12" s="475">
        <f>K12+Z12</f>
        <v>32500</v>
      </c>
      <c r="AU12" s="475">
        <f>L12+AB12</f>
        <v>1123512</v>
      </c>
      <c r="AV12" s="475">
        <f>M12+AC12</f>
        <v>65830</v>
      </c>
      <c r="AW12" s="475">
        <f>N12+AF12</f>
        <v>37100</v>
      </c>
      <c r="AX12" s="476">
        <f>O12+AQ12</f>
        <v>10.420000000000002</v>
      </c>
      <c r="AY12" s="476">
        <f>P12+AO12</f>
        <v>0</v>
      </c>
      <c r="AZ12" s="478">
        <f>Q12+AP12</f>
        <v>10.420000000000002</v>
      </c>
    </row>
    <row r="13" spans="1:52" s="106" customFormat="1" ht="14.1" customHeight="1" x14ac:dyDescent="0.2">
      <c r="A13" s="130">
        <v>1</v>
      </c>
      <c r="B13" s="107">
        <v>2323</v>
      </c>
      <c r="C13" s="108">
        <v>667000241</v>
      </c>
      <c r="D13" s="107">
        <v>71223461</v>
      </c>
      <c r="E13" s="107" t="s">
        <v>745</v>
      </c>
      <c r="F13" s="109"/>
      <c r="G13" s="110"/>
      <c r="H13" s="111"/>
      <c r="I13" s="525">
        <v>4550442</v>
      </c>
      <c r="J13" s="521">
        <v>3291500</v>
      </c>
      <c r="K13" s="521">
        <v>32500</v>
      </c>
      <c r="L13" s="521">
        <v>1123512</v>
      </c>
      <c r="M13" s="521">
        <v>65830</v>
      </c>
      <c r="N13" s="521">
        <v>37100</v>
      </c>
      <c r="O13" s="522">
        <v>10.420000000000002</v>
      </c>
      <c r="P13" s="522">
        <v>0</v>
      </c>
      <c r="Q13" s="113">
        <v>10.420000000000002</v>
      </c>
      <c r="R13" s="529">
        <f t="shared" ref="R13:AZ13" si="0">SUM(R12)</f>
        <v>0</v>
      </c>
      <c r="S13" s="521">
        <f t="shared" si="0"/>
        <v>0</v>
      </c>
      <c r="T13" s="521">
        <f t="shared" si="0"/>
        <v>0</v>
      </c>
      <c r="U13" s="521">
        <f t="shared" si="0"/>
        <v>0</v>
      </c>
      <c r="V13" s="521">
        <f t="shared" si="0"/>
        <v>0</v>
      </c>
      <c r="W13" s="521">
        <f t="shared" si="0"/>
        <v>0</v>
      </c>
      <c r="X13" s="521">
        <f t="shared" si="0"/>
        <v>0</v>
      </c>
      <c r="Y13" s="521">
        <f t="shared" si="0"/>
        <v>0</v>
      </c>
      <c r="Z13" s="521">
        <f t="shared" si="0"/>
        <v>0</v>
      </c>
      <c r="AA13" s="521">
        <f t="shared" si="0"/>
        <v>0</v>
      </c>
      <c r="AB13" s="521">
        <f t="shared" si="0"/>
        <v>0</v>
      </c>
      <c r="AC13" s="521">
        <f t="shared" si="0"/>
        <v>0</v>
      </c>
      <c r="AD13" s="521">
        <f t="shared" si="0"/>
        <v>0</v>
      </c>
      <c r="AE13" s="521">
        <f t="shared" si="0"/>
        <v>0</v>
      </c>
      <c r="AF13" s="521">
        <f t="shared" si="0"/>
        <v>0</v>
      </c>
      <c r="AG13" s="521">
        <f t="shared" si="0"/>
        <v>0</v>
      </c>
      <c r="AH13" s="522">
        <f t="shared" si="0"/>
        <v>0</v>
      </c>
      <c r="AI13" s="522">
        <f t="shared" si="0"/>
        <v>0</v>
      </c>
      <c r="AJ13" s="522">
        <f t="shared" si="0"/>
        <v>0</v>
      </c>
      <c r="AK13" s="522">
        <f t="shared" ref="AK13:AL13" si="1">SUM(AK12)</f>
        <v>0</v>
      </c>
      <c r="AL13" s="522">
        <f t="shared" si="1"/>
        <v>0</v>
      </c>
      <c r="AM13" s="522">
        <f t="shared" si="0"/>
        <v>0</v>
      </c>
      <c r="AN13" s="522">
        <f t="shared" si="0"/>
        <v>0</v>
      </c>
      <c r="AO13" s="522">
        <f t="shared" si="0"/>
        <v>0</v>
      </c>
      <c r="AP13" s="522">
        <f t="shared" si="0"/>
        <v>0</v>
      </c>
      <c r="AQ13" s="527">
        <f t="shared" si="0"/>
        <v>0</v>
      </c>
      <c r="AR13" s="525">
        <f t="shared" si="0"/>
        <v>4550442</v>
      </c>
      <c r="AS13" s="521">
        <f t="shared" si="0"/>
        <v>3291500</v>
      </c>
      <c r="AT13" s="521">
        <f t="shared" si="0"/>
        <v>32500</v>
      </c>
      <c r="AU13" s="521">
        <f t="shared" si="0"/>
        <v>1123512</v>
      </c>
      <c r="AV13" s="521">
        <f t="shared" si="0"/>
        <v>65830</v>
      </c>
      <c r="AW13" s="521">
        <f t="shared" si="0"/>
        <v>37100</v>
      </c>
      <c r="AX13" s="522">
        <f t="shared" si="0"/>
        <v>10.420000000000002</v>
      </c>
      <c r="AY13" s="522">
        <f t="shared" si="0"/>
        <v>0</v>
      </c>
      <c r="AZ13" s="113">
        <f t="shared" si="0"/>
        <v>10.420000000000002</v>
      </c>
    </row>
    <row r="14" spans="1:52" s="106" customFormat="1" ht="14.1" customHeight="1" x14ac:dyDescent="0.2">
      <c r="A14" s="129">
        <v>2</v>
      </c>
      <c r="B14" s="84">
        <v>2314</v>
      </c>
      <c r="C14" s="103">
        <v>600080358</v>
      </c>
      <c r="D14" s="84">
        <v>46745751</v>
      </c>
      <c r="E14" s="84" t="s">
        <v>746</v>
      </c>
      <c r="F14" s="104">
        <v>3114</v>
      </c>
      <c r="G14" s="176" t="s">
        <v>559</v>
      </c>
      <c r="H14" s="105" t="s">
        <v>278</v>
      </c>
      <c r="I14" s="494">
        <v>11171349</v>
      </c>
      <c r="J14" s="655">
        <v>8090645</v>
      </c>
      <c r="K14" s="655">
        <v>39650</v>
      </c>
      <c r="L14" s="489">
        <v>2748041</v>
      </c>
      <c r="M14" s="489">
        <v>161813</v>
      </c>
      <c r="N14" s="655">
        <v>131200</v>
      </c>
      <c r="O14" s="490">
        <v>14.597300000000001</v>
      </c>
      <c r="P14" s="491">
        <v>10.519</v>
      </c>
      <c r="Q14" s="657">
        <v>4.0782999999999996</v>
      </c>
      <c r="R14" s="501">
        <f t="shared" ref="R14:R76" si="2">W14*-1</f>
        <v>0</v>
      </c>
      <c r="S14" s="492">
        <v>0</v>
      </c>
      <c r="T14" s="492">
        <v>0</v>
      </c>
      <c r="U14" s="492">
        <v>0</v>
      </c>
      <c r="V14" s="492">
        <f>SUM(R14:U14)</f>
        <v>0</v>
      </c>
      <c r="W14" s="492">
        <v>0</v>
      </c>
      <c r="X14" s="492">
        <v>0</v>
      </c>
      <c r="Y14" s="492">
        <v>0</v>
      </c>
      <c r="Z14" s="492">
        <f t="shared" ref="Z14:Z76" si="3">SUM(W14:Y14)</f>
        <v>0</v>
      </c>
      <c r="AA14" s="492">
        <f t="shared" ref="AA14:AA76" si="4">V14+Z14</f>
        <v>0</v>
      </c>
      <c r="AB14" s="74">
        <f t="shared" ref="AB14:AB76" si="5">ROUND((V14+W14+X14)*33.8%,0)</f>
        <v>0</v>
      </c>
      <c r="AC14" s="74">
        <f t="shared" ref="AC14:AC76" si="6">ROUND(V14*2%,0)</f>
        <v>0</v>
      </c>
      <c r="AD14" s="492">
        <v>0</v>
      </c>
      <c r="AE14" s="492">
        <v>0</v>
      </c>
      <c r="AF14" s="492">
        <f>SUM(AD14:AE14)</f>
        <v>0</v>
      </c>
      <c r="AG14" s="492">
        <f>AA14+AB14+AC14+AF14</f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 t="shared" ref="AO14:AO76" si="7">AH14+AJ14+AK14+AM14</f>
        <v>0</v>
      </c>
      <c r="AP14" s="493">
        <f t="shared" ref="AP14:AP76" si="8">AI14+AL14+AN14</f>
        <v>0</v>
      </c>
      <c r="AQ14" s="664">
        <f t="shared" ref="AQ14:AQ76" si="9">SUM(AO14:AP14)</f>
        <v>0</v>
      </c>
      <c r="AR14" s="502">
        <f>I14+AG14</f>
        <v>11171349</v>
      </c>
      <c r="AS14" s="492">
        <f>J14+V14</f>
        <v>8090645</v>
      </c>
      <c r="AT14" s="492">
        <f>K14+Z14</f>
        <v>39650</v>
      </c>
      <c r="AU14" s="492">
        <f t="shared" ref="AU14:AV18" si="10">L14+AB14</f>
        <v>2748041</v>
      </c>
      <c r="AV14" s="492">
        <f t="shared" si="10"/>
        <v>161813</v>
      </c>
      <c r="AW14" s="492">
        <f>N14+AF14</f>
        <v>131200</v>
      </c>
      <c r="AX14" s="493">
        <f>O14+AQ14</f>
        <v>14.597300000000001</v>
      </c>
      <c r="AY14" s="493">
        <f t="shared" ref="AY14:AZ18" si="11">P14+AO14</f>
        <v>10.519</v>
      </c>
      <c r="AZ14" s="495">
        <f t="shared" si="11"/>
        <v>4.0782999999999996</v>
      </c>
    </row>
    <row r="15" spans="1:52" s="106" customFormat="1" ht="14.1" customHeight="1" x14ac:dyDescent="0.2">
      <c r="A15" s="129">
        <v>2</v>
      </c>
      <c r="B15" s="84">
        <v>2314</v>
      </c>
      <c r="C15" s="103">
        <v>600080358</v>
      </c>
      <c r="D15" s="84">
        <v>46745751</v>
      </c>
      <c r="E15" s="84" t="s">
        <v>746</v>
      </c>
      <c r="F15" s="104">
        <v>3114</v>
      </c>
      <c r="G15" s="48" t="s">
        <v>314</v>
      </c>
      <c r="H15" s="105" t="s">
        <v>278</v>
      </c>
      <c r="I15" s="494">
        <v>2467993</v>
      </c>
      <c r="J15" s="655">
        <v>1817374</v>
      </c>
      <c r="K15" s="655">
        <v>0</v>
      </c>
      <c r="L15" s="489">
        <v>614272</v>
      </c>
      <c r="M15" s="489">
        <v>36347</v>
      </c>
      <c r="N15" s="489">
        <v>0</v>
      </c>
      <c r="O15" s="490">
        <v>4.5552999999999999</v>
      </c>
      <c r="P15" s="491">
        <v>4.5552999999999999</v>
      </c>
      <c r="Q15" s="657">
        <v>0</v>
      </c>
      <c r="R15" s="501">
        <f t="shared" si="2"/>
        <v>0</v>
      </c>
      <c r="S15" s="492">
        <v>0</v>
      </c>
      <c r="T15" s="492">
        <v>0</v>
      </c>
      <c r="U15" s="492">
        <v>0</v>
      </c>
      <c r="V15" s="492">
        <f>SUM(R15:U15)</f>
        <v>0</v>
      </c>
      <c r="W15" s="492">
        <v>0</v>
      </c>
      <c r="X15" s="492">
        <v>0</v>
      </c>
      <c r="Y15" s="492">
        <v>0</v>
      </c>
      <c r="Z15" s="492">
        <f t="shared" si="3"/>
        <v>0</v>
      </c>
      <c r="AA15" s="492">
        <f t="shared" si="4"/>
        <v>0</v>
      </c>
      <c r="AB15" s="74">
        <f t="shared" si="5"/>
        <v>0</v>
      </c>
      <c r="AC15" s="74">
        <f t="shared" si="6"/>
        <v>0</v>
      </c>
      <c r="AD15" s="492">
        <v>0</v>
      </c>
      <c r="AE15" s="492">
        <v>0</v>
      </c>
      <c r="AF15" s="492">
        <f>SUM(AD15:AE15)</f>
        <v>0</v>
      </c>
      <c r="AG15" s="492">
        <f>AA15+AB15+AC15+AF15</f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 t="shared" si="7"/>
        <v>0</v>
      </c>
      <c r="AP15" s="493">
        <f t="shared" si="8"/>
        <v>0</v>
      </c>
      <c r="AQ15" s="664">
        <f t="shared" si="9"/>
        <v>0</v>
      </c>
      <c r="AR15" s="502">
        <f>I15+AG15</f>
        <v>2467993</v>
      </c>
      <c r="AS15" s="492">
        <f>J15+V15</f>
        <v>1817374</v>
      </c>
      <c r="AT15" s="492">
        <f t="shared" ref="AT15:AT18" si="12">K15+Z15</f>
        <v>0</v>
      </c>
      <c r="AU15" s="492">
        <f t="shared" si="10"/>
        <v>614272</v>
      </c>
      <c r="AV15" s="492">
        <f t="shared" si="10"/>
        <v>36347</v>
      </c>
      <c r="AW15" s="492">
        <f>N15+AF15</f>
        <v>0</v>
      </c>
      <c r="AX15" s="493">
        <f>O15+AQ15</f>
        <v>4.5552999999999999</v>
      </c>
      <c r="AY15" s="493">
        <f t="shared" si="11"/>
        <v>4.5552999999999999</v>
      </c>
      <c r="AZ15" s="495">
        <f t="shared" si="11"/>
        <v>0</v>
      </c>
    </row>
    <row r="16" spans="1:52" s="106" customFormat="1" ht="14.1" customHeight="1" x14ac:dyDescent="0.2">
      <c r="A16" s="129">
        <v>2</v>
      </c>
      <c r="B16" s="84">
        <v>2314</v>
      </c>
      <c r="C16" s="103">
        <v>600080358</v>
      </c>
      <c r="D16" s="84">
        <v>46745751</v>
      </c>
      <c r="E16" s="84" t="s">
        <v>746</v>
      </c>
      <c r="F16" s="104">
        <v>3114</v>
      </c>
      <c r="G16" s="48" t="s">
        <v>313</v>
      </c>
      <c r="H16" s="105" t="s">
        <v>279</v>
      </c>
      <c r="I16" s="494">
        <v>0</v>
      </c>
      <c r="J16" s="489">
        <v>0</v>
      </c>
      <c r="K16" s="489">
        <v>0</v>
      </c>
      <c r="L16" s="489">
        <v>0</v>
      </c>
      <c r="M16" s="489">
        <v>0</v>
      </c>
      <c r="N16" s="489">
        <v>0</v>
      </c>
      <c r="O16" s="490">
        <v>0</v>
      </c>
      <c r="P16" s="491">
        <v>0</v>
      </c>
      <c r="Q16" s="658">
        <v>0</v>
      </c>
      <c r="R16" s="501">
        <f t="shared" si="2"/>
        <v>0</v>
      </c>
      <c r="S16" s="492">
        <v>0</v>
      </c>
      <c r="T16" s="492">
        <v>0</v>
      </c>
      <c r="U16" s="492">
        <v>0</v>
      </c>
      <c r="V16" s="492">
        <f>SUM(R16:U16)</f>
        <v>0</v>
      </c>
      <c r="W16" s="492">
        <v>0</v>
      </c>
      <c r="X16" s="492">
        <v>0</v>
      </c>
      <c r="Y16" s="492">
        <v>0</v>
      </c>
      <c r="Z16" s="492">
        <f t="shared" si="3"/>
        <v>0</v>
      </c>
      <c r="AA16" s="492">
        <f t="shared" si="4"/>
        <v>0</v>
      </c>
      <c r="AB16" s="74">
        <f t="shared" si="5"/>
        <v>0</v>
      </c>
      <c r="AC16" s="74">
        <f t="shared" si="6"/>
        <v>0</v>
      </c>
      <c r="AD16" s="492">
        <v>0</v>
      </c>
      <c r="AE16" s="492">
        <v>0</v>
      </c>
      <c r="AF16" s="492">
        <f>SUM(AD16:AE16)</f>
        <v>0</v>
      </c>
      <c r="AG16" s="492">
        <f>AA16+AB16+AC16+AF16</f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si="7"/>
        <v>0</v>
      </c>
      <c r="AP16" s="493">
        <f t="shared" si="8"/>
        <v>0</v>
      </c>
      <c r="AQ16" s="664">
        <f t="shared" si="9"/>
        <v>0</v>
      </c>
      <c r="AR16" s="502">
        <f>I16+AG16</f>
        <v>0</v>
      </c>
      <c r="AS16" s="492">
        <f>J16+V16</f>
        <v>0</v>
      </c>
      <c r="AT16" s="492">
        <f t="shared" si="12"/>
        <v>0</v>
      </c>
      <c r="AU16" s="492">
        <f t="shared" si="10"/>
        <v>0</v>
      </c>
      <c r="AV16" s="492">
        <f t="shared" si="10"/>
        <v>0</v>
      </c>
      <c r="AW16" s="492">
        <f>N16+AF16</f>
        <v>0</v>
      </c>
      <c r="AX16" s="493">
        <f>O16+AQ16</f>
        <v>0</v>
      </c>
      <c r="AY16" s="493">
        <f t="shared" si="11"/>
        <v>0</v>
      </c>
      <c r="AZ16" s="495">
        <f t="shared" si="11"/>
        <v>0</v>
      </c>
    </row>
    <row r="17" spans="1:52" s="106" customFormat="1" ht="14.1" customHeight="1" x14ac:dyDescent="0.2">
      <c r="A17" s="129">
        <v>2</v>
      </c>
      <c r="B17" s="84">
        <v>2314</v>
      </c>
      <c r="C17" s="103">
        <v>600080358</v>
      </c>
      <c r="D17" s="84">
        <v>46745751</v>
      </c>
      <c r="E17" s="84" t="s">
        <v>746</v>
      </c>
      <c r="F17" s="104">
        <v>3143</v>
      </c>
      <c r="G17" s="84" t="s">
        <v>629</v>
      </c>
      <c r="H17" s="105" t="s">
        <v>278</v>
      </c>
      <c r="I17" s="494">
        <v>434652</v>
      </c>
      <c r="J17" s="656">
        <v>320068</v>
      </c>
      <c r="K17" s="656">
        <v>0</v>
      </c>
      <c r="L17" s="489">
        <v>108183</v>
      </c>
      <c r="M17" s="489">
        <v>6401</v>
      </c>
      <c r="N17" s="489">
        <v>0</v>
      </c>
      <c r="O17" s="490">
        <v>0.68959999999999999</v>
      </c>
      <c r="P17" s="14">
        <v>0.68959999999999999</v>
      </c>
      <c r="Q17" s="658">
        <v>0</v>
      </c>
      <c r="R17" s="501">
        <f t="shared" si="2"/>
        <v>0</v>
      </c>
      <c r="S17" s="492">
        <v>0</v>
      </c>
      <c r="T17" s="492">
        <v>0</v>
      </c>
      <c r="U17" s="492">
        <v>0</v>
      </c>
      <c r="V17" s="492">
        <f>SUM(R17:U17)</f>
        <v>0</v>
      </c>
      <c r="W17" s="492">
        <v>0</v>
      </c>
      <c r="X17" s="492">
        <v>0</v>
      </c>
      <c r="Y17" s="492">
        <v>0</v>
      </c>
      <c r="Z17" s="492">
        <f t="shared" si="3"/>
        <v>0</v>
      </c>
      <c r="AA17" s="492">
        <f t="shared" si="4"/>
        <v>0</v>
      </c>
      <c r="AB17" s="74">
        <f t="shared" si="5"/>
        <v>0</v>
      </c>
      <c r="AC17" s="74">
        <f t="shared" si="6"/>
        <v>0</v>
      </c>
      <c r="AD17" s="492">
        <v>0</v>
      </c>
      <c r="AE17" s="492">
        <v>0</v>
      </c>
      <c r="AF17" s="492">
        <f>SUM(AD17:AE17)</f>
        <v>0</v>
      </c>
      <c r="AG17" s="492">
        <f>AA17+AB17+AC17+AF17</f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7"/>
        <v>0</v>
      </c>
      <c r="AP17" s="493">
        <f t="shared" si="8"/>
        <v>0</v>
      </c>
      <c r="AQ17" s="664">
        <f t="shared" si="9"/>
        <v>0</v>
      </c>
      <c r="AR17" s="502">
        <f>I17+AG17</f>
        <v>434652</v>
      </c>
      <c r="AS17" s="492">
        <f>J17+V17</f>
        <v>320068</v>
      </c>
      <c r="AT17" s="492">
        <f t="shared" si="12"/>
        <v>0</v>
      </c>
      <c r="AU17" s="492">
        <f t="shared" si="10"/>
        <v>108183</v>
      </c>
      <c r="AV17" s="492">
        <f t="shared" si="10"/>
        <v>6401</v>
      </c>
      <c r="AW17" s="492">
        <f>N17+AF17</f>
        <v>0</v>
      </c>
      <c r="AX17" s="493">
        <f>O17+AQ17</f>
        <v>0.68959999999999999</v>
      </c>
      <c r="AY17" s="493">
        <f t="shared" si="11"/>
        <v>0.68959999999999999</v>
      </c>
      <c r="AZ17" s="495">
        <f t="shared" si="11"/>
        <v>0</v>
      </c>
    </row>
    <row r="18" spans="1:52" s="106" customFormat="1" ht="14.1" customHeight="1" x14ac:dyDescent="0.2">
      <c r="A18" s="129">
        <v>2</v>
      </c>
      <c r="B18" s="84">
        <v>2314</v>
      </c>
      <c r="C18" s="103">
        <v>600080358</v>
      </c>
      <c r="D18" s="84">
        <v>46745751</v>
      </c>
      <c r="E18" s="84" t="s">
        <v>746</v>
      </c>
      <c r="F18" s="104">
        <v>3143</v>
      </c>
      <c r="G18" s="84" t="s">
        <v>630</v>
      </c>
      <c r="H18" s="105" t="s">
        <v>279</v>
      </c>
      <c r="I18" s="494">
        <v>10585</v>
      </c>
      <c r="J18" s="655">
        <v>7485</v>
      </c>
      <c r="K18" s="655">
        <v>0</v>
      </c>
      <c r="L18" s="489">
        <v>2530</v>
      </c>
      <c r="M18" s="489">
        <v>150</v>
      </c>
      <c r="N18" s="655">
        <v>420</v>
      </c>
      <c r="O18" s="490">
        <v>0.03</v>
      </c>
      <c r="P18" s="491">
        <v>0</v>
      </c>
      <c r="Q18" s="657">
        <v>0.03</v>
      </c>
      <c r="R18" s="501">
        <f t="shared" si="2"/>
        <v>0</v>
      </c>
      <c r="S18" s="492">
        <v>0</v>
      </c>
      <c r="T18" s="492">
        <v>0</v>
      </c>
      <c r="U18" s="492">
        <v>0</v>
      </c>
      <c r="V18" s="492">
        <f>SUM(R18:U18)</f>
        <v>0</v>
      </c>
      <c r="W18" s="492">
        <v>0</v>
      </c>
      <c r="X18" s="492">
        <v>0</v>
      </c>
      <c r="Y18" s="492">
        <v>0</v>
      </c>
      <c r="Z18" s="492">
        <f t="shared" si="3"/>
        <v>0</v>
      </c>
      <c r="AA18" s="492">
        <f t="shared" si="4"/>
        <v>0</v>
      </c>
      <c r="AB18" s="74">
        <f t="shared" si="5"/>
        <v>0</v>
      </c>
      <c r="AC18" s="74">
        <f t="shared" si="6"/>
        <v>0</v>
      </c>
      <c r="AD18" s="492">
        <v>0</v>
      </c>
      <c r="AE18" s="492">
        <v>0</v>
      </c>
      <c r="AF18" s="492">
        <f>SUM(AD18:AE18)</f>
        <v>0</v>
      </c>
      <c r="AG18" s="492">
        <f>AA18+AB18+AC18+AF18</f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si="7"/>
        <v>0</v>
      </c>
      <c r="AP18" s="493">
        <f t="shared" si="8"/>
        <v>0</v>
      </c>
      <c r="AQ18" s="664">
        <f t="shared" si="9"/>
        <v>0</v>
      </c>
      <c r="AR18" s="502">
        <f>I18+AG18</f>
        <v>10585</v>
      </c>
      <c r="AS18" s="492">
        <f>J18+V18</f>
        <v>7485</v>
      </c>
      <c r="AT18" s="492">
        <f t="shared" si="12"/>
        <v>0</v>
      </c>
      <c r="AU18" s="492">
        <f t="shared" si="10"/>
        <v>2530</v>
      </c>
      <c r="AV18" s="492">
        <f t="shared" si="10"/>
        <v>150</v>
      </c>
      <c r="AW18" s="492">
        <f>N18+AF18</f>
        <v>420</v>
      </c>
      <c r="AX18" s="493">
        <f>O18+AQ18</f>
        <v>0.03</v>
      </c>
      <c r="AY18" s="493">
        <f t="shared" si="11"/>
        <v>0</v>
      </c>
      <c r="AZ18" s="495">
        <f t="shared" si="11"/>
        <v>0.03</v>
      </c>
    </row>
    <row r="19" spans="1:52" s="106" customFormat="1" ht="14.1" customHeight="1" x14ac:dyDescent="0.2">
      <c r="A19" s="130">
        <v>2</v>
      </c>
      <c r="B19" s="107">
        <v>2314</v>
      </c>
      <c r="C19" s="108">
        <v>600080358</v>
      </c>
      <c r="D19" s="107">
        <v>46745751</v>
      </c>
      <c r="E19" s="107" t="s">
        <v>747</v>
      </c>
      <c r="F19" s="109"/>
      <c r="G19" s="110"/>
      <c r="H19" s="111"/>
      <c r="I19" s="525">
        <v>14084579</v>
      </c>
      <c r="J19" s="521">
        <v>10235572</v>
      </c>
      <c r="K19" s="521">
        <v>39650</v>
      </c>
      <c r="L19" s="521">
        <v>3473026</v>
      </c>
      <c r="M19" s="521">
        <v>204711</v>
      </c>
      <c r="N19" s="521">
        <v>131620</v>
      </c>
      <c r="O19" s="522">
        <v>19.872199999999999</v>
      </c>
      <c r="P19" s="522">
        <v>15.763900000000001</v>
      </c>
      <c r="Q19" s="113">
        <v>4.1082999999999998</v>
      </c>
      <c r="R19" s="529">
        <f t="shared" ref="R19:AZ19" si="13">SUM(R14:R18)</f>
        <v>0</v>
      </c>
      <c r="S19" s="521">
        <f t="shared" si="13"/>
        <v>0</v>
      </c>
      <c r="T19" s="521">
        <f t="shared" si="13"/>
        <v>0</v>
      </c>
      <c r="U19" s="521">
        <f t="shared" si="13"/>
        <v>0</v>
      </c>
      <c r="V19" s="521">
        <f t="shared" si="13"/>
        <v>0</v>
      </c>
      <c r="W19" s="521">
        <f t="shared" si="13"/>
        <v>0</v>
      </c>
      <c r="X19" s="521">
        <f t="shared" si="13"/>
        <v>0</v>
      </c>
      <c r="Y19" s="521">
        <f t="shared" si="13"/>
        <v>0</v>
      </c>
      <c r="Z19" s="521">
        <f t="shared" si="13"/>
        <v>0</v>
      </c>
      <c r="AA19" s="521">
        <f t="shared" si="13"/>
        <v>0</v>
      </c>
      <c r="AB19" s="521">
        <f t="shared" si="13"/>
        <v>0</v>
      </c>
      <c r="AC19" s="521">
        <f t="shared" si="13"/>
        <v>0</v>
      </c>
      <c r="AD19" s="521">
        <f t="shared" si="13"/>
        <v>0</v>
      </c>
      <c r="AE19" s="521">
        <f t="shared" si="13"/>
        <v>0</v>
      </c>
      <c r="AF19" s="521">
        <f t="shared" si="13"/>
        <v>0</v>
      </c>
      <c r="AG19" s="521">
        <f t="shared" si="13"/>
        <v>0</v>
      </c>
      <c r="AH19" s="522">
        <f t="shared" si="13"/>
        <v>0</v>
      </c>
      <c r="AI19" s="522">
        <f t="shared" si="13"/>
        <v>0</v>
      </c>
      <c r="AJ19" s="522">
        <f t="shared" si="13"/>
        <v>0</v>
      </c>
      <c r="AK19" s="522">
        <f t="shared" ref="AK19:AL19" si="14">SUM(AK14:AK18)</f>
        <v>0</v>
      </c>
      <c r="AL19" s="522">
        <f t="shared" si="14"/>
        <v>0</v>
      </c>
      <c r="AM19" s="522">
        <f t="shared" si="13"/>
        <v>0</v>
      </c>
      <c r="AN19" s="522">
        <f t="shared" si="13"/>
        <v>0</v>
      </c>
      <c r="AO19" s="522">
        <f t="shared" si="13"/>
        <v>0</v>
      </c>
      <c r="AP19" s="522">
        <f t="shared" si="13"/>
        <v>0</v>
      </c>
      <c r="AQ19" s="527">
        <f t="shared" si="13"/>
        <v>0</v>
      </c>
      <c r="AR19" s="525">
        <f t="shared" si="13"/>
        <v>14084579</v>
      </c>
      <c r="AS19" s="521">
        <f t="shared" si="13"/>
        <v>10235572</v>
      </c>
      <c r="AT19" s="521">
        <f t="shared" si="13"/>
        <v>39650</v>
      </c>
      <c r="AU19" s="521">
        <f t="shared" si="13"/>
        <v>3473026</v>
      </c>
      <c r="AV19" s="521">
        <f t="shared" si="13"/>
        <v>204711</v>
      </c>
      <c r="AW19" s="521">
        <f t="shared" si="13"/>
        <v>131620</v>
      </c>
      <c r="AX19" s="522">
        <f t="shared" si="13"/>
        <v>19.872199999999999</v>
      </c>
      <c r="AY19" s="522">
        <f t="shared" si="13"/>
        <v>15.763900000000001</v>
      </c>
      <c r="AZ19" s="113">
        <f t="shared" si="13"/>
        <v>4.1082999999999998</v>
      </c>
    </row>
    <row r="20" spans="1:52" s="106" customFormat="1" ht="14.1" customHeight="1" x14ac:dyDescent="0.2">
      <c r="A20" s="129">
        <v>3</v>
      </c>
      <c r="B20" s="112">
        <v>2448</v>
      </c>
      <c r="C20" s="103">
        <v>600080269</v>
      </c>
      <c r="D20" s="84">
        <v>63154617</v>
      </c>
      <c r="E20" s="84" t="s">
        <v>748</v>
      </c>
      <c r="F20" s="104">
        <v>3111</v>
      </c>
      <c r="G20" s="84" t="s">
        <v>312</v>
      </c>
      <c r="H20" s="105" t="s">
        <v>278</v>
      </c>
      <c r="I20" s="494">
        <v>16156384</v>
      </c>
      <c r="J20" s="655">
        <v>11655567</v>
      </c>
      <c r="K20" s="655">
        <v>162500</v>
      </c>
      <c r="L20" s="489">
        <v>3994506</v>
      </c>
      <c r="M20" s="489">
        <v>233111</v>
      </c>
      <c r="N20" s="655">
        <v>110700</v>
      </c>
      <c r="O20" s="490">
        <v>25.528300000000002</v>
      </c>
      <c r="P20" s="491">
        <v>20.439999999999998</v>
      </c>
      <c r="Q20" s="657">
        <v>5.0883000000000003</v>
      </c>
      <c r="R20" s="501">
        <f t="shared" si="2"/>
        <v>0</v>
      </c>
      <c r="S20" s="492">
        <v>0</v>
      </c>
      <c r="T20" s="492">
        <v>0</v>
      </c>
      <c r="U20" s="492">
        <v>0</v>
      </c>
      <c r="V20" s="492">
        <f t="shared" ref="V20:V27" si="15">SUM(R20:U20)</f>
        <v>0</v>
      </c>
      <c r="W20" s="492">
        <v>0</v>
      </c>
      <c r="X20" s="492">
        <v>0</v>
      </c>
      <c r="Y20" s="492">
        <v>0</v>
      </c>
      <c r="Z20" s="492">
        <f t="shared" si="3"/>
        <v>0</v>
      </c>
      <c r="AA20" s="492">
        <f t="shared" si="4"/>
        <v>0</v>
      </c>
      <c r="AB20" s="74">
        <f t="shared" si="5"/>
        <v>0</v>
      </c>
      <c r="AC20" s="74">
        <f t="shared" si="6"/>
        <v>0</v>
      </c>
      <c r="AD20" s="492">
        <v>0</v>
      </c>
      <c r="AE20" s="492">
        <v>0</v>
      </c>
      <c r="AF20" s="492">
        <f t="shared" ref="AF20:AF27" si="16">SUM(AD20:AE20)</f>
        <v>0</v>
      </c>
      <c r="AG20" s="492">
        <f t="shared" ref="AG20:AG27" si="17">AA20+AB20+AC20+AF20</f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7"/>
        <v>0</v>
      </c>
      <c r="AP20" s="493">
        <f t="shared" si="8"/>
        <v>0</v>
      </c>
      <c r="AQ20" s="664">
        <f t="shared" si="9"/>
        <v>0</v>
      </c>
      <c r="AR20" s="502">
        <f t="shared" ref="AR20:AR27" si="18">I20+AG20</f>
        <v>16156384</v>
      </c>
      <c r="AS20" s="492">
        <f t="shared" ref="AS20:AS27" si="19">J20+V20</f>
        <v>11655567</v>
      </c>
      <c r="AT20" s="492">
        <f t="shared" ref="AT20:AT27" si="20">K20+Z20</f>
        <v>162500</v>
      </c>
      <c r="AU20" s="492">
        <f t="shared" ref="AU20:AV27" si="21">L20+AB20</f>
        <v>3994506</v>
      </c>
      <c r="AV20" s="492">
        <f t="shared" si="21"/>
        <v>233111</v>
      </c>
      <c r="AW20" s="492">
        <f t="shared" ref="AW20:AW27" si="22">N20+AF20</f>
        <v>110700</v>
      </c>
      <c r="AX20" s="493">
        <f t="shared" ref="AX20:AX27" si="23">O20+AQ20</f>
        <v>25.528300000000002</v>
      </c>
      <c r="AY20" s="493">
        <f t="shared" ref="AY20:AZ27" si="24">P20+AO20</f>
        <v>20.439999999999998</v>
      </c>
      <c r="AZ20" s="495">
        <f t="shared" si="24"/>
        <v>5.0883000000000003</v>
      </c>
    </row>
    <row r="21" spans="1:52" s="106" customFormat="1" ht="14.1" customHeight="1" x14ac:dyDescent="0.2">
      <c r="A21" s="129">
        <v>3</v>
      </c>
      <c r="B21" s="112">
        <v>2448</v>
      </c>
      <c r="C21" s="103">
        <v>600080269</v>
      </c>
      <c r="D21" s="84">
        <v>63154617</v>
      </c>
      <c r="E21" s="84" t="s">
        <v>748</v>
      </c>
      <c r="F21" s="104">
        <v>3113</v>
      </c>
      <c r="G21" s="84" t="s">
        <v>315</v>
      </c>
      <c r="H21" s="105" t="s">
        <v>278</v>
      </c>
      <c r="I21" s="494">
        <v>60124074</v>
      </c>
      <c r="J21" s="655">
        <v>43100963</v>
      </c>
      <c r="K21" s="655">
        <v>162500</v>
      </c>
      <c r="L21" s="489">
        <v>14623051</v>
      </c>
      <c r="M21" s="489">
        <v>862020</v>
      </c>
      <c r="N21" s="655">
        <v>1375540</v>
      </c>
      <c r="O21" s="490">
        <v>77.487200000000001</v>
      </c>
      <c r="P21" s="491">
        <v>59.327999999999996</v>
      </c>
      <c r="Q21" s="657">
        <v>18.159199999999998</v>
      </c>
      <c r="R21" s="501">
        <f t="shared" si="2"/>
        <v>0</v>
      </c>
      <c r="S21" s="492">
        <v>0</v>
      </c>
      <c r="T21" s="492">
        <v>0</v>
      </c>
      <c r="U21" s="492">
        <f>-578210+(-68537)</f>
        <v>-646747</v>
      </c>
      <c r="V21" s="492">
        <f t="shared" si="15"/>
        <v>-646747</v>
      </c>
      <c r="W21" s="492">
        <v>0</v>
      </c>
      <c r="X21" s="492">
        <v>0</v>
      </c>
      <c r="Y21" s="492">
        <v>0</v>
      </c>
      <c r="Z21" s="492">
        <f t="shared" si="3"/>
        <v>0</v>
      </c>
      <c r="AA21" s="492">
        <f t="shared" si="4"/>
        <v>-646747</v>
      </c>
      <c r="AB21" s="74">
        <f t="shared" si="5"/>
        <v>-218600</v>
      </c>
      <c r="AC21" s="74">
        <f t="shared" si="6"/>
        <v>-12935</v>
      </c>
      <c r="AD21" s="492">
        <v>0</v>
      </c>
      <c r="AE21" s="492">
        <v>0</v>
      </c>
      <c r="AF21" s="492">
        <f t="shared" si="16"/>
        <v>0</v>
      </c>
      <c r="AG21" s="492">
        <f t="shared" si="17"/>
        <v>-878282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-0.91</v>
      </c>
      <c r="AN21" s="493">
        <v>-0.25</v>
      </c>
      <c r="AO21" s="493">
        <f t="shared" si="7"/>
        <v>-0.91</v>
      </c>
      <c r="AP21" s="493">
        <f t="shared" si="8"/>
        <v>-0.25</v>
      </c>
      <c r="AQ21" s="664">
        <f t="shared" si="9"/>
        <v>-1.1600000000000001</v>
      </c>
      <c r="AR21" s="502">
        <f t="shared" si="18"/>
        <v>59245792</v>
      </c>
      <c r="AS21" s="492">
        <f t="shared" si="19"/>
        <v>42454216</v>
      </c>
      <c r="AT21" s="492">
        <f t="shared" si="20"/>
        <v>162500</v>
      </c>
      <c r="AU21" s="492">
        <f t="shared" si="21"/>
        <v>14404451</v>
      </c>
      <c r="AV21" s="492">
        <f t="shared" si="21"/>
        <v>849085</v>
      </c>
      <c r="AW21" s="492">
        <f t="shared" si="22"/>
        <v>1375540</v>
      </c>
      <c r="AX21" s="493">
        <f t="shared" si="23"/>
        <v>76.327200000000005</v>
      </c>
      <c r="AY21" s="493">
        <f t="shared" si="24"/>
        <v>58.417999999999999</v>
      </c>
      <c r="AZ21" s="495">
        <f t="shared" si="24"/>
        <v>17.909199999999998</v>
      </c>
    </row>
    <row r="22" spans="1:52" s="106" customFormat="1" ht="14.1" customHeight="1" x14ac:dyDescent="0.2">
      <c r="A22" s="129">
        <v>3</v>
      </c>
      <c r="B22" s="84">
        <v>2448</v>
      </c>
      <c r="C22" s="103">
        <v>600080269</v>
      </c>
      <c r="D22" s="84">
        <v>63154617</v>
      </c>
      <c r="E22" s="84" t="s">
        <v>748</v>
      </c>
      <c r="F22" s="104">
        <v>3113</v>
      </c>
      <c r="G22" s="84" t="s">
        <v>313</v>
      </c>
      <c r="H22" s="105" t="s">
        <v>279</v>
      </c>
      <c r="I22" s="494">
        <v>8137116</v>
      </c>
      <c r="J22" s="489">
        <v>5986830</v>
      </c>
      <c r="K22" s="489">
        <v>0</v>
      </c>
      <c r="L22" s="489">
        <v>2023549</v>
      </c>
      <c r="M22" s="489">
        <v>119737</v>
      </c>
      <c r="N22" s="489">
        <v>7000</v>
      </c>
      <c r="O22" s="490">
        <v>17.18</v>
      </c>
      <c r="P22" s="491">
        <v>17.18</v>
      </c>
      <c r="Q22" s="658">
        <v>0</v>
      </c>
      <c r="R22" s="501">
        <f t="shared" si="2"/>
        <v>0</v>
      </c>
      <c r="S22" s="492">
        <v>0</v>
      </c>
      <c r="T22" s="492">
        <v>0</v>
      </c>
      <c r="U22" s="492">
        <v>0</v>
      </c>
      <c r="V22" s="492">
        <f t="shared" si="15"/>
        <v>0</v>
      </c>
      <c r="W22" s="492">
        <v>0</v>
      </c>
      <c r="X22" s="492">
        <v>0</v>
      </c>
      <c r="Y22" s="492">
        <v>0</v>
      </c>
      <c r="Z22" s="492">
        <f t="shared" si="3"/>
        <v>0</v>
      </c>
      <c r="AA22" s="492">
        <f t="shared" si="4"/>
        <v>0</v>
      </c>
      <c r="AB22" s="74">
        <f t="shared" si="5"/>
        <v>0</v>
      </c>
      <c r="AC22" s="74">
        <f t="shared" si="6"/>
        <v>0</v>
      </c>
      <c r="AD22" s="492">
        <v>500</v>
      </c>
      <c r="AE22" s="492">
        <v>0</v>
      </c>
      <c r="AF22" s="492">
        <f t="shared" si="16"/>
        <v>500</v>
      </c>
      <c r="AG22" s="492">
        <f t="shared" si="17"/>
        <v>500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7"/>
        <v>0</v>
      </c>
      <c r="AP22" s="493">
        <f t="shared" si="8"/>
        <v>0</v>
      </c>
      <c r="AQ22" s="664">
        <f t="shared" si="9"/>
        <v>0</v>
      </c>
      <c r="AR22" s="502">
        <f t="shared" si="18"/>
        <v>8137616</v>
      </c>
      <c r="AS22" s="492">
        <f t="shared" si="19"/>
        <v>5986830</v>
      </c>
      <c r="AT22" s="492">
        <f t="shared" si="20"/>
        <v>0</v>
      </c>
      <c r="AU22" s="492">
        <f t="shared" si="21"/>
        <v>2023549</v>
      </c>
      <c r="AV22" s="492">
        <f t="shared" si="21"/>
        <v>119737</v>
      </c>
      <c r="AW22" s="492">
        <f t="shared" si="22"/>
        <v>7500</v>
      </c>
      <c r="AX22" s="493">
        <f t="shared" si="23"/>
        <v>17.18</v>
      </c>
      <c r="AY22" s="493">
        <f t="shared" si="24"/>
        <v>17.18</v>
      </c>
      <c r="AZ22" s="495">
        <f t="shared" si="24"/>
        <v>0</v>
      </c>
    </row>
    <row r="23" spans="1:52" s="106" customFormat="1" ht="14.1" customHeight="1" x14ac:dyDescent="0.2">
      <c r="A23" s="129">
        <v>3</v>
      </c>
      <c r="B23" s="112">
        <v>2448</v>
      </c>
      <c r="C23" s="103">
        <v>600080269</v>
      </c>
      <c r="D23" s="84">
        <v>63154617</v>
      </c>
      <c r="E23" s="112" t="s">
        <v>748</v>
      </c>
      <c r="F23" s="104">
        <v>3141</v>
      </c>
      <c r="G23" s="84" t="s">
        <v>316</v>
      </c>
      <c r="H23" s="105" t="s">
        <v>279</v>
      </c>
      <c r="I23" s="494">
        <v>4125101</v>
      </c>
      <c r="J23" s="655">
        <v>2983312</v>
      </c>
      <c r="K23" s="655">
        <v>32500</v>
      </c>
      <c r="L23" s="489">
        <v>1019344</v>
      </c>
      <c r="M23" s="489">
        <v>59667</v>
      </c>
      <c r="N23" s="655">
        <v>30278</v>
      </c>
      <c r="O23" s="490">
        <v>9.5</v>
      </c>
      <c r="P23" s="491">
        <v>0</v>
      </c>
      <c r="Q23" s="657">
        <v>9.5</v>
      </c>
      <c r="R23" s="501">
        <f t="shared" si="2"/>
        <v>0</v>
      </c>
      <c r="S23" s="492">
        <v>0</v>
      </c>
      <c r="T23" s="492">
        <v>0</v>
      </c>
      <c r="U23" s="492">
        <v>0</v>
      </c>
      <c r="V23" s="492">
        <f t="shared" si="15"/>
        <v>0</v>
      </c>
      <c r="W23" s="492">
        <v>0</v>
      </c>
      <c r="X23" s="492">
        <v>0</v>
      </c>
      <c r="Y23" s="492">
        <v>0</v>
      </c>
      <c r="Z23" s="492">
        <f t="shared" si="3"/>
        <v>0</v>
      </c>
      <c r="AA23" s="492">
        <f t="shared" si="4"/>
        <v>0</v>
      </c>
      <c r="AB23" s="74">
        <f t="shared" si="5"/>
        <v>0</v>
      </c>
      <c r="AC23" s="74">
        <f t="shared" si="6"/>
        <v>0</v>
      </c>
      <c r="AD23" s="492">
        <v>0</v>
      </c>
      <c r="AE23" s="492">
        <v>0</v>
      </c>
      <c r="AF23" s="492">
        <f t="shared" si="16"/>
        <v>0</v>
      </c>
      <c r="AG23" s="492">
        <f t="shared" si="17"/>
        <v>0</v>
      </c>
      <c r="AH23" s="493">
        <v>0</v>
      </c>
      <c r="AI23" s="493">
        <v>0</v>
      </c>
      <c r="AJ23" s="493">
        <v>0</v>
      </c>
      <c r="AK23" s="493">
        <v>0</v>
      </c>
      <c r="AL23" s="493">
        <v>0</v>
      </c>
      <c r="AM23" s="493">
        <v>0</v>
      </c>
      <c r="AN23" s="493">
        <v>0</v>
      </c>
      <c r="AO23" s="493">
        <f t="shared" si="7"/>
        <v>0</v>
      </c>
      <c r="AP23" s="493">
        <f t="shared" si="8"/>
        <v>0</v>
      </c>
      <c r="AQ23" s="664">
        <f t="shared" si="9"/>
        <v>0</v>
      </c>
      <c r="AR23" s="502">
        <f t="shared" si="18"/>
        <v>4125101</v>
      </c>
      <c r="AS23" s="492">
        <f t="shared" si="19"/>
        <v>2983312</v>
      </c>
      <c r="AT23" s="492">
        <f t="shared" si="20"/>
        <v>32500</v>
      </c>
      <c r="AU23" s="492">
        <f t="shared" si="21"/>
        <v>1019344</v>
      </c>
      <c r="AV23" s="492">
        <f t="shared" si="21"/>
        <v>59667</v>
      </c>
      <c r="AW23" s="492">
        <f t="shared" si="22"/>
        <v>30278</v>
      </c>
      <c r="AX23" s="493">
        <f t="shared" si="23"/>
        <v>9.5</v>
      </c>
      <c r="AY23" s="493">
        <f t="shared" si="24"/>
        <v>0</v>
      </c>
      <c r="AZ23" s="495">
        <f t="shared" si="24"/>
        <v>9.5</v>
      </c>
    </row>
    <row r="24" spans="1:52" s="106" customFormat="1" ht="14.1" customHeight="1" x14ac:dyDescent="0.2">
      <c r="A24" s="129">
        <v>3</v>
      </c>
      <c r="B24" s="84">
        <v>2448</v>
      </c>
      <c r="C24" s="103">
        <v>600080269</v>
      </c>
      <c r="D24" s="84">
        <v>63154617</v>
      </c>
      <c r="E24" s="84" t="s">
        <v>748</v>
      </c>
      <c r="F24" s="104">
        <v>3143</v>
      </c>
      <c r="G24" s="84" t="s">
        <v>629</v>
      </c>
      <c r="H24" s="105" t="s">
        <v>278</v>
      </c>
      <c r="I24" s="494">
        <v>4362908</v>
      </c>
      <c r="J24" s="656">
        <v>3158949</v>
      </c>
      <c r="K24" s="656">
        <v>54600</v>
      </c>
      <c r="L24" s="489">
        <v>1086180</v>
      </c>
      <c r="M24" s="489">
        <v>63179</v>
      </c>
      <c r="N24" s="489">
        <v>0</v>
      </c>
      <c r="O24" s="490">
        <v>6.19</v>
      </c>
      <c r="P24" s="14">
        <v>6.19</v>
      </c>
      <c r="Q24" s="658">
        <v>0</v>
      </c>
      <c r="R24" s="501">
        <f t="shared" si="2"/>
        <v>0</v>
      </c>
      <c r="S24" s="492">
        <v>0</v>
      </c>
      <c r="T24" s="492">
        <v>0</v>
      </c>
      <c r="U24" s="492">
        <v>0</v>
      </c>
      <c r="V24" s="492">
        <f t="shared" si="15"/>
        <v>0</v>
      </c>
      <c r="W24" s="492">
        <v>0</v>
      </c>
      <c r="X24" s="492">
        <v>0</v>
      </c>
      <c r="Y24" s="492">
        <v>0</v>
      </c>
      <c r="Z24" s="492">
        <f t="shared" si="3"/>
        <v>0</v>
      </c>
      <c r="AA24" s="492">
        <f t="shared" si="4"/>
        <v>0</v>
      </c>
      <c r="AB24" s="74">
        <f t="shared" si="5"/>
        <v>0</v>
      </c>
      <c r="AC24" s="74">
        <f t="shared" si="6"/>
        <v>0</v>
      </c>
      <c r="AD24" s="492">
        <v>0</v>
      </c>
      <c r="AE24" s="492">
        <v>0</v>
      </c>
      <c r="AF24" s="492">
        <f t="shared" si="16"/>
        <v>0</v>
      </c>
      <c r="AG24" s="492">
        <f t="shared" si="17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si="7"/>
        <v>0</v>
      </c>
      <c r="AP24" s="493">
        <f t="shared" si="8"/>
        <v>0</v>
      </c>
      <c r="AQ24" s="664">
        <f t="shared" si="9"/>
        <v>0</v>
      </c>
      <c r="AR24" s="502">
        <f t="shared" si="18"/>
        <v>4362908</v>
      </c>
      <c r="AS24" s="492">
        <f t="shared" si="19"/>
        <v>3158949</v>
      </c>
      <c r="AT24" s="492">
        <f t="shared" si="20"/>
        <v>54600</v>
      </c>
      <c r="AU24" s="492">
        <f t="shared" si="21"/>
        <v>1086180</v>
      </c>
      <c r="AV24" s="492">
        <f t="shared" si="21"/>
        <v>63179</v>
      </c>
      <c r="AW24" s="492">
        <f t="shared" si="22"/>
        <v>0</v>
      </c>
      <c r="AX24" s="493">
        <f t="shared" si="23"/>
        <v>6.19</v>
      </c>
      <c r="AY24" s="493">
        <f t="shared" si="24"/>
        <v>6.19</v>
      </c>
      <c r="AZ24" s="495">
        <f t="shared" si="24"/>
        <v>0</v>
      </c>
    </row>
    <row r="25" spans="1:52" s="106" customFormat="1" ht="14.1" customHeight="1" x14ac:dyDescent="0.2">
      <c r="A25" s="129">
        <v>3</v>
      </c>
      <c r="B25" s="84">
        <v>2448</v>
      </c>
      <c r="C25" s="103">
        <v>600080269</v>
      </c>
      <c r="D25" s="84">
        <v>63154617</v>
      </c>
      <c r="E25" s="84" t="s">
        <v>748</v>
      </c>
      <c r="F25" s="104">
        <v>3143</v>
      </c>
      <c r="G25" s="84" t="s">
        <v>630</v>
      </c>
      <c r="H25" s="105" t="s">
        <v>279</v>
      </c>
      <c r="I25" s="494">
        <v>161028</v>
      </c>
      <c r="J25" s="655">
        <v>113872</v>
      </c>
      <c r="K25" s="655">
        <v>0</v>
      </c>
      <c r="L25" s="489">
        <v>38489</v>
      </c>
      <c r="M25" s="489">
        <v>2277</v>
      </c>
      <c r="N25" s="655">
        <v>6390</v>
      </c>
      <c r="O25" s="490">
        <v>0.44</v>
      </c>
      <c r="P25" s="491">
        <v>0</v>
      </c>
      <c r="Q25" s="657">
        <v>0.44</v>
      </c>
      <c r="R25" s="501">
        <f t="shared" si="2"/>
        <v>0</v>
      </c>
      <c r="S25" s="492">
        <v>0</v>
      </c>
      <c r="T25" s="492">
        <v>0</v>
      </c>
      <c r="U25" s="492">
        <v>0</v>
      </c>
      <c r="V25" s="492">
        <f t="shared" si="15"/>
        <v>0</v>
      </c>
      <c r="W25" s="492">
        <v>0</v>
      </c>
      <c r="X25" s="492">
        <v>0</v>
      </c>
      <c r="Y25" s="492">
        <v>0</v>
      </c>
      <c r="Z25" s="492">
        <f t="shared" si="3"/>
        <v>0</v>
      </c>
      <c r="AA25" s="492">
        <f t="shared" si="4"/>
        <v>0</v>
      </c>
      <c r="AB25" s="74">
        <f t="shared" si="5"/>
        <v>0</v>
      </c>
      <c r="AC25" s="74">
        <f t="shared" si="6"/>
        <v>0</v>
      </c>
      <c r="AD25" s="492">
        <v>0</v>
      </c>
      <c r="AE25" s="492">
        <v>0</v>
      </c>
      <c r="AF25" s="492">
        <f t="shared" si="16"/>
        <v>0</v>
      </c>
      <c r="AG25" s="492">
        <f t="shared" si="17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7"/>
        <v>0</v>
      </c>
      <c r="AP25" s="493">
        <f t="shared" si="8"/>
        <v>0</v>
      </c>
      <c r="AQ25" s="664">
        <f t="shared" si="9"/>
        <v>0</v>
      </c>
      <c r="AR25" s="502">
        <f t="shared" si="18"/>
        <v>161028</v>
      </c>
      <c r="AS25" s="492">
        <f t="shared" si="19"/>
        <v>113872</v>
      </c>
      <c r="AT25" s="492">
        <f t="shared" si="20"/>
        <v>0</v>
      </c>
      <c r="AU25" s="492">
        <f t="shared" si="21"/>
        <v>38489</v>
      </c>
      <c r="AV25" s="492">
        <f t="shared" si="21"/>
        <v>2277</v>
      </c>
      <c r="AW25" s="492">
        <f t="shared" si="22"/>
        <v>6390</v>
      </c>
      <c r="AX25" s="493">
        <f t="shared" si="23"/>
        <v>0.44</v>
      </c>
      <c r="AY25" s="493">
        <f t="shared" si="24"/>
        <v>0</v>
      </c>
      <c r="AZ25" s="495">
        <f t="shared" si="24"/>
        <v>0.44</v>
      </c>
    </row>
    <row r="26" spans="1:52" s="106" customFormat="1" ht="14.1" customHeight="1" x14ac:dyDescent="0.2">
      <c r="A26" s="129">
        <v>3</v>
      </c>
      <c r="B26" s="84">
        <v>2448</v>
      </c>
      <c r="C26" s="103">
        <v>600080269</v>
      </c>
      <c r="D26" s="84">
        <v>63154617</v>
      </c>
      <c r="E26" s="84" t="s">
        <v>748</v>
      </c>
      <c r="F26" s="104">
        <v>3231</v>
      </c>
      <c r="G26" s="84" t="s">
        <v>317</v>
      </c>
      <c r="H26" s="105" t="s">
        <v>278</v>
      </c>
      <c r="I26" s="494">
        <v>8439905</v>
      </c>
      <c r="J26" s="489">
        <v>6098767</v>
      </c>
      <c r="K26" s="489">
        <v>97500</v>
      </c>
      <c r="L26" s="489">
        <v>2094338</v>
      </c>
      <c r="M26" s="489">
        <v>121975</v>
      </c>
      <c r="N26" s="489">
        <v>27325</v>
      </c>
      <c r="O26" s="490">
        <v>11.4419</v>
      </c>
      <c r="P26" s="491">
        <v>10.1486</v>
      </c>
      <c r="Q26" s="658">
        <v>1.2932999999999999</v>
      </c>
      <c r="R26" s="501">
        <f t="shared" si="2"/>
        <v>0</v>
      </c>
      <c r="S26" s="492">
        <v>0</v>
      </c>
      <c r="T26" s="492">
        <v>0</v>
      </c>
      <c r="U26" s="492">
        <v>0</v>
      </c>
      <c r="V26" s="492">
        <f t="shared" si="15"/>
        <v>0</v>
      </c>
      <c r="W26" s="492">
        <v>0</v>
      </c>
      <c r="X26" s="492">
        <v>0</v>
      </c>
      <c r="Y26" s="492">
        <v>0</v>
      </c>
      <c r="Z26" s="492">
        <f t="shared" si="3"/>
        <v>0</v>
      </c>
      <c r="AA26" s="492">
        <f t="shared" si="4"/>
        <v>0</v>
      </c>
      <c r="AB26" s="74">
        <f t="shared" si="5"/>
        <v>0</v>
      </c>
      <c r="AC26" s="74">
        <f t="shared" si="6"/>
        <v>0</v>
      </c>
      <c r="AD26" s="492">
        <v>0</v>
      </c>
      <c r="AE26" s="492">
        <v>0</v>
      </c>
      <c r="AF26" s="492">
        <f t="shared" si="16"/>
        <v>0</v>
      </c>
      <c r="AG26" s="492">
        <f t="shared" si="17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7"/>
        <v>0</v>
      </c>
      <c r="AP26" s="493">
        <f t="shared" si="8"/>
        <v>0</v>
      </c>
      <c r="AQ26" s="664">
        <f t="shared" si="9"/>
        <v>0</v>
      </c>
      <c r="AR26" s="502">
        <f t="shared" si="18"/>
        <v>8439905</v>
      </c>
      <c r="AS26" s="492">
        <f t="shared" si="19"/>
        <v>6098767</v>
      </c>
      <c r="AT26" s="492">
        <f t="shared" si="20"/>
        <v>97500</v>
      </c>
      <c r="AU26" s="492">
        <f t="shared" si="21"/>
        <v>2094338</v>
      </c>
      <c r="AV26" s="492">
        <f t="shared" si="21"/>
        <v>121975</v>
      </c>
      <c r="AW26" s="492">
        <f t="shared" si="22"/>
        <v>27325</v>
      </c>
      <c r="AX26" s="493">
        <f t="shared" si="23"/>
        <v>11.4419</v>
      </c>
      <c r="AY26" s="493">
        <f t="shared" si="24"/>
        <v>10.1486</v>
      </c>
      <c r="AZ26" s="495">
        <f t="shared" si="24"/>
        <v>1.2932999999999999</v>
      </c>
    </row>
    <row r="27" spans="1:52" s="106" customFormat="1" ht="14.1" customHeight="1" x14ac:dyDescent="0.2">
      <c r="A27" s="129">
        <v>3</v>
      </c>
      <c r="B27" s="84">
        <v>2448</v>
      </c>
      <c r="C27" s="103">
        <v>600080269</v>
      </c>
      <c r="D27" s="84">
        <v>63154617</v>
      </c>
      <c r="E27" s="84" t="s">
        <v>748</v>
      </c>
      <c r="F27" s="104">
        <v>3233</v>
      </c>
      <c r="G27" s="84" t="s">
        <v>319</v>
      </c>
      <c r="H27" s="105" t="s">
        <v>279</v>
      </c>
      <c r="I27" s="494">
        <v>2145733</v>
      </c>
      <c r="J27" s="489">
        <v>1568367</v>
      </c>
      <c r="K27" s="489">
        <v>10400</v>
      </c>
      <c r="L27" s="489">
        <v>533623</v>
      </c>
      <c r="M27" s="489">
        <v>31367</v>
      </c>
      <c r="N27" s="489">
        <v>1976</v>
      </c>
      <c r="O27" s="490">
        <v>3.34</v>
      </c>
      <c r="P27" s="491">
        <v>2.38</v>
      </c>
      <c r="Q27" s="658">
        <v>0.96</v>
      </c>
      <c r="R27" s="501">
        <f t="shared" si="2"/>
        <v>0</v>
      </c>
      <c r="S27" s="492">
        <v>0</v>
      </c>
      <c r="T27" s="492">
        <v>0</v>
      </c>
      <c r="U27" s="492">
        <v>0</v>
      </c>
      <c r="V27" s="492">
        <f t="shared" si="15"/>
        <v>0</v>
      </c>
      <c r="W27" s="492">
        <v>0</v>
      </c>
      <c r="X27" s="492">
        <v>0</v>
      </c>
      <c r="Y27" s="492">
        <v>0</v>
      </c>
      <c r="Z27" s="492">
        <f t="shared" si="3"/>
        <v>0</v>
      </c>
      <c r="AA27" s="492">
        <f t="shared" si="4"/>
        <v>0</v>
      </c>
      <c r="AB27" s="74">
        <f t="shared" si="5"/>
        <v>0</v>
      </c>
      <c r="AC27" s="74">
        <f t="shared" si="6"/>
        <v>0</v>
      </c>
      <c r="AD27" s="492">
        <v>0</v>
      </c>
      <c r="AE27" s="492">
        <v>11609</v>
      </c>
      <c r="AF27" s="492">
        <f t="shared" si="16"/>
        <v>11609</v>
      </c>
      <c r="AG27" s="492">
        <f t="shared" si="17"/>
        <v>11609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si="7"/>
        <v>0</v>
      </c>
      <c r="AP27" s="493">
        <f t="shared" si="8"/>
        <v>0</v>
      </c>
      <c r="AQ27" s="664">
        <f t="shared" si="9"/>
        <v>0</v>
      </c>
      <c r="AR27" s="502">
        <f t="shared" si="18"/>
        <v>2157342</v>
      </c>
      <c r="AS27" s="492">
        <f t="shared" si="19"/>
        <v>1568367</v>
      </c>
      <c r="AT27" s="492">
        <f t="shared" si="20"/>
        <v>10400</v>
      </c>
      <c r="AU27" s="492">
        <f t="shared" si="21"/>
        <v>533623</v>
      </c>
      <c r="AV27" s="492">
        <f t="shared" si="21"/>
        <v>31367</v>
      </c>
      <c r="AW27" s="492">
        <f t="shared" si="22"/>
        <v>13585</v>
      </c>
      <c r="AX27" s="493">
        <f t="shared" si="23"/>
        <v>3.34</v>
      </c>
      <c r="AY27" s="493">
        <f t="shared" si="24"/>
        <v>2.38</v>
      </c>
      <c r="AZ27" s="495">
        <f t="shared" si="24"/>
        <v>0.96</v>
      </c>
    </row>
    <row r="28" spans="1:52" s="106" customFormat="1" ht="14.1" customHeight="1" x14ac:dyDescent="0.2">
      <c r="A28" s="130">
        <v>3</v>
      </c>
      <c r="B28" s="107">
        <v>2448</v>
      </c>
      <c r="C28" s="108">
        <v>600080269</v>
      </c>
      <c r="D28" s="107">
        <v>63154617</v>
      </c>
      <c r="E28" s="107" t="s">
        <v>749</v>
      </c>
      <c r="F28" s="109"/>
      <c r="G28" s="110"/>
      <c r="H28" s="111"/>
      <c r="I28" s="525">
        <v>103652249</v>
      </c>
      <c r="J28" s="521">
        <v>74666627</v>
      </c>
      <c r="K28" s="521">
        <v>520000</v>
      </c>
      <c r="L28" s="521">
        <v>25413080</v>
      </c>
      <c r="M28" s="521">
        <v>1493333</v>
      </c>
      <c r="N28" s="521">
        <v>1559209</v>
      </c>
      <c r="O28" s="522">
        <v>151.10740000000001</v>
      </c>
      <c r="P28" s="522">
        <v>115.6666</v>
      </c>
      <c r="Q28" s="113">
        <v>35.440800000000003</v>
      </c>
      <c r="R28" s="529">
        <f t="shared" ref="R28:AZ28" si="25">SUM(R20:R27)</f>
        <v>0</v>
      </c>
      <c r="S28" s="521">
        <f t="shared" si="25"/>
        <v>0</v>
      </c>
      <c r="T28" s="521">
        <f t="shared" si="25"/>
        <v>0</v>
      </c>
      <c r="U28" s="521">
        <f t="shared" si="25"/>
        <v>-646747</v>
      </c>
      <c r="V28" s="521">
        <f t="shared" si="25"/>
        <v>-646747</v>
      </c>
      <c r="W28" s="521">
        <f t="shared" si="25"/>
        <v>0</v>
      </c>
      <c r="X28" s="521">
        <f t="shared" si="25"/>
        <v>0</v>
      </c>
      <c r="Y28" s="521">
        <f t="shared" si="25"/>
        <v>0</v>
      </c>
      <c r="Z28" s="521">
        <f t="shared" si="25"/>
        <v>0</v>
      </c>
      <c r="AA28" s="521">
        <f t="shared" si="25"/>
        <v>-646747</v>
      </c>
      <c r="AB28" s="521">
        <f t="shared" si="25"/>
        <v>-218600</v>
      </c>
      <c r="AC28" s="521">
        <f t="shared" si="25"/>
        <v>-12935</v>
      </c>
      <c r="AD28" s="521">
        <f t="shared" si="25"/>
        <v>500</v>
      </c>
      <c r="AE28" s="521">
        <f t="shared" si="25"/>
        <v>11609</v>
      </c>
      <c r="AF28" s="521">
        <f t="shared" si="25"/>
        <v>12109</v>
      </c>
      <c r="AG28" s="521">
        <f t="shared" si="25"/>
        <v>-866173</v>
      </c>
      <c r="AH28" s="522">
        <f t="shared" si="25"/>
        <v>0</v>
      </c>
      <c r="AI28" s="522">
        <f t="shared" si="25"/>
        <v>0</v>
      </c>
      <c r="AJ28" s="522">
        <f t="shared" si="25"/>
        <v>0</v>
      </c>
      <c r="AK28" s="522">
        <f t="shared" ref="AK28:AL28" si="26">SUM(AK20:AK27)</f>
        <v>0</v>
      </c>
      <c r="AL28" s="522">
        <f t="shared" si="26"/>
        <v>0</v>
      </c>
      <c r="AM28" s="522">
        <f t="shared" si="25"/>
        <v>-0.91</v>
      </c>
      <c r="AN28" s="522">
        <f t="shared" si="25"/>
        <v>-0.25</v>
      </c>
      <c r="AO28" s="522">
        <f t="shared" si="25"/>
        <v>-0.91</v>
      </c>
      <c r="AP28" s="522">
        <f t="shared" si="25"/>
        <v>-0.25</v>
      </c>
      <c r="AQ28" s="527">
        <f t="shared" si="25"/>
        <v>-1.1600000000000001</v>
      </c>
      <c r="AR28" s="525">
        <f t="shared" si="25"/>
        <v>102786076</v>
      </c>
      <c r="AS28" s="521">
        <f t="shared" si="25"/>
        <v>74019880</v>
      </c>
      <c r="AT28" s="521">
        <f t="shared" si="25"/>
        <v>520000</v>
      </c>
      <c r="AU28" s="521">
        <f t="shared" si="25"/>
        <v>25194480</v>
      </c>
      <c r="AV28" s="521">
        <f t="shared" si="25"/>
        <v>1480398</v>
      </c>
      <c r="AW28" s="521">
        <f t="shared" si="25"/>
        <v>1571318</v>
      </c>
      <c r="AX28" s="522">
        <f t="shared" si="25"/>
        <v>149.94740000000002</v>
      </c>
      <c r="AY28" s="522">
        <f t="shared" si="25"/>
        <v>114.75660000000001</v>
      </c>
      <c r="AZ28" s="113">
        <f t="shared" si="25"/>
        <v>35.190800000000003</v>
      </c>
    </row>
    <row r="29" spans="1:52" s="106" customFormat="1" ht="14.1" customHeight="1" x14ac:dyDescent="0.2">
      <c r="A29" s="129">
        <v>4</v>
      </c>
      <c r="B29" s="112">
        <v>2450</v>
      </c>
      <c r="C29" s="103">
        <v>600080234</v>
      </c>
      <c r="D29" s="84">
        <v>72745045</v>
      </c>
      <c r="E29" s="84" t="s">
        <v>750</v>
      </c>
      <c r="F29" s="104">
        <v>3111</v>
      </c>
      <c r="G29" s="84" t="s">
        <v>312</v>
      </c>
      <c r="H29" s="105" t="s">
        <v>278</v>
      </c>
      <c r="I29" s="494">
        <v>1361605</v>
      </c>
      <c r="J29" s="655">
        <v>973988</v>
      </c>
      <c r="K29" s="655">
        <v>24050</v>
      </c>
      <c r="L29" s="489">
        <v>337337</v>
      </c>
      <c r="M29" s="489">
        <v>19480</v>
      </c>
      <c r="N29" s="655">
        <v>6750</v>
      </c>
      <c r="O29" s="490">
        <v>2.4209000000000001</v>
      </c>
      <c r="P29" s="491">
        <v>1.96</v>
      </c>
      <c r="Q29" s="657">
        <v>0.46089999999999998</v>
      </c>
      <c r="R29" s="501">
        <f t="shared" si="2"/>
        <v>0</v>
      </c>
      <c r="S29" s="492">
        <v>0</v>
      </c>
      <c r="T29" s="492">
        <v>0</v>
      </c>
      <c r="U29" s="492">
        <v>0</v>
      </c>
      <c r="V29" s="492">
        <f t="shared" ref="V29:V34" si="27">SUM(R29:U29)</f>
        <v>0</v>
      </c>
      <c r="W29" s="492">
        <v>0</v>
      </c>
      <c r="X29" s="492">
        <v>0</v>
      </c>
      <c r="Y29" s="492">
        <v>0</v>
      </c>
      <c r="Z29" s="492">
        <f t="shared" si="3"/>
        <v>0</v>
      </c>
      <c r="AA29" s="492">
        <f t="shared" si="4"/>
        <v>0</v>
      </c>
      <c r="AB29" s="74">
        <f t="shared" si="5"/>
        <v>0</v>
      </c>
      <c r="AC29" s="74">
        <f t="shared" si="6"/>
        <v>0</v>
      </c>
      <c r="AD29" s="492">
        <v>0</v>
      </c>
      <c r="AE29" s="492">
        <v>0</v>
      </c>
      <c r="AF29" s="492">
        <f t="shared" ref="AF29:AF34" si="28">SUM(AD29:AE29)</f>
        <v>0</v>
      </c>
      <c r="AG29" s="492">
        <f t="shared" ref="AG29:AG34" si="29">AA29+AB29+AC29+AF29</f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7"/>
        <v>0</v>
      </c>
      <c r="AP29" s="493">
        <f t="shared" si="8"/>
        <v>0</v>
      </c>
      <c r="AQ29" s="664">
        <f t="shared" si="9"/>
        <v>0</v>
      </c>
      <c r="AR29" s="502">
        <f t="shared" ref="AR29:AR34" si="30">I29+AG29</f>
        <v>1361605</v>
      </c>
      <c r="AS29" s="492">
        <f t="shared" ref="AS29:AS34" si="31">J29+V29</f>
        <v>973988</v>
      </c>
      <c r="AT29" s="492">
        <f t="shared" ref="AT29:AT34" si="32">K29+Z29</f>
        <v>24050</v>
      </c>
      <c r="AU29" s="492">
        <f t="shared" ref="AU29:AV34" si="33">L29+AB29</f>
        <v>337337</v>
      </c>
      <c r="AV29" s="492">
        <f t="shared" si="33"/>
        <v>19480</v>
      </c>
      <c r="AW29" s="492">
        <f t="shared" ref="AW29:AW34" si="34">N29+AF29</f>
        <v>6750</v>
      </c>
      <c r="AX29" s="493">
        <f t="shared" ref="AX29:AX34" si="35">O29+AQ29</f>
        <v>2.4209000000000001</v>
      </c>
      <c r="AY29" s="493">
        <f t="shared" ref="AY29:AZ34" si="36">P29+AO29</f>
        <v>1.96</v>
      </c>
      <c r="AZ29" s="495">
        <f t="shared" si="36"/>
        <v>0.46089999999999998</v>
      </c>
    </row>
    <row r="30" spans="1:52" s="106" customFormat="1" ht="14.1" customHeight="1" x14ac:dyDescent="0.2">
      <c r="A30" s="129">
        <v>4</v>
      </c>
      <c r="B30" s="114">
        <v>2450</v>
      </c>
      <c r="C30" s="103">
        <v>600080234</v>
      </c>
      <c r="D30" s="84">
        <v>72745045</v>
      </c>
      <c r="E30" s="114" t="s">
        <v>750</v>
      </c>
      <c r="F30" s="115">
        <v>3117</v>
      </c>
      <c r="G30" s="114" t="s">
        <v>330</v>
      </c>
      <c r="H30" s="105" t="s">
        <v>278</v>
      </c>
      <c r="I30" s="494">
        <v>2690707</v>
      </c>
      <c r="J30" s="655">
        <v>1939583</v>
      </c>
      <c r="K30" s="655">
        <v>14300</v>
      </c>
      <c r="L30" s="489">
        <v>660413</v>
      </c>
      <c r="M30" s="489">
        <v>38791</v>
      </c>
      <c r="N30" s="655">
        <v>37620</v>
      </c>
      <c r="O30" s="490">
        <v>3.6373000000000002</v>
      </c>
      <c r="P30" s="491">
        <v>2.5809000000000002</v>
      </c>
      <c r="Q30" s="657">
        <v>1.0564</v>
      </c>
      <c r="R30" s="501">
        <f t="shared" si="2"/>
        <v>0</v>
      </c>
      <c r="S30" s="492">
        <v>0</v>
      </c>
      <c r="T30" s="492">
        <v>0</v>
      </c>
      <c r="U30" s="492">
        <v>0</v>
      </c>
      <c r="V30" s="492">
        <f t="shared" si="27"/>
        <v>0</v>
      </c>
      <c r="W30" s="492">
        <v>0</v>
      </c>
      <c r="X30" s="492">
        <v>0</v>
      </c>
      <c r="Y30" s="492">
        <v>0</v>
      </c>
      <c r="Z30" s="492">
        <f t="shared" si="3"/>
        <v>0</v>
      </c>
      <c r="AA30" s="492">
        <f t="shared" si="4"/>
        <v>0</v>
      </c>
      <c r="AB30" s="74">
        <f t="shared" si="5"/>
        <v>0</v>
      </c>
      <c r="AC30" s="74">
        <f t="shared" si="6"/>
        <v>0</v>
      </c>
      <c r="AD30" s="492">
        <v>0</v>
      </c>
      <c r="AE30" s="492">
        <v>0</v>
      </c>
      <c r="AF30" s="492">
        <f t="shared" si="28"/>
        <v>0</v>
      </c>
      <c r="AG30" s="492">
        <f t="shared" si="29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si="7"/>
        <v>0</v>
      </c>
      <c r="AP30" s="493">
        <f t="shared" si="8"/>
        <v>0</v>
      </c>
      <c r="AQ30" s="664">
        <f t="shared" si="9"/>
        <v>0</v>
      </c>
      <c r="AR30" s="502">
        <f t="shared" si="30"/>
        <v>2690707</v>
      </c>
      <c r="AS30" s="492">
        <f t="shared" si="31"/>
        <v>1939583</v>
      </c>
      <c r="AT30" s="492">
        <f t="shared" si="32"/>
        <v>14300</v>
      </c>
      <c r="AU30" s="492">
        <f t="shared" si="33"/>
        <v>660413</v>
      </c>
      <c r="AV30" s="492">
        <f t="shared" si="33"/>
        <v>38791</v>
      </c>
      <c r="AW30" s="492">
        <f t="shared" si="34"/>
        <v>37620</v>
      </c>
      <c r="AX30" s="493">
        <f t="shared" si="35"/>
        <v>3.6373000000000002</v>
      </c>
      <c r="AY30" s="493">
        <f t="shared" si="36"/>
        <v>2.5809000000000002</v>
      </c>
      <c r="AZ30" s="495">
        <f t="shared" si="36"/>
        <v>1.0564</v>
      </c>
    </row>
    <row r="31" spans="1:52" s="106" customFormat="1" ht="14.1" customHeight="1" x14ac:dyDescent="0.2">
      <c r="A31" s="129">
        <v>4</v>
      </c>
      <c r="B31" s="112">
        <v>2450</v>
      </c>
      <c r="C31" s="103">
        <v>600080234</v>
      </c>
      <c r="D31" s="84">
        <v>72745045</v>
      </c>
      <c r="E31" s="112" t="s">
        <v>750</v>
      </c>
      <c r="F31" s="104">
        <v>3117</v>
      </c>
      <c r="G31" s="84" t="s">
        <v>313</v>
      </c>
      <c r="H31" s="105" t="s">
        <v>279</v>
      </c>
      <c r="I31" s="494">
        <v>1304359</v>
      </c>
      <c r="J31" s="489">
        <v>960500</v>
      </c>
      <c r="K31" s="489">
        <v>0</v>
      </c>
      <c r="L31" s="489">
        <v>324649</v>
      </c>
      <c r="M31" s="489">
        <v>19210</v>
      </c>
      <c r="N31" s="489">
        <v>0</v>
      </c>
      <c r="O31" s="490">
        <v>2.74</v>
      </c>
      <c r="P31" s="491">
        <v>2.74</v>
      </c>
      <c r="Q31" s="658">
        <v>0</v>
      </c>
      <c r="R31" s="501">
        <f t="shared" si="2"/>
        <v>0</v>
      </c>
      <c r="S31" s="492">
        <v>0</v>
      </c>
      <c r="T31" s="492">
        <v>0</v>
      </c>
      <c r="U31" s="492">
        <v>0</v>
      </c>
      <c r="V31" s="492">
        <f t="shared" si="27"/>
        <v>0</v>
      </c>
      <c r="W31" s="492">
        <v>0</v>
      </c>
      <c r="X31" s="492">
        <v>0</v>
      </c>
      <c r="Y31" s="492">
        <v>0</v>
      </c>
      <c r="Z31" s="492">
        <f t="shared" si="3"/>
        <v>0</v>
      </c>
      <c r="AA31" s="492">
        <f t="shared" si="4"/>
        <v>0</v>
      </c>
      <c r="AB31" s="74">
        <f t="shared" si="5"/>
        <v>0</v>
      </c>
      <c r="AC31" s="74">
        <f t="shared" si="6"/>
        <v>0</v>
      </c>
      <c r="AD31" s="492">
        <v>0</v>
      </c>
      <c r="AE31" s="492">
        <v>0</v>
      </c>
      <c r="AF31" s="492">
        <f t="shared" si="28"/>
        <v>0</v>
      </c>
      <c r="AG31" s="492">
        <f t="shared" si="29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si="7"/>
        <v>0</v>
      </c>
      <c r="AP31" s="493">
        <f t="shared" si="8"/>
        <v>0</v>
      </c>
      <c r="AQ31" s="664">
        <f t="shared" si="9"/>
        <v>0</v>
      </c>
      <c r="AR31" s="502">
        <f t="shared" si="30"/>
        <v>1304359</v>
      </c>
      <c r="AS31" s="492">
        <f t="shared" si="31"/>
        <v>960500</v>
      </c>
      <c r="AT31" s="492">
        <f t="shared" si="32"/>
        <v>0</v>
      </c>
      <c r="AU31" s="492">
        <f t="shared" si="33"/>
        <v>324649</v>
      </c>
      <c r="AV31" s="492">
        <f t="shared" si="33"/>
        <v>19210</v>
      </c>
      <c r="AW31" s="492">
        <f t="shared" si="34"/>
        <v>0</v>
      </c>
      <c r="AX31" s="493">
        <f t="shared" si="35"/>
        <v>2.74</v>
      </c>
      <c r="AY31" s="493">
        <f t="shared" si="36"/>
        <v>2.74</v>
      </c>
      <c r="AZ31" s="495">
        <f t="shared" si="36"/>
        <v>0</v>
      </c>
    </row>
    <row r="32" spans="1:52" s="106" customFormat="1" ht="14.1" customHeight="1" x14ac:dyDescent="0.2">
      <c r="A32" s="129">
        <v>4</v>
      </c>
      <c r="B32" s="84">
        <v>2450</v>
      </c>
      <c r="C32" s="103">
        <v>600080234</v>
      </c>
      <c r="D32" s="84">
        <v>72745045</v>
      </c>
      <c r="E32" s="84" t="s">
        <v>750</v>
      </c>
      <c r="F32" s="104">
        <v>3141</v>
      </c>
      <c r="G32" s="84" t="s">
        <v>316</v>
      </c>
      <c r="H32" s="105" t="s">
        <v>279</v>
      </c>
      <c r="I32" s="494">
        <v>522925</v>
      </c>
      <c r="J32" s="655">
        <v>372688</v>
      </c>
      <c r="K32" s="655">
        <v>11050</v>
      </c>
      <c r="L32" s="489">
        <v>129703</v>
      </c>
      <c r="M32" s="489">
        <v>7454</v>
      </c>
      <c r="N32" s="655">
        <v>2030</v>
      </c>
      <c r="O32" s="490">
        <v>1.2</v>
      </c>
      <c r="P32" s="491">
        <v>0</v>
      </c>
      <c r="Q32" s="657">
        <v>1.2</v>
      </c>
      <c r="R32" s="501">
        <f t="shared" si="2"/>
        <v>0</v>
      </c>
      <c r="S32" s="492">
        <v>0</v>
      </c>
      <c r="T32" s="492">
        <v>0</v>
      </c>
      <c r="U32" s="492">
        <v>0</v>
      </c>
      <c r="V32" s="492">
        <f t="shared" si="27"/>
        <v>0</v>
      </c>
      <c r="W32" s="492">
        <v>0</v>
      </c>
      <c r="X32" s="492">
        <v>0</v>
      </c>
      <c r="Y32" s="492">
        <v>0</v>
      </c>
      <c r="Z32" s="492">
        <f t="shared" si="3"/>
        <v>0</v>
      </c>
      <c r="AA32" s="492">
        <f t="shared" si="4"/>
        <v>0</v>
      </c>
      <c r="AB32" s="74">
        <f t="shared" si="5"/>
        <v>0</v>
      </c>
      <c r="AC32" s="74">
        <f t="shared" si="6"/>
        <v>0</v>
      </c>
      <c r="AD32" s="492">
        <v>0</v>
      </c>
      <c r="AE32" s="492">
        <v>0</v>
      </c>
      <c r="AF32" s="492">
        <f t="shared" si="28"/>
        <v>0</v>
      </c>
      <c r="AG32" s="492">
        <f t="shared" si="29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si="7"/>
        <v>0</v>
      </c>
      <c r="AP32" s="493">
        <f t="shared" si="8"/>
        <v>0</v>
      </c>
      <c r="AQ32" s="664">
        <f t="shared" si="9"/>
        <v>0</v>
      </c>
      <c r="AR32" s="502">
        <f t="shared" si="30"/>
        <v>522925</v>
      </c>
      <c r="AS32" s="492">
        <f t="shared" si="31"/>
        <v>372688</v>
      </c>
      <c r="AT32" s="492">
        <f t="shared" si="32"/>
        <v>11050</v>
      </c>
      <c r="AU32" s="492">
        <f t="shared" si="33"/>
        <v>129703</v>
      </c>
      <c r="AV32" s="492">
        <f t="shared" si="33"/>
        <v>7454</v>
      </c>
      <c r="AW32" s="492">
        <f t="shared" si="34"/>
        <v>2030</v>
      </c>
      <c r="AX32" s="493">
        <f t="shared" si="35"/>
        <v>1.2</v>
      </c>
      <c r="AY32" s="493">
        <f t="shared" si="36"/>
        <v>0</v>
      </c>
      <c r="AZ32" s="495">
        <f t="shared" si="36"/>
        <v>1.2</v>
      </c>
    </row>
    <row r="33" spans="1:52" s="106" customFormat="1" ht="14.1" customHeight="1" x14ac:dyDescent="0.2">
      <c r="A33" s="129">
        <v>4</v>
      </c>
      <c r="B33" s="84">
        <v>2450</v>
      </c>
      <c r="C33" s="103">
        <v>600080234</v>
      </c>
      <c r="D33" s="84">
        <v>72745045</v>
      </c>
      <c r="E33" s="84" t="s">
        <v>750</v>
      </c>
      <c r="F33" s="104">
        <v>3143</v>
      </c>
      <c r="G33" s="84" t="s">
        <v>629</v>
      </c>
      <c r="H33" s="105" t="s">
        <v>278</v>
      </c>
      <c r="I33" s="494">
        <v>638708</v>
      </c>
      <c r="J33" s="656">
        <v>462645</v>
      </c>
      <c r="K33" s="656">
        <v>7800</v>
      </c>
      <c r="L33" s="489">
        <v>159010</v>
      </c>
      <c r="M33" s="489">
        <v>9253</v>
      </c>
      <c r="N33" s="489">
        <v>0</v>
      </c>
      <c r="O33" s="490">
        <v>1</v>
      </c>
      <c r="P33" s="14">
        <v>1</v>
      </c>
      <c r="Q33" s="658">
        <v>0</v>
      </c>
      <c r="R33" s="501">
        <f t="shared" si="2"/>
        <v>0</v>
      </c>
      <c r="S33" s="492">
        <v>0</v>
      </c>
      <c r="T33" s="492">
        <v>0</v>
      </c>
      <c r="U33" s="492">
        <v>0</v>
      </c>
      <c r="V33" s="492">
        <f t="shared" si="27"/>
        <v>0</v>
      </c>
      <c r="W33" s="492">
        <v>0</v>
      </c>
      <c r="X33" s="492">
        <v>0</v>
      </c>
      <c r="Y33" s="492">
        <v>0</v>
      </c>
      <c r="Z33" s="492">
        <f t="shared" si="3"/>
        <v>0</v>
      </c>
      <c r="AA33" s="492">
        <f t="shared" si="4"/>
        <v>0</v>
      </c>
      <c r="AB33" s="74">
        <f t="shared" si="5"/>
        <v>0</v>
      </c>
      <c r="AC33" s="74">
        <f t="shared" si="6"/>
        <v>0</v>
      </c>
      <c r="AD33" s="492">
        <v>0</v>
      </c>
      <c r="AE33" s="492">
        <v>0</v>
      </c>
      <c r="AF33" s="492">
        <f t="shared" si="28"/>
        <v>0</v>
      </c>
      <c r="AG33" s="492">
        <f t="shared" si="29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si="7"/>
        <v>0</v>
      </c>
      <c r="AP33" s="493">
        <f t="shared" si="8"/>
        <v>0</v>
      </c>
      <c r="AQ33" s="664">
        <f t="shared" si="9"/>
        <v>0</v>
      </c>
      <c r="AR33" s="502">
        <f t="shared" si="30"/>
        <v>638708</v>
      </c>
      <c r="AS33" s="492">
        <f t="shared" si="31"/>
        <v>462645</v>
      </c>
      <c r="AT33" s="492">
        <f t="shared" si="32"/>
        <v>7800</v>
      </c>
      <c r="AU33" s="492">
        <f t="shared" si="33"/>
        <v>159010</v>
      </c>
      <c r="AV33" s="492">
        <f t="shared" si="33"/>
        <v>9253</v>
      </c>
      <c r="AW33" s="492">
        <f t="shared" si="34"/>
        <v>0</v>
      </c>
      <c r="AX33" s="493">
        <f t="shared" si="35"/>
        <v>1</v>
      </c>
      <c r="AY33" s="493">
        <f t="shared" si="36"/>
        <v>1</v>
      </c>
      <c r="AZ33" s="495">
        <f t="shared" si="36"/>
        <v>0</v>
      </c>
    </row>
    <row r="34" spans="1:52" s="106" customFormat="1" ht="14.1" customHeight="1" x14ac:dyDescent="0.2">
      <c r="A34" s="129">
        <v>4</v>
      </c>
      <c r="B34" s="84">
        <v>2450</v>
      </c>
      <c r="C34" s="103">
        <v>600080234</v>
      </c>
      <c r="D34" s="84">
        <v>72745045</v>
      </c>
      <c r="E34" s="84" t="s">
        <v>750</v>
      </c>
      <c r="F34" s="104">
        <v>3143</v>
      </c>
      <c r="G34" s="84" t="s">
        <v>630</v>
      </c>
      <c r="H34" s="105" t="s">
        <v>279</v>
      </c>
      <c r="I34" s="494">
        <v>15877</v>
      </c>
      <c r="J34" s="655">
        <v>11227</v>
      </c>
      <c r="K34" s="655">
        <v>0</v>
      </c>
      <c r="L34" s="489">
        <v>3795</v>
      </c>
      <c r="M34" s="489">
        <v>225</v>
      </c>
      <c r="N34" s="655">
        <v>630</v>
      </c>
      <c r="O34" s="490">
        <v>0.04</v>
      </c>
      <c r="P34" s="491">
        <v>0</v>
      </c>
      <c r="Q34" s="657">
        <v>0.04</v>
      </c>
      <c r="R34" s="501">
        <f t="shared" si="2"/>
        <v>0</v>
      </c>
      <c r="S34" s="492">
        <v>0</v>
      </c>
      <c r="T34" s="492">
        <v>0</v>
      </c>
      <c r="U34" s="492">
        <v>0</v>
      </c>
      <c r="V34" s="492">
        <f t="shared" si="27"/>
        <v>0</v>
      </c>
      <c r="W34" s="492">
        <v>0</v>
      </c>
      <c r="X34" s="492">
        <v>0</v>
      </c>
      <c r="Y34" s="492">
        <v>0</v>
      </c>
      <c r="Z34" s="492">
        <f t="shared" si="3"/>
        <v>0</v>
      </c>
      <c r="AA34" s="492">
        <f t="shared" si="4"/>
        <v>0</v>
      </c>
      <c r="AB34" s="74">
        <f t="shared" si="5"/>
        <v>0</v>
      </c>
      <c r="AC34" s="74">
        <f t="shared" si="6"/>
        <v>0</v>
      </c>
      <c r="AD34" s="492">
        <v>0</v>
      </c>
      <c r="AE34" s="492">
        <v>0</v>
      </c>
      <c r="AF34" s="492">
        <f t="shared" si="28"/>
        <v>0</v>
      </c>
      <c r="AG34" s="492">
        <f t="shared" si="29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7"/>
        <v>0</v>
      </c>
      <c r="AP34" s="493">
        <f t="shared" si="8"/>
        <v>0</v>
      </c>
      <c r="AQ34" s="664">
        <f t="shared" si="9"/>
        <v>0</v>
      </c>
      <c r="AR34" s="502">
        <f t="shared" si="30"/>
        <v>15877</v>
      </c>
      <c r="AS34" s="492">
        <f t="shared" si="31"/>
        <v>11227</v>
      </c>
      <c r="AT34" s="492">
        <f t="shared" si="32"/>
        <v>0</v>
      </c>
      <c r="AU34" s="492">
        <f t="shared" si="33"/>
        <v>3795</v>
      </c>
      <c r="AV34" s="492">
        <f t="shared" si="33"/>
        <v>225</v>
      </c>
      <c r="AW34" s="492">
        <f t="shared" si="34"/>
        <v>630</v>
      </c>
      <c r="AX34" s="493">
        <f t="shared" si="35"/>
        <v>0.04</v>
      </c>
      <c r="AY34" s="493">
        <f t="shared" si="36"/>
        <v>0</v>
      </c>
      <c r="AZ34" s="495">
        <f t="shared" si="36"/>
        <v>0.04</v>
      </c>
    </row>
    <row r="35" spans="1:52" s="106" customFormat="1" ht="14.1" customHeight="1" x14ac:dyDescent="0.2">
      <c r="A35" s="130">
        <v>4</v>
      </c>
      <c r="B35" s="107">
        <v>2450</v>
      </c>
      <c r="C35" s="108">
        <v>600080234</v>
      </c>
      <c r="D35" s="107">
        <v>72745045</v>
      </c>
      <c r="E35" s="107" t="s">
        <v>751</v>
      </c>
      <c r="F35" s="116"/>
      <c r="G35" s="110"/>
      <c r="H35" s="111"/>
      <c r="I35" s="525">
        <v>6534181</v>
      </c>
      <c r="J35" s="521">
        <v>4720631</v>
      </c>
      <c r="K35" s="521">
        <v>57200</v>
      </c>
      <c r="L35" s="521">
        <v>1614907</v>
      </c>
      <c r="M35" s="521">
        <v>94413</v>
      </c>
      <c r="N35" s="521">
        <v>47030</v>
      </c>
      <c r="O35" s="522">
        <v>11.0382</v>
      </c>
      <c r="P35" s="522">
        <v>8.2809000000000008</v>
      </c>
      <c r="Q35" s="113">
        <v>2.7572999999999999</v>
      </c>
      <c r="R35" s="529">
        <f t="shared" ref="R35:AZ35" si="37">SUM(R29:R34)</f>
        <v>0</v>
      </c>
      <c r="S35" s="521">
        <f t="shared" si="37"/>
        <v>0</v>
      </c>
      <c r="T35" s="521">
        <f t="shared" si="37"/>
        <v>0</v>
      </c>
      <c r="U35" s="521">
        <f t="shared" si="37"/>
        <v>0</v>
      </c>
      <c r="V35" s="521">
        <f t="shared" si="37"/>
        <v>0</v>
      </c>
      <c r="W35" s="521">
        <f t="shared" si="37"/>
        <v>0</v>
      </c>
      <c r="X35" s="521">
        <f t="shared" si="37"/>
        <v>0</v>
      </c>
      <c r="Y35" s="521">
        <f t="shared" si="37"/>
        <v>0</v>
      </c>
      <c r="Z35" s="521">
        <f t="shared" si="37"/>
        <v>0</v>
      </c>
      <c r="AA35" s="521">
        <f t="shared" si="37"/>
        <v>0</v>
      </c>
      <c r="AB35" s="521">
        <f t="shared" si="37"/>
        <v>0</v>
      </c>
      <c r="AC35" s="521">
        <f t="shared" si="37"/>
        <v>0</v>
      </c>
      <c r="AD35" s="521">
        <f t="shared" si="37"/>
        <v>0</v>
      </c>
      <c r="AE35" s="521">
        <f t="shared" si="37"/>
        <v>0</v>
      </c>
      <c r="AF35" s="521">
        <f t="shared" si="37"/>
        <v>0</v>
      </c>
      <c r="AG35" s="521">
        <f t="shared" si="37"/>
        <v>0</v>
      </c>
      <c r="AH35" s="522">
        <f t="shared" si="37"/>
        <v>0</v>
      </c>
      <c r="AI35" s="522">
        <f t="shared" si="37"/>
        <v>0</v>
      </c>
      <c r="AJ35" s="522">
        <f t="shared" si="37"/>
        <v>0</v>
      </c>
      <c r="AK35" s="522">
        <f t="shared" ref="AK35:AL35" si="38">SUM(AK29:AK34)</f>
        <v>0</v>
      </c>
      <c r="AL35" s="522">
        <f t="shared" si="38"/>
        <v>0</v>
      </c>
      <c r="AM35" s="522">
        <f t="shared" si="37"/>
        <v>0</v>
      </c>
      <c r="AN35" s="522">
        <f t="shared" si="37"/>
        <v>0</v>
      </c>
      <c r="AO35" s="522">
        <f t="shared" si="37"/>
        <v>0</v>
      </c>
      <c r="AP35" s="522">
        <f t="shared" si="37"/>
        <v>0</v>
      </c>
      <c r="AQ35" s="527">
        <f t="shared" si="37"/>
        <v>0</v>
      </c>
      <c r="AR35" s="525">
        <f t="shared" si="37"/>
        <v>6534181</v>
      </c>
      <c r="AS35" s="521">
        <f t="shared" si="37"/>
        <v>4720631</v>
      </c>
      <c r="AT35" s="521">
        <f t="shared" si="37"/>
        <v>57200</v>
      </c>
      <c r="AU35" s="521">
        <f t="shared" si="37"/>
        <v>1614907</v>
      </c>
      <c r="AV35" s="521">
        <f t="shared" si="37"/>
        <v>94413</v>
      </c>
      <c r="AW35" s="521">
        <f t="shared" si="37"/>
        <v>47030</v>
      </c>
      <c r="AX35" s="522">
        <f t="shared" si="37"/>
        <v>11.0382</v>
      </c>
      <c r="AY35" s="522">
        <f t="shared" si="37"/>
        <v>8.2809000000000008</v>
      </c>
      <c r="AZ35" s="113">
        <f t="shared" si="37"/>
        <v>2.7572999999999999</v>
      </c>
    </row>
    <row r="36" spans="1:52" s="106" customFormat="1" ht="14.1" customHeight="1" x14ac:dyDescent="0.2">
      <c r="A36" s="129">
        <v>5</v>
      </c>
      <c r="B36" s="112">
        <v>2451</v>
      </c>
      <c r="C36" s="103">
        <v>650037901</v>
      </c>
      <c r="D36" s="84">
        <v>72744880</v>
      </c>
      <c r="E36" s="84" t="s">
        <v>752</v>
      </c>
      <c r="F36" s="104">
        <v>3111</v>
      </c>
      <c r="G36" s="84" t="s">
        <v>312</v>
      </c>
      <c r="H36" s="105" t="s">
        <v>278</v>
      </c>
      <c r="I36" s="494">
        <v>1557499</v>
      </c>
      <c r="J36" s="655">
        <v>1138291</v>
      </c>
      <c r="K36" s="655">
        <v>0</v>
      </c>
      <c r="L36" s="489">
        <v>384742</v>
      </c>
      <c r="M36" s="489">
        <v>22766</v>
      </c>
      <c r="N36" s="655">
        <v>11700</v>
      </c>
      <c r="O36" s="490">
        <v>2.5108999999999999</v>
      </c>
      <c r="P36" s="491">
        <v>2</v>
      </c>
      <c r="Q36" s="657">
        <v>0.51090000000000002</v>
      </c>
      <c r="R36" s="501">
        <f t="shared" si="2"/>
        <v>0</v>
      </c>
      <c r="S36" s="492">
        <v>0</v>
      </c>
      <c r="T36" s="492">
        <v>0</v>
      </c>
      <c r="U36" s="492">
        <v>0</v>
      </c>
      <c r="V36" s="492">
        <f t="shared" ref="V36:V41" si="39">SUM(R36:U36)</f>
        <v>0</v>
      </c>
      <c r="W36" s="492">
        <v>0</v>
      </c>
      <c r="X36" s="492">
        <v>0</v>
      </c>
      <c r="Y36" s="492">
        <v>0</v>
      </c>
      <c r="Z36" s="492">
        <f t="shared" si="3"/>
        <v>0</v>
      </c>
      <c r="AA36" s="492">
        <f t="shared" si="4"/>
        <v>0</v>
      </c>
      <c r="AB36" s="74">
        <f t="shared" si="5"/>
        <v>0</v>
      </c>
      <c r="AC36" s="74">
        <f t="shared" si="6"/>
        <v>0</v>
      </c>
      <c r="AD36" s="492">
        <v>0</v>
      </c>
      <c r="AE36" s="492">
        <v>0</v>
      </c>
      <c r="AF36" s="492">
        <f t="shared" ref="AF36:AF41" si="40">SUM(AD36:AE36)</f>
        <v>0</v>
      </c>
      <c r="AG36" s="492">
        <f t="shared" ref="AG36:AG41" si="41">AA36+AB36+AC36+AF36</f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7"/>
        <v>0</v>
      </c>
      <c r="AP36" s="493">
        <f t="shared" si="8"/>
        <v>0</v>
      </c>
      <c r="AQ36" s="664">
        <f t="shared" si="9"/>
        <v>0</v>
      </c>
      <c r="AR36" s="502">
        <f t="shared" ref="AR36:AR41" si="42">I36+AG36</f>
        <v>1557499</v>
      </c>
      <c r="AS36" s="492">
        <f t="shared" ref="AS36:AS41" si="43">J36+V36</f>
        <v>1138291</v>
      </c>
      <c r="AT36" s="492">
        <f t="shared" ref="AT36:AT41" si="44">K36+Z36</f>
        <v>0</v>
      </c>
      <c r="AU36" s="492">
        <f t="shared" ref="AU36:AV41" si="45">L36+AB36</f>
        <v>384742</v>
      </c>
      <c r="AV36" s="492">
        <f t="shared" si="45"/>
        <v>22766</v>
      </c>
      <c r="AW36" s="492">
        <f t="shared" ref="AW36:AW41" si="46">N36+AF36</f>
        <v>11700</v>
      </c>
      <c r="AX36" s="493">
        <f t="shared" ref="AX36:AX41" si="47">O36+AQ36</f>
        <v>2.5108999999999999</v>
      </c>
      <c r="AY36" s="493">
        <f t="shared" ref="AY36:AZ41" si="48">P36+AO36</f>
        <v>2</v>
      </c>
      <c r="AZ36" s="495">
        <f t="shared" si="48"/>
        <v>0.51090000000000002</v>
      </c>
    </row>
    <row r="37" spans="1:52" s="106" customFormat="1" ht="14.1" customHeight="1" x14ac:dyDescent="0.2">
      <c r="A37" s="129">
        <v>5</v>
      </c>
      <c r="B37" s="114">
        <v>2451</v>
      </c>
      <c r="C37" s="103">
        <v>650037901</v>
      </c>
      <c r="D37" s="84">
        <v>72744880</v>
      </c>
      <c r="E37" s="114" t="s">
        <v>752</v>
      </c>
      <c r="F37" s="115">
        <v>3117</v>
      </c>
      <c r="G37" s="114" t="s">
        <v>330</v>
      </c>
      <c r="H37" s="105" t="s">
        <v>278</v>
      </c>
      <c r="I37" s="494">
        <v>4184721</v>
      </c>
      <c r="J37" s="655">
        <v>3023609</v>
      </c>
      <c r="K37" s="655">
        <v>0</v>
      </c>
      <c r="L37" s="489">
        <v>1021980</v>
      </c>
      <c r="M37" s="489">
        <v>60472</v>
      </c>
      <c r="N37" s="655">
        <v>78660</v>
      </c>
      <c r="O37" s="490">
        <v>6.0573999999999995</v>
      </c>
      <c r="P37" s="491">
        <v>4</v>
      </c>
      <c r="Q37" s="657">
        <v>2.0573999999999999</v>
      </c>
      <c r="R37" s="501">
        <f t="shared" si="2"/>
        <v>0</v>
      </c>
      <c r="S37" s="492">
        <v>0</v>
      </c>
      <c r="T37" s="492">
        <v>0</v>
      </c>
      <c r="U37" s="492">
        <v>0</v>
      </c>
      <c r="V37" s="492">
        <f t="shared" si="39"/>
        <v>0</v>
      </c>
      <c r="W37" s="492">
        <v>0</v>
      </c>
      <c r="X37" s="492">
        <v>0</v>
      </c>
      <c r="Y37" s="492">
        <v>0</v>
      </c>
      <c r="Z37" s="492">
        <f t="shared" si="3"/>
        <v>0</v>
      </c>
      <c r="AA37" s="492">
        <f t="shared" si="4"/>
        <v>0</v>
      </c>
      <c r="AB37" s="74">
        <f t="shared" si="5"/>
        <v>0</v>
      </c>
      <c r="AC37" s="74">
        <f t="shared" si="6"/>
        <v>0</v>
      </c>
      <c r="AD37" s="492">
        <v>0</v>
      </c>
      <c r="AE37" s="492">
        <v>0</v>
      </c>
      <c r="AF37" s="492">
        <f t="shared" si="40"/>
        <v>0</v>
      </c>
      <c r="AG37" s="492">
        <f t="shared" si="41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7"/>
        <v>0</v>
      </c>
      <c r="AP37" s="493">
        <f t="shared" si="8"/>
        <v>0</v>
      </c>
      <c r="AQ37" s="664">
        <f t="shared" si="9"/>
        <v>0</v>
      </c>
      <c r="AR37" s="502">
        <f t="shared" si="42"/>
        <v>4184721</v>
      </c>
      <c r="AS37" s="492">
        <f t="shared" si="43"/>
        <v>3023609</v>
      </c>
      <c r="AT37" s="492">
        <f t="shared" si="44"/>
        <v>0</v>
      </c>
      <c r="AU37" s="492">
        <f t="shared" si="45"/>
        <v>1021980</v>
      </c>
      <c r="AV37" s="492">
        <f t="shared" si="45"/>
        <v>60472</v>
      </c>
      <c r="AW37" s="492">
        <f t="shared" si="46"/>
        <v>78660</v>
      </c>
      <c r="AX37" s="493">
        <f t="shared" si="47"/>
        <v>6.0573999999999995</v>
      </c>
      <c r="AY37" s="493">
        <f t="shared" si="48"/>
        <v>4</v>
      </c>
      <c r="AZ37" s="495">
        <f t="shared" si="48"/>
        <v>2.0573999999999999</v>
      </c>
    </row>
    <row r="38" spans="1:52" s="106" customFormat="1" ht="14.1" customHeight="1" x14ac:dyDescent="0.2">
      <c r="A38" s="129">
        <v>5</v>
      </c>
      <c r="B38" s="112">
        <v>2451</v>
      </c>
      <c r="C38" s="103">
        <v>650037901</v>
      </c>
      <c r="D38" s="84">
        <v>72744880</v>
      </c>
      <c r="E38" s="112" t="s">
        <v>752</v>
      </c>
      <c r="F38" s="104">
        <v>3117</v>
      </c>
      <c r="G38" s="84" t="s">
        <v>313</v>
      </c>
      <c r="H38" s="105" t="s">
        <v>279</v>
      </c>
      <c r="I38" s="494">
        <v>1257286</v>
      </c>
      <c r="J38" s="489">
        <v>924548</v>
      </c>
      <c r="K38" s="489">
        <v>0</v>
      </c>
      <c r="L38" s="489">
        <v>312497</v>
      </c>
      <c r="M38" s="489">
        <v>18491</v>
      </c>
      <c r="N38" s="489">
        <v>1750</v>
      </c>
      <c r="O38" s="490">
        <v>2.37</v>
      </c>
      <c r="P38" s="491">
        <v>2.37</v>
      </c>
      <c r="Q38" s="658">
        <v>0</v>
      </c>
      <c r="R38" s="501">
        <f t="shared" si="2"/>
        <v>0</v>
      </c>
      <c r="S38" s="492">
        <v>-19280</v>
      </c>
      <c r="T38" s="492">
        <v>0</v>
      </c>
      <c r="U38" s="492">
        <v>0</v>
      </c>
      <c r="V38" s="492">
        <f t="shared" si="39"/>
        <v>-19280</v>
      </c>
      <c r="W38" s="492">
        <v>0</v>
      </c>
      <c r="X38" s="492">
        <v>0</v>
      </c>
      <c r="Y38" s="492">
        <v>0</v>
      </c>
      <c r="Z38" s="492">
        <f t="shared" si="3"/>
        <v>0</v>
      </c>
      <c r="AA38" s="492">
        <f t="shared" si="4"/>
        <v>-19280</v>
      </c>
      <c r="AB38" s="74">
        <f t="shared" si="5"/>
        <v>-6517</v>
      </c>
      <c r="AC38" s="74">
        <f t="shared" si="6"/>
        <v>-386</v>
      </c>
      <c r="AD38" s="492">
        <v>0</v>
      </c>
      <c r="AE38" s="492">
        <v>0</v>
      </c>
      <c r="AF38" s="492">
        <f t="shared" si="40"/>
        <v>0</v>
      </c>
      <c r="AG38" s="492">
        <f t="shared" si="41"/>
        <v>-26183</v>
      </c>
      <c r="AH38" s="493">
        <v>0</v>
      </c>
      <c r="AI38" s="493">
        <v>0</v>
      </c>
      <c r="AJ38" s="493">
        <v>-0.04</v>
      </c>
      <c r="AK38" s="493">
        <v>0</v>
      </c>
      <c r="AL38" s="493">
        <v>0</v>
      </c>
      <c r="AM38" s="493">
        <v>0</v>
      </c>
      <c r="AN38" s="493">
        <v>0</v>
      </c>
      <c r="AO38" s="493">
        <f t="shared" si="7"/>
        <v>-0.04</v>
      </c>
      <c r="AP38" s="493">
        <f t="shared" si="8"/>
        <v>0</v>
      </c>
      <c r="AQ38" s="664">
        <f t="shared" si="9"/>
        <v>-0.04</v>
      </c>
      <c r="AR38" s="502">
        <f t="shared" si="42"/>
        <v>1231103</v>
      </c>
      <c r="AS38" s="492">
        <f t="shared" si="43"/>
        <v>905268</v>
      </c>
      <c r="AT38" s="492">
        <f t="shared" si="44"/>
        <v>0</v>
      </c>
      <c r="AU38" s="492">
        <f t="shared" si="45"/>
        <v>305980</v>
      </c>
      <c r="AV38" s="492">
        <f t="shared" si="45"/>
        <v>18105</v>
      </c>
      <c r="AW38" s="492">
        <f t="shared" si="46"/>
        <v>1750</v>
      </c>
      <c r="AX38" s="493">
        <f t="shared" si="47"/>
        <v>2.33</v>
      </c>
      <c r="AY38" s="493">
        <f t="shared" si="48"/>
        <v>2.33</v>
      </c>
      <c r="AZ38" s="495">
        <f t="shared" si="48"/>
        <v>0</v>
      </c>
    </row>
    <row r="39" spans="1:52" s="106" customFormat="1" ht="14.1" customHeight="1" x14ac:dyDescent="0.2">
      <c r="A39" s="129">
        <v>5</v>
      </c>
      <c r="B39" s="84">
        <v>2451</v>
      </c>
      <c r="C39" s="103">
        <v>650037901</v>
      </c>
      <c r="D39" s="84">
        <v>72744880</v>
      </c>
      <c r="E39" s="84" t="s">
        <v>752</v>
      </c>
      <c r="F39" s="104">
        <v>3141</v>
      </c>
      <c r="G39" s="84" t="s">
        <v>316</v>
      </c>
      <c r="H39" s="105" t="s">
        <v>279</v>
      </c>
      <c r="I39" s="494">
        <v>854680</v>
      </c>
      <c r="J39" s="655">
        <v>626676</v>
      </c>
      <c r="K39" s="655">
        <v>0</v>
      </c>
      <c r="L39" s="489">
        <v>211816</v>
      </c>
      <c r="M39" s="489">
        <v>12534</v>
      </c>
      <c r="N39" s="655">
        <v>3654</v>
      </c>
      <c r="O39" s="490">
        <v>1.97</v>
      </c>
      <c r="P39" s="491">
        <v>0</v>
      </c>
      <c r="Q39" s="657">
        <v>1.97</v>
      </c>
      <c r="R39" s="501">
        <f t="shared" si="2"/>
        <v>0</v>
      </c>
      <c r="S39" s="492">
        <v>0</v>
      </c>
      <c r="T39" s="492">
        <v>0</v>
      </c>
      <c r="U39" s="492">
        <v>0</v>
      </c>
      <c r="V39" s="492">
        <f t="shared" si="39"/>
        <v>0</v>
      </c>
      <c r="W39" s="492">
        <v>0</v>
      </c>
      <c r="X39" s="492">
        <v>0</v>
      </c>
      <c r="Y39" s="492">
        <v>0</v>
      </c>
      <c r="Z39" s="492">
        <f t="shared" si="3"/>
        <v>0</v>
      </c>
      <c r="AA39" s="492">
        <f t="shared" si="4"/>
        <v>0</v>
      </c>
      <c r="AB39" s="74">
        <f t="shared" si="5"/>
        <v>0</v>
      </c>
      <c r="AC39" s="74">
        <f t="shared" si="6"/>
        <v>0</v>
      </c>
      <c r="AD39" s="492">
        <v>0</v>
      </c>
      <c r="AE39" s="492">
        <v>0</v>
      </c>
      <c r="AF39" s="492">
        <f t="shared" si="40"/>
        <v>0</v>
      </c>
      <c r="AG39" s="492">
        <f t="shared" si="41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si="7"/>
        <v>0</v>
      </c>
      <c r="AP39" s="493">
        <f t="shared" si="8"/>
        <v>0</v>
      </c>
      <c r="AQ39" s="664">
        <f t="shared" si="9"/>
        <v>0</v>
      </c>
      <c r="AR39" s="502">
        <f t="shared" si="42"/>
        <v>854680</v>
      </c>
      <c r="AS39" s="492">
        <f t="shared" si="43"/>
        <v>626676</v>
      </c>
      <c r="AT39" s="492">
        <f t="shared" si="44"/>
        <v>0</v>
      </c>
      <c r="AU39" s="492">
        <f t="shared" si="45"/>
        <v>211816</v>
      </c>
      <c r="AV39" s="492">
        <f t="shared" si="45"/>
        <v>12534</v>
      </c>
      <c r="AW39" s="492">
        <f t="shared" si="46"/>
        <v>3654</v>
      </c>
      <c r="AX39" s="493">
        <f t="shared" si="47"/>
        <v>1.97</v>
      </c>
      <c r="AY39" s="493">
        <f t="shared" si="48"/>
        <v>0</v>
      </c>
      <c r="AZ39" s="495">
        <f t="shared" si="48"/>
        <v>1.97</v>
      </c>
    </row>
    <row r="40" spans="1:52" s="106" customFormat="1" ht="14.1" customHeight="1" x14ac:dyDescent="0.2">
      <c r="A40" s="129">
        <v>5</v>
      </c>
      <c r="B40" s="84">
        <v>2451</v>
      </c>
      <c r="C40" s="103">
        <v>650037901</v>
      </c>
      <c r="D40" s="84">
        <v>72744880</v>
      </c>
      <c r="E40" s="84" t="s">
        <v>752</v>
      </c>
      <c r="F40" s="104">
        <v>3143</v>
      </c>
      <c r="G40" s="84" t="s">
        <v>629</v>
      </c>
      <c r="H40" s="105" t="s">
        <v>278</v>
      </c>
      <c r="I40" s="494">
        <v>600417</v>
      </c>
      <c r="J40" s="656">
        <v>442133</v>
      </c>
      <c r="K40" s="656">
        <v>0</v>
      </c>
      <c r="L40" s="489">
        <v>149441</v>
      </c>
      <c r="M40" s="489">
        <v>8843</v>
      </c>
      <c r="N40" s="489">
        <v>0</v>
      </c>
      <c r="O40" s="490">
        <v>1</v>
      </c>
      <c r="P40" s="14">
        <v>1</v>
      </c>
      <c r="Q40" s="658">
        <v>0</v>
      </c>
      <c r="R40" s="501">
        <f t="shared" si="2"/>
        <v>0</v>
      </c>
      <c r="S40" s="492">
        <v>0</v>
      </c>
      <c r="T40" s="492">
        <v>0</v>
      </c>
      <c r="U40" s="492">
        <v>0</v>
      </c>
      <c r="V40" s="492">
        <f t="shared" si="39"/>
        <v>0</v>
      </c>
      <c r="W40" s="492">
        <v>0</v>
      </c>
      <c r="X40" s="492">
        <v>0</v>
      </c>
      <c r="Y40" s="492">
        <v>0</v>
      </c>
      <c r="Z40" s="492">
        <f t="shared" si="3"/>
        <v>0</v>
      </c>
      <c r="AA40" s="492">
        <f t="shared" si="4"/>
        <v>0</v>
      </c>
      <c r="AB40" s="74">
        <f t="shared" si="5"/>
        <v>0</v>
      </c>
      <c r="AC40" s="74">
        <f t="shared" si="6"/>
        <v>0</v>
      </c>
      <c r="AD40" s="492">
        <v>0</v>
      </c>
      <c r="AE40" s="492">
        <v>0</v>
      </c>
      <c r="AF40" s="492">
        <f t="shared" si="40"/>
        <v>0</v>
      </c>
      <c r="AG40" s="492">
        <f t="shared" si="41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7"/>
        <v>0</v>
      </c>
      <c r="AP40" s="493">
        <f t="shared" si="8"/>
        <v>0</v>
      </c>
      <c r="AQ40" s="664">
        <f t="shared" si="9"/>
        <v>0</v>
      </c>
      <c r="AR40" s="502">
        <f t="shared" si="42"/>
        <v>600417</v>
      </c>
      <c r="AS40" s="492">
        <f t="shared" si="43"/>
        <v>442133</v>
      </c>
      <c r="AT40" s="492">
        <f t="shared" si="44"/>
        <v>0</v>
      </c>
      <c r="AU40" s="492">
        <f t="shared" si="45"/>
        <v>149441</v>
      </c>
      <c r="AV40" s="492">
        <f t="shared" si="45"/>
        <v>8843</v>
      </c>
      <c r="AW40" s="492">
        <f t="shared" si="46"/>
        <v>0</v>
      </c>
      <c r="AX40" s="493">
        <f t="shared" si="47"/>
        <v>1</v>
      </c>
      <c r="AY40" s="493">
        <f t="shared" si="48"/>
        <v>1</v>
      </c>
      <c r="AZ40" s="495">
        <f t="shared" si="48"/>
        <v>0</v>
      </c>
    </row>
    <row r="41" spans="1:52" s="106" customFormat="1" ht="14.1" customHeight="1" x14ac:dyDescent="0.2">
      <c r="A41" s="129">
        <v>5</v>
      </c>
      <c r="B41" s="84">
        <v>2451</v>
      </c>
      <c r="C41" s="103">
        <v>650037901</v>
      </c>
      <c r="D41" s="84">
        <v>72744880</v>
      </c>
      <c r="E41" s="84" t="s">
        <v>752</v>
      </c>
      <c r="F41" s="104">
        <v>3143</v>
      </c>
      <c r="G41" s="84" t="s">
        <v>630</v>
      </c>
      <c r="H41" s="105" t="s">
        <v>279</v>
      </c>
      <c r="I41" s="494">
        <v>22680</v>
      </c>
      <c r="J41" s="655">
        <v>16038</v>
      </c>
      <c r="K41" s="655">
        <v>0</v>
      </c>
      <c r="L41" s="489">
        <v>5421</v>
      </c>
      <c r="M41" s="489">
        <v>321</v>
      </c>
      <c r="N41" s="655">
        <v>900</v>
      </c>
      <c r="O41" s="490">
        <v>0.06</v>
      </c>
      <c r="P41" s="491">
        <v>0</v>
      </c>
      <c r="Q41" s="657">
        <v>0.06</v>
      </c>
      <c r="R41" s="501">
        <f t="shared" si="2"/>
        <v>0</v>
      </c>
      <c r="S41" s="492">
        <v>0</v>
      </c>
      <c r="T41" s="492">
        <v>0</v>
      </c>
      <c r="U41" s="492">
        <v>0</v>
      </c>
      <c r="V41" s="492">
        <f t="shared" si="39"/>
        <v>0</v>
      </c>
      <c r="W41" s="492">
        <v>0</v>
      </c>
      <c r="X41" s="492">
        <v>0</v>
      </c>
      <c r="Y41" s="492">
        <v>0</v>
      </c>
      <c r="Z41" s="492">
        <f t="shared" si="3"/>
        <v>0</v>
      </c>
      <c r="AA41" s="492">
        <f t="shared" si="4"/>
        <v>0</v>
      </c>
      <c r="AB41" s="74">
        <f t="shared" si="5"/>
        <v>0</v>
      </c>
      <c r="AC41" s="74">
        <f t="shared" si="6"/>
        <v>0</v>
      </c>
      <c r="AD41" s="492">
        <v>0</v>
      </c>
      <c r="AE41" s="492">
        <v>0</v>
      </c>
      <c r="AF41" s="492">
        <f t="shared" si="40"/>
        <v>0</v>
      </c>
      <c r="AG41" s="492">
        <f t="shared" si="41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7"/>
        <v>0</v>
      </c>
      <c r="AP41" s="493">
        <f t="shared" si="8"/>
        <v>0</v>
      </c>
      <c r="AQ41" s="664">
        <f t="shared" si="9"/>
        <v>0</v>
      </c>
      <c r="AR41" s="502">
        <f t="shared" si="42"/>
        <v>22680</v>
      </c>
      <c r="AS41" s="492">
        <f t="shared" si="43"/>
        <v>16038</v>
      </c>
      <c r="AT41" s="492">
        <f t="shared" si="44"/>
        <v>0</v>
      </c>
      <c r="AU41" s="492">
        <f t="shared" si="45"/>
        <v>5421</v>
      </c>
      <c r="AV41" s="492">
        <f t="shared" si="45"/>
        <v>321</v>
      </c>
      <c r="AW41" s="492">
        <f t="shared" si="46"/>
        <v>900</v>
      </c>
      <c r="AX41" s="493">
        <f t="shared" si="47"/>
        <v>0.06</v>
      </c>
      <c r="AY41" s="493">
        <f t="shared" si="48"/>
        <v>0</v>
      </c>
      <c r="AZ41" s="495">
        <f t="shared" si="48"/>
        <v>0.06</v>
      </c>
    </row>
    <row r="42" spans="1:52" s="106" customFormat="1" ht="14.1" customHeight="1" x14ac:dyDescent="0.2">
      <c r="A42" s="130">
        <v>5</v>
      </c>
      <c r="B42" s="107">
        <v>2451</v>
      </c>
      <c r="C42" s="108">
        <v>650037901</v>
      </c>
      <c r="D42" s="107">
        <v>72744880</v>
      </c>
      <c r="E42" s="107" t="s">
        <v>753</v>
      </c>
      <c r="F42" s="116"/>
      <c r="G42" s="110"/>
      <c r="H42" s="111"/>
      <c r="I42" s="525">
        <v>8477283</v>
      </c>
      <c r="J42" s="521">
        <v>6171295</v>
      </c>
      <c r="K42" s="521">
        <v>0</v>
      </c>
      <c r="L42" s="521">
        <v>2085897</v>
      </c>
      <c r="M42" s="521">
        <v>123427</v>
      </c>
      <c r="N42" s="521">
        <v>96664</v>
      </c>
      <c r="O42" s="522">
        <v>13.968299999999999</v>
      </c>
      <c r="P42" s="522">
        <v>9.370000000000001</v>
      </c>
      <c r="Q42" s="113">
        <v>4.5982999999999992</v>
      </c>
      <c r="R42" s="529">
        <f t="shared" ref="R42:AZ42" si="49">SUM(R36:R41)</f>
        <v>0</v>
      </c>
      <c r="S42" s="521">
        <f t="shared" si="49"/>
        <v>-19280</v>
      </c>
      <c r="T42" s="521">
        <f t="shared" si="49"/>
        <v>0</v>
      </c>
      <c r="U42" s="521">
        <f t="shared" si="49"/>
        <v>0</v>
      </c>
      <c r="V42" s="521">
        <f t="shared" si="49"/>
        <v>-19280</v>
      </c>
      <c r="W42" s="521">
        <f t="shared" si="49"/>
        <v>0</v>
      </c>
      <c r="X42" s="521">
        <f t="shared" si="49"/>
        <v>0</v>
      </c>
      <c r="Y42" s="521">
        <f t="shared" si="49"/>
        <v>0</v>
      </c>
      <c r="Z42" s="521">
        <f t="shared" si="49"/>
        <v>0</v>
      </c>
      <c r="AA42" s="521">
        <f t="shared" si="49"/>
        <v>-19280</v>
      </c>
      <c r="AB42" s="521">
        <f t="shared" si="49"/>
        <v>-6517</v>
      </c>
      <c r="AC42" s="521">
        <f t="shared" si="49"/>
        <v>-386</v>
      </c>
      <c r="AD42" s="521">
        <f t="shared" si="49"/>
        <v>0</v>
      </c>
      <c r="AE42" s="521">
        <f t="shared" si="49"/>
        <v>0</v>
      </c>
      <c r="AF42" s="521">
        <f t="shared" si="49"/>
        <v>0</v>
      </c>
      <c r="AG42" s="521">
        <f t="shared" si="49"/>
        <v>-26183</v>
      </c>
      <c r="AH42" s="522">
        <f t="shared" si="49"/>
        <v>0</v>
      </c>
      <c r="AI42" s="522">
        <f t="shared" si="49"/>
        <v>0</v>
      </c>
      <c r="AJ42" s="522">
        <f t="shared" si="49"/>
        <v>-0.04</v>
      </c>
      <c r="AK42" s="522">
        <f t="shared" ref="AK42:AL42" si="50">SUM(AK36:AK41)</f>
        <v>0</v>
      </c>
      <c r="AL42" s="522">
        <f t="shared" si="50"/>
        <v>0</v>
      </c>
      <c r="AM42" s="522">
        <f t="shared" si="49"/>
        <v>0</v>
      </c>
      <c r="AN42" s="522">
        <f t="shared" si="49"/>
        <v>0</v>
      </c>
      <c r="AO42" s="522">
        <f t="shared" si="49"/>
        <v>-0.04</v>
      </c>
      <c r="AP42" s="522">
        <f t="shared" si="49"/>
        <v>0</v>
      </c>
      <c r="AQ42" s="527">
        <f t="shared" si="49"/>
        <v>-0.04</v>
      </c>
      <c r="AR42" s="525">
        <f t="shared" si="49"/>
        <v>8451100</v>
      </c>
      <c r="AS42" s="521">
        <f t="shared" si="49"/>
        <v>6152015</v>
      </c>
      <c r="AT42" s="521">
        <f t="shared" si="49"/>
        <v>0</v>
      </c>
      <c r="AU42" s="521">
        <f t="shared" si="49"/>
        <v>2079380</v>
      </c>
      <c r="AV42" s="521">
        <f t="shared" si="49"/>
        <v>123041</v>
      </c>
      <c r="AW42" s="521">
        <f t="shared" si="49"/>
        <v>96664</v>
      </c>
      <c r="AX42" s="522">
        <f t="shared" si="49"/>
        <v>13.9283</v>
      </c>
      <c r="AY42" s="522">
        <f t="shared" si="49"/>
        <v>9.33</v>
      </c>
      <c r="AZ42" s="113">
        <f t="shared" si="49"/>
        <v>4.5982999999999992</v>
      </c>
    </row>
    <row r="43" spans="1:52" s="106" customFormat="1" ht="14.1" customHeight="1" x14ac:dyDescent="0.2">
      <c r="A43" s="129">
        <v>6</v>
      </c>
      <c r="B43" s="112">
        <v>2453</v>
      </c>
      <c r="C43" s="103">
        <v>600079686</v>
      </c>
      <c r="D43" s="84">
        <v>72743603</v>
      </c>
      <c r="E43" s="84" t="s">
        <v>754</v>
      </c>
      <c r="F43" s="104">
        <v>3111</v>
      </c>
      <c r="G43" s="84" t="s">
        <v>312</v>
      </c>
      <c r="H43" s="105" t="s">
        <v>278</v>
      </c>
      <c r="I43" s="494">
        <v>3314288</v>
      </c>
      <c r="J43" s="655">
        <v>2424660</v>
      </c>
      <c r="K43" s="655">
        <v>0</v>
      </c>
      <c r="L43" s="489">
        <v>819535</v>
      </c>
      <c r="M43" s="489">
        <v>48493</v>
      </c>
      <c r="N43" s="655">
        <v>21600</v>
      </c>
      <c r="O43" s="490">
        <v>5.2153</v>
      </c>
      <c r="P43" s="491">
        <v>4.1935000000000002</v>
      </c>
      <c r="Q43" s="657">
        <v>1.0218</v>
      </c>
      <c r="R43" s="501">
        <f t="shared" si="2"/>
        <v>0</v>
      </c>
      <c r="S43" s="492">
        <v>0</v>
      </c>
      <c r="T43" s="492">
        <v>0</v>
      </c>
      <c r="U43" s="492">
        <v>0</v>
      </c>
      <c r="V43" s="492">
        <f t="shared" ref="V43:V48" si="51">SUM(R43:U43)</f>
        <v>0</v>
      </c>
      <c r="W43" s="492">
        <v>0</v>
      </c>
      <c r="X43" s="492">
        <v>0</v>
      </c>
      <c r="Y43" s="492">
        <v>0</v>
      </c>
      <c r="Z43" s="492">
        <f t="shared" si="3"/>
        <v>0</v>
      </c>
      <c r="AA43" s="492">
        <f t="shared" si="4"/>
        <v>0</v>
      </c>
      <c r="AB43" s="74">
        <f t="shared" si="5"/>
        <v>0</v>
      </c>
      <c r="AC43" s="74">
        <f t="shared" si="6"/>
        <v>0</v>
      </c>
      <c r="AD43" s="492">
        <v>0</v>
      </c>
      <c r="AE43" s="492">
        <v>0</v>
      </c>
      <c r="AF43" s="492">
        <f t="shared" ref="AF43:AF48" si="52">SUM(AD43:AE43)</f>
        <v>0</v>
      </c>
      <c r="AG43" s="492">
        <f t="shared" ref="AG43:AG48" si="53">AA43+AB43+AC43+AF43</f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7"/>
        <v>0</v>
      </c>
      <c r="AP43" s="493">
        <f t="shared" si="8"/>
        <v>0</v>
      </c>
      <c r="AQ43" s="664">
        <f t="shared" si="9"/>
        <v>0</v>
      </c>
      <c r="AR43" s="502">
        <f t="shared" ref="AR43:AR48" si="54">I43+AG43</f>
        <v>3314288</v>
      </c>
      <c r="AS43" s="492">
        <f t="shared" ref="AS43:AS48" si="55">J43+V43</f>
        <v>2424660</v>
      </c>
      <c r="AT43" s="492">
        <f t="shared" ref="AT43:AT48" si="56">K43+Z43</f>
        <v>0</v>
      </c>
      <c r="AU43" s="492">
        <f t="shared" ref="AU43:AV48" si="57">L43+AB43</f>
        <v>819535</v>
      </c>
      <c r="AV43" s="492">
        <f t="shared" si="57"/>
        <v>48493</v>
      </c>
      <c r="AW43" s="492">
        <f t="shared" ref="AW43:AW48" si="58">N43+AF43</f>
        <v>21600</v>
      </c>
      <c r="AX43" s="493">
        <f t="shared" ref="AX43:AX48" si="59">O43+AQ43</f>
        <v>5.2153</v>
      </c>
      <c r="AY43" s="493">
        <f t="shared" ref="AY43:AZ48" si="60">P43+AO43</f>
        <v>4.1935000000000002</v>
      </c>
      <c r="AZ43" s="495">
        <f t="shared" si="60"/>
        <v>1.0218</v>
      </c>
    </row>
    <row r="44" spans="1:52" s="106" customFormat="1" ht="14.1" customHeight="1" x14ac:dyDescent="0.2">
      <c r="A44" s="129">
        <v>6</v>
      </c>
      <c r="B44" s="114">
        <v>2453</v>
      </c>
      <c r="C44" s="103">
        <v>600079686</v>
      </c>
      <c r="D44" s="84">
        <v>72743603</v>
      </c>
      <c r="E44" s="114" t="s">
        <v>754</v>
      </c>
      <c r="F44" s="115">
        <v>3117</v>
      </c>
      <c r="G44" s="114" t="s">
        <v>330</v>
      </c>
      <c r="H44" s="105" t="s">
        <v>278</v>
      </c>
      <c r="I44" s="494">
        <v>5468454</v>
      </c>
      <c r="J44" s="655">
        <v>3937440</v>
      </c>
      <c r="K44" s="655">
        <v>0</v>
      </c>
      <c r="L44" s="489">
        <v>1330855</v>
      </c>
      <c r="M44" s="489">
        <v>78749</v>
      </c>
      <c r="N44" s="655">
        <v>121410</v>
      </c>
      <c r="O44" s="490">
        <v>7.7984999999999998</v>
      </c>
      <c r="P44" s="491">
        <v>5.1818</v>
      </c>
      <c r="Q44" s="657">
        <v>2.6166999999999998</v>
      </c>
      <c r="R44" s="501">
        <f t="shared" si="2"/>
        <v>0</v>
      </c>
      <c r="S44" s="492">
        <v>0</v>
      </c>
      <c r="T44" s="492">
        <v>0</v>
      </c>
      <c r="U44" s="492">
        <v>0</v>
      </c>
      <c r="V44" s="492">
        <f t="shared" si="51"/>
        <v>0</v>
      </c>
      <c r="W44" s="492">
        <v>0</v>
      </c>
      <c r="X44" s="492">
        <v>0</v>
      </c>
      <c r="Y44" s="492">
        <v>0</v>
      </c>
      <c r="Z44" s="492">
        <f t="shared" si="3"/>
        <v>0</v>
      </c>
      <c r="AA44" s="492">
        <f t="shared" si="4"/>
        <v>0</v>
      </c>
      <c r="AB44" s="74">
        <f t="shared" si="5"/>
        <v>0</v>
      </c>
      <c r="AC44" s="74">
        <f t="shared" si="6"/>
        <v>0</v>
      </c>
      <c r="AD44" s="492">
        <v>0</v>
      </c>
      <c r="AE44" s="492">
        <v>0</v>
      </c>
      <c r="AF44" s="492">
        <f t="shared" si="52"/>
        <v>0</v>
      </c>
      <c r="AG44" s="492">
        <f t="shared" si="53"/>
        <v>0</v>
      </c>
      <c r="AH44" s="493">
        <v>0</v>
      </c>
      <c r="AI44" s="493">
        <v>0</v>
      </c>
      <c r="AJ44" s="493">
        <v>0</v>
      </c>
      <c r="AK44" s="493">
        <v>0</v>
      </c>
      <c r="AL44" s="493">
        <v>0</v>
      </c>
      <c r="AM44" s="493">
        <v>0</v>
      </c>
      <c r="AN44" s="493">
        <v>0</v>
      </c>
      <c r="AO44" s="493">
        <f t="shared" si="7"/>
        <v>0</v>
      </c>
      <c r="AP44" s="493">
        <f t="shared" si="8"/>
        <v>0</v>
      </c>
      <c r="AQ44" s="664">
        <f t="shared" si="9"/>
        <v>0</v>
      </c>
      <c r="AR44" s="502">
        <f t="shared" si="54"/>
        <v>5468454</v>
      </c>
      <c r="AS44" s="492">
        <f t="shared" si="55"/>
        <v>3937440</v>
      </c>
      <c r="AT44" s="492">
        <f t="shared" si="56"/>
        <v>0</v>
      </c>
      <c r="AU44" s="492">
        <f t="shared" si="57"/>
        <v>1330855</v>
      </c>
      <c r="AV44" s="492">
        <f t="shared" si="57"/>
        <v>78749</v>
      </c>
      <c r="AW44" s="492">
        <f t="shared" si="58"/>
        <v>121410</v>
      </c>
      <c r="AX44" s="493">
        <f t="shared" si="59"/>
        <v>7.7984999999999998</v>
      </c>
      <c r="AY44" s="493">
        <f t="shared" si="60"/>
        <v>5.1818</v>
      </c>
      <c r="AZ44" s="495">
        <f t="shared" si="60"/>
        <v>2.6166999999999998</v>
      </c>
    </row>
    <row r="45" spans="1:52" s="106" customFormat="1" ht="14.1" customHeight="1" x14ac:dyDescent="0.2">
      <c r="A45" s="129">
        <v>6</v>
      </c>
      <c r="B45" s="112">
        <v>2453</v>
      </c>
      <c r="C45" s="103">
        <v>600079686</v>
      </c>
      <c r="D45" s="84">
        <v>72743603</v>
      </c>
      <c r="E45" s="112" t="s">
        <v>754</v>
      </c>
      <c r="F45" s="104">
        <v>3117</v>
      </c>
      <c r="G45" s="84" t="s">
        <v>313</v>
      </c>
      <c r="H45" s="105" t="s">
        <v>279</v>
      </c>
      <c r="I45" s="494">
        <v>1546839</v>
      </c>
      <c r="J45" s="489">
        <v>1139057</v>
      </c>
      <c r="K45" s="489">
        <v>0</v>
      </c>
      <c r="L45" s="489">
        <v>385001</v>
      </c>
      <c r="M45" s="489">
        <v>22781</v>
      </c>
      <c r="N45" s="489">
        <v>0</v>
      </c>
      <c r="O45" s="490">
        <v>3.8100000000000005</v>
      </c>
      <c r="P45" s="491">
        <v>3.8100000000000005</v>
      </c>
      <c r="Q45" s="658">
        <v>0</v>
      </c>
      <c r="R45" s="501">
        <f t="shared" si="2"/>
        <v>0</v>
      </c>
      <c r="S45" s="492">
        <v>0</v>
      </c>
      <c r="T45" s="492">
        <v>0</v>
      </c>
      <c r="U45" s="492">
        <v>0</v>
      </c>
      <c r="V45" s="492">
        <f t="shared" si="51"/>
        <v>0</v>
      </c>
      <c r="W45" s="492">
        <v>0</v>
      </c>
      <c r="X45" s="492">
        <v>0</v>
      </c>
      <c r="Y45" s="492">
        <v>0</v>
      </c>
      <c r="Z45" s="492">
        <f t="shared" si="3"/>
        <v>0</v>
      </c>
      <c r="AA45" s="492">
        <f t="shared" si="4"/>
        <v>0</v>
      </c>
      <c r="AB45" s="74">
        <f t="shared" si="5"/>
        <v>0</v>
      </c>
      <c r="AC45" s="74">
        <f t="shared" si="6"/>
        <v>0</v>
      </c>
      <c r="AD45" s="492">
        <v>0</v>
      </c>
      <c r="AE45" s="492">
        <v>0</v>
      </c>
      <c r="AF45" s="492">
        <f t="shared" si="52"/>
        <v>0</v>
      </c>
      <c r="AG45" s="492">
        <f t="shared" si="53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si="7"/>
        <v>0</v>
      </c>
      <c r="AP45" s="493">
        <f t="shared" si="8"/>
        <v>0</v>
      </c>
      <c r="AQ45" s="664">
        <f t="shared" si="9"/>
        <v>0</v>
      </c>
      <c r="AR45" s="502">
        <f t="shared" si="54"/>
        <v>1546839</v>
      </c>
      <c r="AS45" s="492">
        <f t="shared" si="55"/>
        <v>1139057</v>
      </c>
      <c r="AT45" s="492">
        <f t="shared" si="56"/>
        <v>0</v>
      </c>
      <c r="AU45" s="492">
        <f t="shared" si="57"/>
        <v>385001</v>
      </c>
      <c r="AV45" s="492">
        <f t="shared" si="57"/>
        <v>22781</v>
      </c>
      <c r="AW45" s="492">
        <f t="shared" si="58"/>
        <v>0</v>
      </c>
      <c r="AX45" s="493">
        <f t="shared" si="59"/>
        <v>3.8100000000000005</v>
      </c>
      <c r="AY45" s="493">
        <f t="shared" si="60"/>
        <v>3.8100000000000005</v>
      </c>
      <c r="AZ45" s="495">
        <f t="shared" si="60"/>
        <v>0</v>
      </c>
    </row>
    <row r="46" spans="1:52" s="106" customFormat="1" ht="14.1" customHeight="1" x14ac:dyDescent="0.2">
      <c r="A46" s="129">
        <v>6</v>
      </c>
      <c r="B46" s="84">
        <v>2453</v>
      </c>
      <c r="C46" s="103">
        <v>600079686</v>
      </c>
      <c r="D46" s="84">
        <v>72743603</v>
      </c>
      <c r="E46" s="84" t="s">
        <v>754</v>
      </c>
      <c r="F46" s="104">
        <v>3141</v>
      </c>
      <c r="G46" s="84" t="s">
        <v>316</v>
      </c>
      <c r="H46" s="105" t="s">
        <v>279</v>
      </c>
      <c r="I46" s="494">
        <v>530238</v>
      </c>
      <c r="J46" s="655">
        <v>387237</v>
      </c>
      <c r="K46" s="655">
        <v>0</v>
      </c>
      <c r="L46" s="489">
        <v>130886</v>
      </c>
      <c r="M46" s="489">
        <v>7745</v>
      </c>
      <c r="N46" s="655">
        <v>4370</v>
      </c>
      <c r="O46" s="490">
        <v>1.22</v>
      </c>
      <c r="P46" s="491">
        <v>0</v>
      </c>
      <c r="Q46" s="657">
        <v>1.22</v>
      </c>
      <c r="R46" s="501">
        <f t="shared" si="2"/>
        <v>0</v>
      </c>
      <c r="S46" s="492">
        <v>0</v>
      </c>
      <c r="T46" s="492">
        <v>0</v>
      </c>
      <c r="U46" s="492">
        <v>0</v>
      </c>
      <c r="V46" s="492">
        <f t="shared" si="51"/>
        <v>0</v>
      </c>
      <c r="W46" s="492">
        <v>0</v>
      </c>
      <c r="X46" s="492">
        <v>0</v>
      </c>
      <c r="Y46" s="492">
        <v>0</v>
      </c>
      <c r="Z46" s="492">
        <f t="shared" si="3"/>
        <v>0</v>
      </c>
      <c r="AA46" s="492">
        <f t="shared" si="4"/>
        <v>0</v>
      </c>
      <c r="AB46" s="74">
        <f t="shared" si="5"/>
        <v>0</v>
      </c>
      <c r="AC46" s="74">
        <f t="shared" si="6"/>
        <v>0</v>
      </c>
      <c r="AD46" s="492">
        <v>0</v>
      </c>
      <c r="AE46" s="492">
        <v>0</v>
      </c>
      <c r="AF46" s="492">
        <f t="shared" si="52"/>
        <v>0</v>
      </c>
      <c r="AG46" s="492">
        <f t="shared" si="53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7"/>
        <v>0</v>
      </c>
      <c r="AP46" s="493">
        <f t="shared" si="8"/>
        <v>0</v>
      </c>
      <c r="AQ46" s="664">
        <f t="shared" si="9"/>
        <v>0</v>
      </c>
      <c r="AR46" s="502">
        <f t="shared" si="54"/>
        <v>530238</v>
      </c>
      <c r="AS46" s="492">
        <f t="shared" si="55"/>
        <v>387237</v>
      </c>
      <c r="AT46" s="492">
        <f t="shared" si="56"/>
        <v>0</v>
      </c>
      <c r="AU46" s="492">
        <f t="shared" si="57"/>
        <v>130886</v>
      </c>
      <c r="AV46" s="492">
        <f t="shared" si="57"/>
        <v>7745</v>
      </c>
      <c r="AW46" s="492">
        <f t="shared" si="58"/>
        <v>4370</v>
      </c>
      <c r="AX46" s="493">
        <f t="shared" si="59"/>
        <v>1.22</v>
      </c>
      <c r="AY46" s="493">
        <f t="shared" si="60"/>
        <v>0</v>
      </c>
      <c r="AZ46" s="495">
        <f t="shared" si="60"/>
        <v>1.22</v>
      </c>
    </row>
    <row r="47" spans="1:52" s="106" customFormat="1" ht="14.1" customHeight="1" x14ac:dyDescent="0.2">
      <c r="A47" s="129">
        <v>6</v>
      </c>
      <c r="B47" s="84">
        <v>2453</v>
      </c>
      <c r="C47" s="103">
        <v>600079686</v>
      </c>
      <c r="D47" s="84">
        <v>72743603</v>
      </c>
      <c r="E47" s="84" t="s">
        <v>754</v>
      </c>
      <c r="F47" s="104">
        <v>3143</v>
      </c>
      <c r="G47" s="84" t="s">
        <v>629</v>
      </c>
      <c r="H47" s="105" t="s">
        <v>278</v>
      </c>
      <c r="I47" s="494">
        <v>1260862</v>
      </c>
      <c r="J47" s="656">
        <v>928470</v>
      </c>
      <c r="K47" s="656">
        <v>0</v>
      </c>
      <c r="L47" s="489">
        <v>313823</v>
      </c>
      <c r="M47" s="489">
        <v>18569</v>
      </c>
      <c r="N47" s="489">
        <v>0</v>
      </c>
      <c r="O47" s="490">
        <v>1.8213999999999999</v>
      </c>
      <c r="P47" s="14">
        <v>1.8213999999999999</v>
      </c>
      <c r="Q47" s="658">
        <v>0</v>
      </c>
      <c r="R47" s="501">
        <f t="shared" si="2"/>
        <v>0</v>
      </c>
      <c r="S47" s="492">
        <v>0</v>
      </c>
      <c r="T47" s="492">
        <v>0</v>
      </c>
      <c r="U47" s="492">
        <v>0</v>
      </c>
      <c r="V47" s="492">
        <f t="shared" si="51"/>
        <v>0</v>
      </c>
      <c r="W47" s="492">
        <v>0</v>
      </c>
      <c r="X47" s="492">
        <v>0</v>
      </c>
      <c r="Y47" s="492">
        <v>0</v>
      </c>
      <c r="Z47" s="492">
        <f t="shared" si="3"/>
        <v>0</v>
      </c>
      <c r="AA47" s="492">
        <f t="shared" si="4"/>
        <v>0</v>
      </c>
      <c r="AB47" s="74">
        <f t="shared" si="5"/>
        <v>0</v>
      </c>
      <c r="AC47" s="74">
        <f t="shared" si="6"/>
        <v>0</v>
      </c>
      <c r="AD47" s="492">
        <v>0</v>
      </c>
      <c r="AE47" s="492">
        <v>0</v>
      </c>
      <c r="AF47" s="492">
        <f t="shared" si="52"/>
        <v>0</v>
      </c>
      <c r="AG47" s="492">
        <f t="shared" si="53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7"/>
        <v>0</v>
      </c>
      <c r="AP47" s="493">
        <f t="shared" si="8"/>
        <v>0</v>
      </c>
      <c r="AQ47" s="664">
        <f t="shared" si="9"/>
        <v>0</v>
      </c>
      <c r="AR47" s="502">
        <f t="shared" si="54"/>
        <v>1260862</v>
      </c>
      <c r="AS47" s="492">
        <f t="shared" si="55"/>
        <v>928470</v>
      </c>
      <c r="AT47" s="492">
        <f t="shared" si="56"/>
        <v>0</v>
      </c>
      <c r="AU47" s="492">
        <f t="shared" si="57"/>
        <v>313823</v>
      </c>
      <c r="AV47" s="492">
        <f t="shared" si="57"/>
        <v>18569</v>
      </c>
      <c r="AW47" s="492">
        <f t="shared" si="58"/>
        <v>0</v>
      </c>
      <c r="AX47" s="493">
        <f t="shared" si="59"/>
        <v>1.8213999999999999</v>
      </c>
      <c r="AY47" s="493">
        <f t="shared" si="60"/>
        <v>1.8213999999999999</v>
      </c>
      <c r="AZ47" s="495">
        <f t="shared" si="60"/>
        <v>0</v>
      </c>
    </row>
    <row r="48" spans="1:52" s="106" customFormat="1" ht="14.1" customHeight="1" x14ac:dyDescent="0.2">
      <c r="A48" s="129">
        <v>6</v>
      </c>
      <c r="B48" s="84">
        <v>2453</v>
      </c>
      <c r="C48" s="103">
        <v>600079686</v>
      </c>
      <c r="D48" s="84">
        <v>72743603</v>
      </c>
      <c r="E48" s="84" t="s">
        <v>754</v>
      </c>
      <c r="F48" s="104">
        <v>3143</v>
      </c>
      <c r="G48" s="84" t="s">
        <v>630</v>
      </c>
      <c r="H48" s="105" t="s">
        <v>279</v>
      </c>
      <c r="I48" s="494">
        <v>45361</v>
      </c>
      <c r="J48" s="655">
        <v>32077</v>
      </c>
      <c r="K48" s="655">
        <v>0</v>
      </c>
      <c r="L48" s="489">
        <v>10842</v>
      </c>
      <c r="M48" s="489">
        <v>642</v>
      </c>
      <c r="N48" s="655">
        <v>1800</v>
      </c>
      <c r="O48" s="490">
        <v>0.13</v>
      </c>
      <c r="P48" s="491">
        <v>0</v>
      </c>
      <c r="Q48" s="657">
        <v>0.13</v>
      </c>
      <c r="R48" s="501">
        <f t="shared" si="2"/>
        <v>0</v>
      </c>
      <c r="S48" s="492">
        <v>0</v>
      </c>
      <c r="T48" s="492">
        <v>0</v>
      </c>
      <c r="U48" s="492">
        <v>0</v>
      </c>
      <c r="V48" s="492">
        <f t="shared" si="51"/>
        <v>0</v>
      </c>
      <c r="W48" s="492">
        <v>0</v>
      </c>
      <c r="X48" s="492">
        <v>0</v>
      </c>
      <c r="Y48" s="492">
        <v>0</v>
      </c>
      <c r="Z48" s="492">
        <f t="shared" si="3"/>
        <v>0</v>
      </c>
      <c r="AA48" s="492">
        <f t="shared" si="4"/>
        <v>0</v>
      </c>
      <c r="AB48" s="74">
        <f t="shared" si="5"/>
        <v>0</v>
      </c>
      <c r="AC48" s="74">
        <f t="shared" si="6"/>
        <v>0</v>
      </c>
      <c r="AD48" s="492">
        <v>0</v>
      </c>
      <c r="AE48" s="492">
        <v>0</v>
      </c>
      <c r="AF48" s="492">
        <f t="shared" si="52"/>
        <v>0</v>
      </c>
      <c r="AG48" s="492">
        <f t="shared" si="53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7"/>
        <v>0</v>
      </c>
      <c r="AP48" s="493">
        <f t="shared" si="8"/>
        <v>0</v>
      </c>
      <c r="AQ48" s="664">
        <f t="shared" si="9"/>
        <v>0</v>
      </c>
      <c r="AR48" s="502">
        <f t="shared" si="54"/>
        <v>45361</v>
      </c>
      <c r="AS48" s="492">
        <f t="shared" si="55"/>
        <v>32077</v>
      </c>
      <c r="AT48" s="492">
        <f t="shared" si="56"/>
        <v>0</v>
      </c>
      <c r="AU48" s="492">
        <f t="shared" si="57"/>
        <v>10842</v>
      </c>
      <c r="AV48" s="492">
        <f t="shared" si="57"/>
        <v>642</v>
      </c>
      <c r="AW48" s="492">
        <f t="shared" si="58"/>
        <v>1800</v>
      </c>
      <c r="AX48" s="493">
        <f t="shared" si="59"/>
        <v>0.13</v>
      </c>
      <c r="AY48" s="493">
        <f t="shared" si="60"/>
        <v>0</v>
      </c>
      <c r="AZ48" s="495">
        <f t="shared" si="60"/>
        <v>0.13</v>
      </c>
    </row>
    <row r="49" spans="1:52" s="106" customFormat="1" ht="14.1" customHeight="1" x14ac:dyDescent="0.2">
      <c r="A49" s="130">
        <v>6</v>
      </c>
      <c r="B49" s="107">
        <v>2453</v>
      </c>
      <c r="C49" s="108">
        <v>600079686</v>
      </c>
      <c r="D49" s="107">
        <v>72743603</v>
      </c>
      <c r="E49" s="107" t="s">
        <v>755</v>
      </c>
      <c r="F49" s="116"/>
      <c r="G49" s="110"/>
      <c r="H49" s="111"/>
      <c r="I49" s="525">
        <v>12166042</v>
      </c>
      <c r="J49" s="521">
        <v>8848941</v>
      </c>
      <c r="K49" s="521">
        <v>0</v>
      </c>
      <c r="L49" s="521">
        <v>2990942</v>
      </c>
      <c r="M49" s="521">
        <v>176979</v>
      </c>
      <c r="N49" s="521">
        <v>149180</v>
      </c>
      <c r="O49" s="522">
        <v>19.995199999999997</v>
      </c>
      <c r="P49" s="522">
        <v>15.0067</v>
      </c>
      <c r="Q49" s="113">
        <v>4.9884999999999993</v>
      </c>
      <c r="R49" s="529">
        <f t="shared" ref="R49:AZ49" si="61">SUM(R43:R48)</f>
        <v>0</v>
      </c>
      <c r="S49" s="521">
        <f t="shared" si="61"/>
        <v>0</v>
      </c>
      <c r="T49" s="521">
        <f t="shared" si="61"/>
        <v>0</v>
      </c>
      <c r="U49" s="521">
        <f t="shared" si="61"/>
        <v>0</v>
      </c>
      <c r="V49" s="521">
        <f t="shared" si="61"/>
        <v>0</v>
      </c>
      <c r="W49" s="521">
        <f t="shared" si="61"/>
        <v>0</v>
      </c>
      <c r="X49" s="521">
        <f t="shared" si="61"/>
        <v>0</v>
      </c>
      <c r="Y49" s="521">
        <f t="shared" si="61"/>
        <v>0</v>
      </c>
      <c r="Z49" s="521">
        <f t="shared" si="61"/>
        <v>0</v>
      </c>
      <c r="AA49" s="521">
        <f t="shared" si="61"/>
        <v>0</v>
      </c>
      <c r="AB49" s="521">
        <f t="shared" si="61"/>
        <v>0</v>
      </c>
      <c r="AC49" s="521">
        <f t="shared" si="61"/>
        <v>0</v>
      </c>
      <c r="AD49" s="521">
        <f t="shared" si="61"/>
        <v>0</v>
      </c>
      <c r="AE49" s="521">
        <f t="shared" si="61"/>
        <v>0</v>
      </c>
      <c r="AF49" s="521">
        <f t="shared" si="61"/>
        <v>0</v>
      </c>
      <c r="AG49" s="521">
        <f t="shared" si="61"/>
        <v>0</v>
      </c>
      <c r="AH49" s="522">
        <f t="shared" si="61"/>
        <v>0</v>
      </c>
      <c r="AI49" s="522">
        <f t="shared" si="61"/>
        <v>0</v>
      </c>
      <c r="AJ49" s="522">
        <f t="shared" si="61"/>
        <v>0</v>
      </c>
      <c r="AK49" s="522">
        <f t="shared" ref="AK49:AL49" si="62">SUM(AK43:AK48)</f>
        <v>0</v>
      </c>
      <c r="AL49" s="522">
        <f t="shared" si="62"/>
        <v>0</v>
      </c>
      <c r="AM49" s="522">
        <f t="shared" si="61"/>
        <v>0</v>
      </c>
      <c r="AN49" s="522">
        <f t="shared" si="61"/>
        <v>0</v>
      </c>
      <c r="AO49" s="522">
        <f t="shared" si="61"/>
        <v>0</v>
      </c>
      <c r="AP49" s="522">
        <f t="shared" si="61"/>
        <v>0</v>
      </c>
      <c r="AQ49" s="527">
        <f t="shared" si="61"/>
        <v>0</v>
      </c>
      <c r="AR49" s="525">
        <f t="shared" si="61"/>
        <v>12166042</v>
      </c>
      <c r="AS49" s="521">
        <f t="shared" si="61"/>
        <v>8848941</v>
      </c>
      <c r="AT49" s="521">
        <f t="shared" si="61"/>
        <v>0</v>
      </c>
      <c r="AU49" s="521">
        <f t="shared" si="61"/>
        <v>2990942</v>
      </c>
      <c r="AV49" s="521">
        <f t="shared" si="61"/>
        <v>176979</v>
      </c>
      <c r="AW49" s="521">
        <f t="shared" si="61"/>
        <v>149180</v>
      </c>
      <c r="AX49" s="522">
        <f t="shared" si="61"/>
        <v>19.995199999999997</v>
      </c>
      <c r="AY49" s="522">
        <f t="shared" si="61"/>
        <v>15.0067</v>
      </c>
      <c r="AZ49" s="113">
        <f t="shared" si="61"/>
        <v>4.9884999999999993</v>
      </c>
    </row>
    <row r="50" spans="1:52" s="106" customFormat="1" ht="14.1" customHeight="1" x14ac:dyDescent="0.2">
      <c r="A50" s="129">
        <v>7</v>
      </c>
      <c r="B50" s="112">
        <v>2320</v>
      </c>
      <c r="C50" s="103">
        <v>650034180</v>
      </c>
      <c r="D50" s="84">
        <v>72755369</v>
      </c>
      <c r="E50" s="84" t="s">
        <v>756</v>
      </c>
      <c r="F50" s="104">
        <v>3111</v>
      </c>
      <c r="G50" s="84" t="s">
        <v>312</v>
      </c>
      <c r="H50" s="105" t="s">
        <v>278</v>
      </c>
      <c r="I50" s="494">
        <v>3009436</v>
      </c>
      <c r="J50" s="655">
        <v>2176876</v>
      </c>
      <c r="K50" s="655">
        <v>26000</v>
      </c>
      <c r="L50" s="489">
        <v>744572</v>
      </c>
      <c r="M50" s="489">
        <v>43538</v>
      </c>
      <c r="N50" s="655">
        <v>18450</v>
      </c>
      <c r="O50" s="490">
        <v>4.8618000000000006</v>
      </c>
      <c r="P50" s="491">
        <v>4</v>
      </c>
      <c r="Q50" s="657">
        <v>0.8617999999999999</v>
      </c>
      <c r="R50" s="501">
        <f t="shared" si="2"/>
        <v>0</v>
      </c>
      <c r="S50" s="492">
        <v>0</v>
      </c>
      <c r="T50" s="492">
        <v>0</v>
      </c>
      <c r="U50" s="492">
        <v>0</v>
      </c>
      <c r="V50" s="492">
        <f t="shared" ref="V50:V55" si="63">SUM(R50:U50)</f>
        <v>0</v>
      </c>
      <c r="W50" s="492">
        <v>0</v>
      </c>
      <c r="X50" s="492">
        <v>0</v>
      </c>
      <c r="Y50" s="492">
        <v>0</v>
      </c>
      <c r="Z50" s="492">
        <f t="shared" si="3"/>
        <v>0</v>
      </c>
      <c r="AA50" s="492">
        <f t="shared" si="4"/>
        <v>0</v>
      </c>
      <c r="AB50" s="74">
        <f t="shared" si="5"/>
        <v>0</v>
      </c>
      <c r="AC50" s="74">
        <f t="shared" si="6"/>
        <v>0</v>
      </c>
      <c r="AD50" s="492">
        <v>0</v>
      </c>
      <c r="AE50" s="492">
        <v>0</v>
      </c>
      <c r="AF50" s="492">
        <f t="shared" ref="AF50:AF55" si="64">SUM(AD50:AE50)</f>
        <v>0</v>
      </c>
      <c r="AG50" s="492">
        <f t="shared" ref="AG50:AG55" si="65">AA50+AB50+AC50+AF50</f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7"/>
        <v>0</v>
      </c>
      <c r="AP50" s="493">
        <f t="shared" si="8"/>
        <v>0</v>
      </c>
      <c r="AQ50" s="664">
        <f t="shared" si="9"/>
        <v>0</v>
      </c>
      <c r="AR50" s="502">
        <f t="shared" ref="AR50:AR55" si="66">I50+AG50</f>
        <v>3009436</v>
      </c>
      <c r="AS50" s="492">
        <f t="shared" ref="AS50:AS55" si="67">J50+V50</f>
        <v>2176876</v>
      </c>
      <c r="AT50" s="492">
        <f t="shared" ref="AT50:AT55" si="68">K50+Z50</f>
        <v>26000</v>
      </c>
      <c r="AU50" s="492">
        <f t="shared" ref="AU50:AV55" si="69">L50+AB50</f>
        <v>744572</v>
      </c>
      <c r="AV50" s="492">
        <f t="shared" si="69"/>
        <v>43538</v>
      </c>
      <c r="AW50" s="492">
        <f t="shared" ref="AW50:AW55" si="70">N50+AF50</f>
        <v>18450</v>
      </c>
      <c r="AX50" s="493">
        <f t="shared" ref="AX50:AX55" si="71">O50+AQ50</f>
        <v>4.8618000000000006</v>
      </c>
      <c r="AY50" s="493">
        <f t="shared" ref="AY50:AZ55" si="72">P50+AO50</f>
        <v>4</v>
      </c>
      <c r="AZ50" s="495">
        <f t="shared" si="72"/>
        <v>0.8617999999999999</v>
      </c>
    </row>
    <row r="51" spans="1:52" s="106" customFormat="1" ht="14.1" customHeight="1" x14ac:dyDescent="0.2">
      <c r="A51" s="129">
        <v>7</v>
      </c>
      <c r="B51" s="114">
        <v>2320</v>
      </c>
      <c r="C51" s="103">
        <v>650034180</v>
      </c>
      <c r="D51" s="84">
        <v>72755369</v>
      </c>
      <c r="E51" s="114" t="s">
        <v>756</v>
      </c>
      <c r="F51" s="115">
        <v>3117</v>
      </c>
      <c r="G51" s="114" t="s">
        <v>315</v>
      </c>
      <c r="H51" s="105" t="s">
        <v>278</v>
      </c>
      <c r="I51" s="494">
        <v>4494107</v>
      </c>
      <c r="J51" s="655">
        <v>3229595</v>
      </c>
      <c r="K51" s="655">
        <v>26000</v>
      </c>
      <c r="L51" s="489">
        <v>1100391</v>
      </c>
      <c r="M51" s="489">
        <v>64591</v>
      </c>
      <c r="N51" s="655">
        <v>73530</v>
      </c>
      <c r="O51" s="490">
        <v>6.3523000000000005</v>
      </c>
      <c r="P51" s="491">
        <v>4.1818</v>
      </c>
      <c r="Q51" s="657">
        <v>2.1704999999999997</v>
      </c>
      <c r="R51" s="501">
        <f t="shared" si="2"/>
        <v>0</v>
      </c>
      <c r="S51" s="492">
        <v>0</v>
      </c>
      <c r="T51" s="492">
        <v>0</v>
      </c>
      <c r="U51" s="492">
        <v>0</v>
      </c>
      <c r="V51" s="492">
        <f t="shared" si="63"/>
        <v>0</v>
      </c>
      <c r="W51" s="492">
        <v>0</v>
      </c>
      <c r="X51" s="492">
        <v>0</v>
      </c>
      <c r="Y51" s="492">
        <v>0</v>
      </c>
      <c r="Z51" s="492">
        <f t="shared" si="3"/>
        <v>0</v>
      </c>
      <c r="AA51" s="492">
        <f t="shared" si="4"/>
        <v>0</v>
      </c>
      <c r="AB51" s="74">
        <f t="shared" si="5"/>
        <v>0</v>
      </c>
      <c r="AC51" s="74">
        <f t="shared" si="6"/>
        <v>0</v>
      </c>
      <c r="AD51" s="492">
        <v>0</v>
      </c>
      <c r="AE51" s="492">
        <v>0</v>
      </c>
      <c r="AF51" s="492">
        <f t="shared" si="64"/>
        <v>0</v>
      </c>
      <c r="AG51" s="492">
        <f t="shared" si="65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7"/>
        <v>0</v>
      </c>
      <c r="AP51" s="493">
        <f t="shared" si="8"/>
        <v>0</v>
      </c>
      <c r="AQ51" s="664">
        <f t="shared" si="9"/>
        <v>0</v>
      </c>
      <c r="AR51" s="502">
        <f t="shared" si="66"/>
        <v>4494107</v>
      </c>
      <c r="AS51" s="492">
        <f t="shared" si="67"/>
        <v>3229595</v>
      </c>
      <c r="AT51" s="492">
        <f t="shared" si="68"/>
        <v>26000</v>
      </c>
      <c r="AU51" s="492">
        <f t="shared" si="69"/>
        <v>1100391</v>
      </c>
      <c r="AV51" s="492">
        <f t="shared" si="69"/>
        <v>64591</v>
      </c>
      <c r="AW51" s="492">
        <f t="shared" si="70"/>
        <v>73530</v>
      </c>
      <c r="AX51" s="493">
        <f t="shared" si="71"/>
        <v>6.3523000000000005</v>
      </c>
      <c r="AY51" s="493">
        <f t="shared" si="72"/>
        <v>4.1818</v>
      </c>
      <c r="AZ51" s="495">
        <f t="shared" si="72"/>
        <v>2.1704999999999997</v>
      </c>
    </row>
    <row r="52" spans="1:52" s="106" customFormat="1" ht="14.1" customHeight="1" x14ac:dyDescent="0.2">
      <c r="A52" s="129">
        <v>7</v>
      </c>
      <c r="B52" s="112">
        <v>2320</v>
      </c>
      <c r="C52" s="103">
        <v>650034180</v>
      </c>
      <c r="D52" s="84">
        <v>72755369</v>
      </c>
      <c r="E52" s="112" t="s">
        <v>756</v>
      </c>
      <c r="F52" s="104">
        <v>3117</v>
      </c>
      <c r="G52" s="84" t="s">
        <v>313</v>
      </c>
      <c r="H52" s="105" t="s">
        <v>279</v>
      </c>
      <c r="I52" s="494">
        <v>283252</v>
      </c>
      <c r="J52" s="489">
        <v>208580</v>
      </c>
      <c r="K52" s="489">
        <v>0</v>
      </c>
      <c r="L52" s="489">
        <v>70500</v>
      </c>
      <c r="M52" s="489">
        <v>4172</v>
      </c>
      <c r="N52" s="489">
        <v>0</v>
      </c>
      <c r="O52" s="490">
        <v>0.74</v>
      </c>
      <c r="P52" s="491">
        <v>0.74</v>
      </c>
      <c r="Q52" s="658">
        <v>0</v>
      </c>
      <c r="R52" s="501">
        <f t="shared" si="2"/>
        <v>0</v>
      </c>
      <c r="S52" s="492">
        <v>0</v>
      </c>
      <c r="T52" s="492">
        <v>0</v>
      </c>
      <c r="U52" s="492">
        <v>0</v>
      </c>
      <c r="V52" s="492">
        <f t="shared" si="63"/>
        <v>0</v>
      </c>
      <c r="W52" s="492">
        <v>0</v>
      </c>
      <c r="X52" s="492">
        <v>0</v>
      </c>
      <c r="Y52" s="492">
        <v>0</v>
      </c>
      <c r="Z52" s="492">
        <f t="shared" si="3"/>
        <v>0</v>
      </c>
      <c r="AA52" s="492">
        <f t="shared" si="4"/>
        <v>0</v>
      </c>
      <c r="AB52" s="74">
        <f t="shared" si="5"/>
        <v>0</v>
      </c>
      <c r="AC52" s="74">
        <f t="shared" si="6"/>
        <v>0</v>
      </c>
      <c r="AD52" s="492">
        <v>0</v>
      </c>
      <c r="AE52" s="492">
        <v>0</v>
      </c>
      <c r="AF52" s="492">
        <f t="shared" si="64"/>
        <v>0</v>
      </c>
      <c r="AG52" s="492">
        <f t="shared" si="65"/>
        <v>0</v>
      </c>
      <c r="AH52" s="493">
        <v>0</v>
      </c>
      <c r="AI52" s="493">
        <v>0</v>
      </c>
      <c r="AJ52" s="493">
        <v>0</v>
      </c>
      <c r="AK52" s="493">
        <v>0</v>
      </c>
      <c r="AL52" s="493">
        <v>0</v>
      </c>
      <c r="AM52" s="493">
        <v>0</v>
      </c>
      <c r="AN52" s="493">
        <v>0</v>
      </c>
      <c r="AO52" s="493">
        <f t="shared" si="7"/>
        <v>0</v>
      </c>
      <c r="AP52" s="493">
        <f t="shared" si="8"/>
        <v>0</v>
      </c>
      <c r="AQ52" s="664">
        <f t="shared" si="9"/>
        <v>0</v>
      </c>
      <c r="AR52" s="502">
        <f t="shared" si="66"/>
        <v>283252</v>
      </c>
      <c r="AS52" s="492">
        <f t="shared" si="67"/>
        <v>208580</v>
      </c>
      <c r="AT52" s="492">
        <f t="shared" si="68"/>
        <v>0</v>
      </c>
      <c r="AU52" s="492">
        <f t="shared" si="69"/>
        <v>70500</v>
      </c>
      <c r="AV52" s="492">
        <f t="shared" si="69"/>
        <v>4172</v>
      </c>
      <c r="AW52" s="492">
        <f t="shared" si="70"/>
        <v>0</v>
      </c>
      <c r="AX52" s="493">
        <f t="shared" si="71"/>
        <v>0.74</v>
      </c>
      <c r="AY52" s="493">
        <f t="shared" si="72"/>
        <v>0.74</v>
      </c>
      <c r="AZ52" s="495">
        <f t="shared" si="72"/>
        <v>0</v>
      </c>
    </row>
    <row r="53" spans="1:52" s="106" customFormat="1" ht="14.1" customHeight="1" x14ac:dyDescent="0.2">
      <c r="A53" s="129">
        <v>7</v>
      </c>
      <c r="B53" s="84">
        <v>2320</v>
      </c>
      <c r="C53" s="103">
        <v>650034180</v>
      </c>
      <c r="D53" s="84">
        <v>72755369</v>
      </c>
      <c r="E53" s="84" t="s">
        <v>756</v>
      </c>
      <c r="F53" s="104">
        <v>3141</v>
      </c>
      <c r="G53" s="84" t="s">
        <v>316</v>
      </c>
      <c r="H53" s="105" t="s">
        <v>279</v>
      </c>
      <c r="I53" s="494">
        <v>1066062</v>
      </c>
      <c r="J53" s="655">
        <v>781478</v>
      </c>
      <c r="K53" s="655">
        <v>0</v>
      </c>
      <c r="L53" s="489">
        <v>264140</v>
      </c>
      <c r="M53" s="489">
        <v>15630</v>
      </c>
      <c r="N53" s="655">
        <v>4814</v>
      </c>
      <c r="O53" s="490">
        <v>2.46</v>
      </c>
      <c r="P53" s="491">
        <v>0</v>
      </c>
      <c r="Q53" s="657">
        <v>2.46</v>
      </c>
      <c r="R53" s="501">
        <f t="shared" si="2"/>
        <v>0</v>
      </c>
      <c r="S53" s="492">
        <v>0</v>
      </c>
      <c r="T53" s="492">
        <v>0</v>
      </c>
      <c r="U53" s="492">
        <v>0</v>
      </c>
      <c r="V53" s="492">
        <f t="shared" si="63"/>
        <v>0</v>
      </c>
      <c r="W53" s="492">
        <v>0</v>
      </c>
      <c r="X53" s="492">
        <v>0</v>
      </c>
      <c r="Y53" s="492">
        <v>0</v>
      </c>
      <c r="Z53" s="492">
        <f t="shared" si="3"/>
        <v>0</v>
      </c>
      <c r="AA53" s="492">
        <f t="shared" si="4"/>
        <v>0</v>
      </c>
      <c r="AB53" s="74">
        <f t="shared" si="5"/>
        <v>0</v>
      </c>
      <c r="AC53" s="74">
        <f t="shared" si="6"/>
        <v>0</v>
      </c>
      <c r="AD53" s="492">
        <v>0</v>
      </c>
      <c r="AE53" s="492">
        <v>0</v>
      </c>
      <c r="AF53" s="492">
        <f t="shared" si="64"/>
        <v>0</v>
      </c>
      <c r="AG53" s="492">
        <f t="shared" si="65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si="7"/>
        <v>0</v>
      </c>
      <c r="AP53" s="493">
        <f t="shared" si="8"/>
        <v>0</v>
      </c>
      <c r="AQ53" s="664">
        <f t="shared" si="9"/>
        <v>0</v>
      </c>
      <c r="AR53" s="502">
        <f t="shared" si="66"/>
        <v>1066062</v>
      </c>
      <c r="AS53" s="492">
        <f t="shared" si="67"/>
        <v>781478</v>
      </c>
      <c r="AT53" s="492">
        <f t="shared" si="68"/>
        <v>0</v>
      </c>
      <c r="AU53" s="492">
        <f t="shared" si="69"/>
        <v>264140</v>
      </c>
      <c r="AV53" s="492">
        <f t="shared" si="69"/>
        <v>15630</v>
      </c>
      <c r="AW53" s="492">
        <f t="shared" si="70"/>
        <v>4814</v>
      </c>
      <c r="AX53" s="493">
        <f t="shared" si="71"/>
        <v>2.46</v>
      </c>
      <c r="AY53" s="493">
        <f t="shared" si="72"/>
        <v>0</v>
      </c>
      <c r="AZ53" s="495">
        <f t="shared" si="72"/>
        <v>2.46</v>
      </c>
    </row>
    <row r="54" spans="1:52" s="106" customFormat="1" ht="14.1" customHeight="1" x14ac:dyDescent="0.2">
      <c r="A54" s="129">
        <v>7</v>
      </c>
      <c r="B54" s="84">
        <v>2320</v>
      </c>
      <c r="C54" s="103">
        <v>650034180</v>
      </c>
      <c r="D54" s="84">
        <v>72755369</v>
      </c>
      <c r="E54" s="84" t="s">
        <v>756</v>
      </c>
      <c r="F54" s="104">
        <v>3143</v>
      </c>
      <c r="G54" s="84" t="s">
        <v>629</v>
      </c>
      <c r="H54" s="105" t="s">
        <v>278</v>
      </c>
      <c r="I54" s="494">
        <v>836045</v>
      </c>
      <c r="J54" s="656">
        <v>615644</v>
      </c>
      <c r="K54" s="656">
        <v>0</v>
      </c>
      <c r="L54" s="489">
        <v>208088</v>
      </c>
      <c r="M54" s="489">
        <v>12313</v>
      </c>
      <c r="N54" s="489">
        <v>0</v>
      </c>
      <c r="O54" s="490">
        <v>1.4016999999999999</v>
      </c>
      <c r="P54" s="14">
        <v>1.4016999999999999</v>
      </c>
      <c r="Q54" s="658">
        <v>0</v>
      </c>
      <c r="R54" s="501">
        <f t="shared" si="2"/>
        <v>0</v>
      </c>
      <c r="S54" s="492">
        <v>0</v>
      </c>
      <c r="T54" s="492">
        <v>0</v>
      </c>
      <c r="U54" s="492">
        <v>0</v>
      </c>
      <c r="V54" s="492">
        <f t="shared" si="63"/>
        <v>0</v>
      </c>
      <c r="W54" s="492">
        <v>0</v>
      </c>
      <c r="X54" s="492">
        <v>0</v>
      </c>
      <c r="Y54" s="492">
        <v>0</v>
      </c>
      <c r="Z54" s="492">
        <f t="shared" si="3"/>
        <v>0</v>
      </c>
      <c r="AA54" s="492">
        <f t="shared" si="4"/>
        <v>0</v>
      </c>
      <c r="AB54" s="74">
        <f t="shared" si="5"/>
        <v>0</v>
      </c>
      <c r="AC54" s="74">
        <f t="shared" si="6"/>
        <v>0</v>
      </c>
      <c r="AD54" s="492">
        <v>0</v>
      </c>
      <c r="AE54" s="492">
        <v>0</v>
      </c>
      <c r="AF54" s="492">
        <f t="shared" si="64"/>
        <v>0</v>
      </c>
      <c r="AG54" s="492">
        <f t="shared" si="65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7"/>
        <v>0</v>
      </c>
      <c r="AP54" s="493">
        <f t="shared" si="8"/>
        <v>0</v>
      </c>
      <c r="AQ54" s="664">
        <f t="shared" si="9"/>
        <v>0</v>
      </c>
      <c r="AR54" s="502">
        <f t="shared" si="66"/>
        <v>836045</v>
      </c>
      <c r="AS54" s="492">
        <f t="shared" si="67"/>
        <v>615644</v>
      </c>
      <c r="AT54" s="492">
        <f t="shared" si="68"/>
        <v>0</v>
      </c>
      <c r="AU54" s="492">
        <f t="shared" si="69"/>
        <v>208088</v>
      </c>
      <c r="AV54" s="492">
        <f t="shared" si="69"/>
        <v>12313</v>
      </c>
      <c r="AW54" s="492">
        <f t="shared" si="70"/>
        <v>0</v>
      </c>
      <c r="AX54" s="493">
        <f t="shared" si="71"/>
        <v>1.4016999999999999</v>
      </c>
      <c r="AY54" s="493">
        <f t="shared" si="72"/>
        <v>1.4016999999999999</v>
      </c>
      <c r="AZ54" s="495">
        <f t="shared" si="72"/>
        <v>0</v>
      </c>
    </row>
    <row r="55" spans="1:52" s="106" customFormat="1" ht="14.1" customHeight="1" x14ac:dyDescent="0.2">
      <c r="A55" s="129">
        <v>7</v>
      </c>
      <c r="B55" s="84">
        <v>2320</v>
      </c>
      <c r="C55" s="103">
        <v>650034180</v>
      </c>
      <c r="D55" s="84">
        <v>72755369</v>
      </c>
      <c r="E55" s="84" t="s">
        <v>756</v>
      </c>
      <c r="F55" s="104">
        <v>3143</v>
      </c>
      <c r="G55" s="84" t="s">
        <v>630</v>
      </c>
      <c r="H55" s="105" t="s">
        <v>279</v>
      </c>
      <c r="I55" s="494">
        <v>30240</v>
      </c>
      <c r="J55" s="655">
        <v>21384</v>
      </c>
      <c r="K55" s="655">
        <v>0</v>
      </c>
      <c r="L55" s="489">
        <v>7228</v>
      </c>
      <c r="M55" s="489">
        <v>428</v>
      </c>
      <c r="N55" s="655">
        <v>1200</v>
      </c>
      <c r="O55" s="490">
        <v>0.08</v>
      </c>
      <c r="P55" s="491">
        <v>0</v>
      </c>
      <c r="Q55" s="657">
        <v>0.08</v>
      </c>
      <c r="R55" s="501">
        <f t="shared" si="2"/>
        <v>0</v>
      </c>
      <c r="S55" s="492">
        <v>0</v>
      </c>
      <c r="T55" s="492">
        <v>0</v>
      </c>
      <c r="U55" s="492">
        <v>0</v>
      </c>
      <c r="V55" s="492">
        <f t="shared" si="63"/>
        <v>0</v>
      </c>
      <c r="W55" s="492">
        <v>0</v>
      </c>
      <c r="X55" s="492">
        <v>0</v>
      </c>
      <c r="Y55" s="492">
        <v>0</v>
      </c>
      <c r="Z55" s="492">
        <f t="shared" si="3"/>
        <v>0</v>
      </c>
      <c r="AA55" s="492">
        <f t="shared" si="4"/>
        <v>0</v>
      </c>
      <c r="AB55" s="74">
        <f t="shared" si="5"/>
        <v>0</v>
      </c>
      <c r="AC55" s="74">
        <f t="shared" si="6"/>
        <v>0</v>
      </c>
      <c r="AD55" s="492">
        <v>0</v>
      </c>
      <c r="AE55" s="492">
        <v>0</v>
      </c>
      <c r="AF55" s="492">
        <f t="shared" si="64"/>
        <v>0</v>
      </c>
      <c r="AG55" s="492">
        <f t="shared" si="65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7"/>
        <v>0</v>
      </c>
      <c r="AP55" s="493">
        <f t="shared" si="8"/>
        <v>0</v>
      </c>
      <c r="AQ55" s="664">
        <f t="shared" si="9"/>
        <v>0</v>
      </c>
      <c r="AR55" s="502">
        <f t="shared" si="66"/>
        <v>30240</v>
      </c>
      <c r="AS55" s="492">
        <f t="shared" si="67"/>
        <v>21384</v>
      </c>
      <c r="AT55" s="492">
        <f t="shared" si="68"/>
        <v>0</v>
      </c>
      <c r="AU55" s="492">
        <f t="shared" si="69"/>
        <v>7228</v>
      </c>
      <c r="AV55" s="492">
        <f t="shared" si="69"/>
        <v>428</v>
      </c>
      <c r="AW55" s="492">
        <f t="shared" si="70"/>
        <v>1200</v>
      </c>
      <c r="AX55" s="493">
        <f t="shared" si="71"/>
        <v>0.08</v>
      </c>
      <c r="AY55" s="493">
        <f t="shared" si="72"/>
        <v>0</v>
      </c>
      <c r="AZ55" s="495">
        <f t="shared" si="72"/>
        <v>0.08</v>
      </c>
    </row>
    <row r="56" spans="1:52" s="106" customFormat="1" ht="14.1" customHeight="1" x14ac:dyDescent="0.2">
      <c r="A56" s="130">
        <v>7</v>
      </c>
      <c r="B56" s="107">
        <v>2320</v>
      </c>
      <c r="C56" s="108">
        <v>650034180</v>
      </c>
      <c r="D56" s="107">
        <v>72755369</v>
      </c>
      <c r="E56" s="107" t="s">
        <v>757</v>
      </c>
      <c r="F56" s="116"/>
      <c r="G56" s="110"/>
      <c r="H56" s="111"/>
      <c r="I56" s="525">
        <v>9719142</v>
      </c>
      <c r="J56" s="521">
        <v>7033557</v>
      </c>
      <c r="K56" s="521">
        <v>52000</v>
      </c>
      <c r="L56" s="521">
        <v>2394919</v>
      </c>
      <c r="M56" s="521">
        <v>140672</v>
      </c>
      <c r="N56" s="521">
        <v>97994</v>
      </c>
      <c r="O56" s="522">
        <v>15.895800000000001</v>
      </c>
      <c r="P56" s="522">
        <v>10.323499999999999</v>
      </c>
      <c r="Q56" s="113">
        <v>5.5722999999999994</v>
      </c>
      <c r="R56" s="529">
        <f t="shared" ref="R56:AZ56" si="73">SUM(R50:R55)</f>
        <v>0</v>
      </c>
      <c r="S56" s="521">
        <f t="shared" si="73"/>
        <v>0</v>
      </c>
      <c r="T56" s="521">
        <f t="shared" si="73"/>
        <v>0</v>
      </c>
      <c r="U56" s="521">
        <f t="shared" si="73"/>
        <v>0</v>
      </c>
      <c r="V56" s="521">
        <f t="shared" si="73"/>
        <v>0</v>
      </c>
      <c r="W56" s="521">
        <f t="shared" si="73"/>
        <v>0</v>
      </c>
      <c r="X56" s="521">
        <f t="shared" si="73"/>
        <v>0</v>
      </c>
      <c r="Y56" s="521">
        <f t="shared" si="73"/>
        <v>0</v>
      </c>
      <c r="Z56" s="521">
        <f t="shared" si="73"/>
        <v>0</v>
      </c>
      <c r="AA56" s="521">
        <f t="shared" si="73"/>
        <v>0</v>
      </c>
      <c r="AB56" s="521">
        <f t="shared" si="73"/>
        <v>0</v>
      </c>
      <c r="AC56" s="521">
        <f t="shared" si="73"/>
        <v>0</v>
      </c>
      <c r="AD56" s="521">
        <f t="shared" si="73"/>
        <v>0</v>
      </c>
      <c r="AE56" s="521">
        <f t="shared" si="73"/>
        <v>0</v>
      </c>
      <c r="AF56" s="521">
        <f t="shared" si="73"/>
        <v>0</v>
      </c>
      <c r="AG56" s="521">
        <f t="shared" si="73"/>
        <v>0</v>
      </c>
      <c r="AH56" s="522">
        <f t="shared" si="73"/>
        <v>0</v>
      </c>
      <c r="AI56" s="522">
        <f t="shared" si="73"/>
        <v>0</v>
      </c>
      <c r="AJ56" s="522">
        <f t="shared" si="73"/>
        <v>0</v>
      </c>
      <c r="AK56" s="522">
        <f t="shared" ref="AK56:AL56" si="74">SUM(AK50:AK55)</f>
        <v>0</v>
      </c>
      <c r="AL56" s="522">
        <f t="shared" si="74"/>
        <v>0</v>
      </c>
      <c r="AM56" s="522">
        <f t="shared" si="73"/>
        <v>0</v>
      </c>
      <c r="AN56" s="522">
        <f t="shared" si="73"/>
        <v>0</v>
      </c>
      <c r="AO56" s="522">
        <f t="shared" si="73"/>
        <v>0</v>
      </c>
      <c r="AP56" s="522">
        <f t="shared" si="73"/>
        <v>0</v>
      </c>
      <c r="AQ56" s="527">
        <f t="shared" si="73"/>
        <v>0</v>
      </c>
      <c r="AR56" s="525">
        <f t="shared" si="73"/>
        <v>9719142</v>
      </c>
      <c r="AS56" s="521">
        <f t="shared" si="73"/>
        <v>7033557</v>
      </c>
      <c r="AT56" s="521">
        <f t="shared" si="73"/>
        <v>52000</v>
      </c>
      <c r="AU56" s="521">
        <f t="shared" si="73"/>
        <v>2394919</v>
      </c>
      <c r="AV56" s="521">
        <f t="shared" si="73"/>
        <v>140672</v>
      </c>
      <c r="AW56" s="521">
        <f t="shared" si="73"/>
        <v>97994</v>
      </c>
      <c r="AX56" s="522">
        <f t="shared" si="73"/>
        <v>15.895800000000001</v>
      </c>
      <c r="AY56" s="522">
        <f t="shared" si="73"/>
        <v>10.323499999999999</v>
      </c>
      <c r="AZ56" s="113">
        <f t="shared" si="73"/>
        <v>5.5722999999999994</v>
      </c>
    </row>
    <row r="57" spans="1:52" s="106" customFormat="1" ht="14.1" customHeight="1" x14ac:dyDescent="0.2">
      <c r="A57" s="129">
        <v>8</v>
      </c>
      <c r="B57" s="112">
        <v>2455</v>
      </c>
      <c r="C57" s="103">
        <v>600080145</v>
      </c>
      <c r="D57" s="84">
        <v>72741601</v>
      </c>
      <c r="E57" s="84" t="s">
        <v>758</v>
      </c>
      <c r="F57" s="104">
        <v>3111</v>
      </c>
      <c r="G57" s="84" t="s">
        <v>312</v>
      </c>
      <c r="H57" s="105" t="s">
        <v>278</v>
      </c>
      <c r="I57" s="494">
        <v>1496242</v>
      </c>
      <c r="J57" s="655">
        <v>1096165</v>
      </c>
      <c r="K57" s="655">
        <v>0</v>
      </c>
      <c r="L57" s="489">
        <v>370504</v>
      </c>
      <c r="M57" s="489">
        <v>21923</v>
      </c>
      <c r="N57" s="655">
        <v>7650</v>
      </c>
      <c r="O57" s="490">
        <v>2.4609000000000001</v>
      </c>
      <c r="P57" s="491">
        <v>2</v>
      </c>
      <c r="Q57" s="657">
        <v>0.46089999999999998</v>
      </c>
      <c r="R57" s="501">
        <f t="shared" si="2"/>
        <v>0</v>
      </c>
      <c r="S57" s="492">
        <v>0</v>
      </c>
      <c r="T57" s="492">
        <v>0</v>
      </c>
      <c r="U57" s="492">
        <v>0</v>
      </c>
      <c r="V57" s="492">
        <f t="shared" ref="V57:V62" si="75">SUM(R57:U57)</f>
        <v>0</v>
      </c>
      <c r="W57" s="492">
        <v>0</v>
      </c>
      <c r="X57" s="492">
        <v>0</v>
      </c>
      <c r="Y57" s="492">
        <v>0</v>
      </c>
      <c r="Z57" s="492">
        <f t="shared" si="3"/>
        <v>0</v>
      </c>
      <c r="AA57" s="492">
        <f t="shared" si="4"/>
        <v>0</v>
      </c>
      <c r="AB57" s="74">
        <f t="shared" si="5"/>
        <v>0</v>
      </c>
      <c r="AC57" s="74">
        <f t="shared" si="6"/>
        <v>0</v>
      </c>
      <c r="AD57" s="492">
        <v>0</v>
      </c>
      <c r="AE57" s="492">
        <v>0</v>
      </c>
      <c r="AF57" s="492">
        <f t="shared" ref="AF57:AF62" si="76">SUM(AD57:AE57)</f>
        <v>0</v>
      </c>
      <c r="AG57" s="492">
        <f t="shared" ref="AG57:AG62" si="77">AA57+AB57+AC57+AF57</f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7"/>
        <v>0</v>
      </c>
      <c r="AP57" s="493">
        <f t="shared" si="8"/>
        <v>0</v>
      </c>
      <c r="AQ57" s="664">
        <f t="shared" si="9"/>
        <v>0</v>
      </c>
      <c r="AR57" s="502">
        <f t="shared" ref="AR57:AR62" si="78">I57+AG57</f>
        <v>1496242</v>
      </c>
      <c r="AS57" s="492">
        <f t="shared" ref="AS57:AS62" si="79">J57+V57</f>
        <v>1096165</v>
      </c>
      <c r="AT57" s="492">
        <f t="shared" ref="AT57:AT62" si="80">K57+Z57</f>
        <v>0</v>
      </c>
      <c r="AU57" s="492">
        <f t="shared" ref="AU57:AV62" si="81">L57+AB57</f>
        <v>370504</v>
      </c>
      <c r="AV57" s="492">
        <f t="shared" si="81"/>
        <v>21923</v>
      </c>
      <c r="AW57" s="492">
        <f t="shared" ref="AW57:AW62" si="82">N57+AF57</f>
        <v>7650</v>
      </c>
      <c r="AX57" s="493">
        <f t="shared" ref="AX57:AX62" si="83">O57+AQ57</f>
        <v>2.4609000000000001</v>
      </c>
      <c r="AY57" s="493">
        <f t="shared" ref="AY57:AZ62" si="84">P57+AO57</f>
        <v>2</v>
      </c>
      <c r="AZ57" s="495">
        <f t="shared" si="84"/>
        <v>0.46089999999999998</v>
      </c>
    </row>
    <row r="58" spans="1:52" s="106" customFormat="1" ht="14.1" customHeight="1" x14ac:dyDescent="0.2">
      <c r="A58" s="129">
        <v>8</v>
      </c>
      <c r="B58" s="114">
        <v>2455</v>
      </c>
      <c r="C58" s="103">
        <v>600080145</v>
      </c>
      <c r="D58" s="84">
        <v>72741601</v>
      </c>
      <c r="E58" s="114" t="s">
        <v>758</v>
      </c>
      <c r="F58" s="115">
        <v>3117</v>
      </c>
      <c r="G58" s="114" t="s">
        <v>330</v>
      </c>
      <c r="H58" s="105" t="s">
        <v>278</v>
      </c>
      <c r="I58" s="494">
        <v>3398886</v>
      </c>
      <c r="J58" s="655">
        <v>2460049</v>
      </c>
      <c r="K58" s="655">
        <v>0</v>
      </c>
      <c r="L58" s="489">
        <v>831496</v>
      </c>
      <c r="M58" s="489">
        <v>49201</v>
      </c>
      <c r="N58" s="655">
        <v>58140</v>
      </c>
      <c r="O58" s="490">
        <v>4.7469999999999999</v>
      </c>
      <c r="P58" s="491">
        <v>3.3182</v>
      </c>
      <c r="Q58" s="657">
        <v>1.4288000000000001</v>
      </c>
      <c r="R58" s="501">
        <f t="shared" si="2"/>
        <v>0</v>
      </c>
      <c r="S58" s="492">
        <v>0</v>
      </c>
      <c r="T58" s="492">
        <v>0</v>
      </c>
      <c r="U58" s="492">
        <v>0</v>
      </c>
      <c r="V58" s="492">
        <f t="shared" si="75"/>
        <v>0</v>
      </c>
      <c r="W58" s="492">
        <v>0</v>
      </c>
      <c r="X58" s="492">
        <v>0</v>
      </c>
      <c r="Y58" s="492">
        <v>0</v>
      </c>
      <c r="Z58" s="492">
        <f t="shared" si="3"/>
        <v>0</v>
      </c>
      <c r="AA58" s="492">
        <f t="shared" si="4"/>
        <v>0</v>
      </c>
      <c r="AB58" s="74">
        <f t="shared" si="5"/>
        <v>0</v>
      </c>
      <c r="AC58" s="74">
        <f t="shared" si="6"/>
        <v>0</v>
      </c>
      <c r="AD58" s="492">
        <v>0</v>
      </c>
      <c r="AE58" s="492">
        <v>0</v>
      </c>
      <c r="AF58" s="492">
        <f t="shared" si="76"/>
        <v>0</v>
      </c>
      <c r="AG58" s="492">
        <f t="shared" si="77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7"/>
        <v>0</v>
      </c>
      <c r="AP58" s="493">
        <f t="shared" si="8"/>
        <v>0</v>
      </c>
      <c r="AQ58" s="664">
        <f t="shared" si="9"/>
        <v>0</v>
      </c>
      <c r="AR58" s="502">
        <f t="shared" si="78"/>
        <v>3398886</v>
      </c>
      <c r="AS58" s="492">
        <f t="shared" si="79"/>
        <v>2460049</v>
      </c>
      <c r="AT58" s="492">
        <f t="shared" si="80"/>
        <v>0</v>
      </c>
      <c r="AU58" s="492">
        <f t="shared" si="81"/>
        <v>831496</v>
      </c>
      <c r="AV58" s="492">
        <f t="shared" si="81"/>
        <v>49201</v>
      </c>
      <c r="AW58" s="492">
        <f t="shared" si="82"/>
        <v>58140</v>
      </c>
      <c r="AX58" s="493">
        <f t="shared" si="83"/>
        <v>4.7469999999999999</v>
      </c>
      <c r="AY58" s="493">
        <f t="shared" si="84"/>
        <v>3.3182</v>
      </c>
      <c r="AZ58" s="495">
        <f t="shared" si="84"/>
        <v>1.4288000000000001</v>
      </c>
    </row>
    <row r="59" spans="1:52" s="106" customFormat="1" ht="14.1" customHeight="1" x14ac:dyDescent="0.2">
      <c r="A59" s="129">
        <v>8</v>
      </c>
      <c r="B59" s="112">
        <v>2455</v>
      </c>
      <c r="C59" s="103">
        <v>600080145</v>
      </c>
      <c r="D59" s="84">
        <v>72741601</v>
      </c>
      <c r="E59" s="112" t="s">
        <v>758</v>
      </c>
      <c r="F59" s="104">
        <v>3117</v>
      </c>
      <c r="G59" s="84" t="s">
        <v>313</v>
      </c>
      <c r="H59" s="105" t="s">
        <v>279</v>
      </c>
      <c r="I59" s="494">
        <v>267154</v>
      </c>
      <c r="J59" s="489">
        <v>196358</v>
      </c>
      <c r="K59" s="489">
        <v>0</v>
      </c>
      <c r="L59" s="489">
        <v>66369</v>
      </c>
      <c r="M59" s="489">
        <v>3927</v>
      </c>
      <c r="N59" s="489">
        <v>500</v>
      </c>
      <c r="O59" s="490">
        <v>0.55000000000000004</v>
      </c>
      <c r="P59" s="491">
        <v>0.55000000000000004</v>
      </c>
      <c r="Q59" s="658">
        <v>0</v>
      </c>
      <c r="R59" s="501">
        <f t="shared" si="2"/>
        <v>0</v>
      </c>
      <c r="S59" s="492">
        <v>0</v>
      </c>
      <c r="T59" s="492">
        <v>0</v>
      </c>
      <c r="U59" s="492">
        <v>0</v>
      </c>
      <c r="V59" s="492">
        <f t="shared" si="75"/>
        <v>0</v>
      </c>
      <c r="W59" s="492">
        <v>0</v>
      </c>
      <c r="X59" s="492">
        <v>0</v>
      </c>
      <c r="Y59" s="492">
        <v>0</v>
      </c>
      <c r="Z59" s="492">
        <f t="shared" si="3"/>
        <v>0</v>
      </c>
      <c r="AA59" s="492">
        <f t="shared" si="4"/>
        <v>0</v>
      </c>
      <c r="AB59" s="74">
        <f t="shared" si="5"/>
        <v>0</v>
      </c>
      <c r="AC59" s="74">
        <f t="shared" si="6"/>
        <v>0</v>
      </c>
      <c r="AD59" s="492">
        <v>0</v>
      </c>
      <c r="AE59" s="492">
        <v>0</v>
      </c>
      <c r="AF59" s="492">
        <f t="shared" si="76"/>
        <v>0</v>
      </c>
      <c r="AG59" s="492">
        <f t="shared" si="77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7"/>
        <v>0</v>
      </c>
      <c r="AP59" s="493">
        <f t="shared" si="8"/>
        <v>0</v>
      </c>
      <c r="AQ59" s="664">
        <f t="shared" si="9"/>
        <v>0</v>
      </c>
      <c r="AR59" s="502">
        <f t="shared" si="78"/>
        <v>267154</v>
      </c>
      <c r="AS59" s="492">
        <f t="shared" si="79"/>
        <v>196358</v>
      </c>
      <c r="AT59" s="492">
        <f t="shared" si="80"/>
        <v>0</v>
      </c>
      <c r="AU59" s="492">
        <f t="shared" si="81"/>
        <v>66369</v>
      </c>
      <c r="AV59" s="492">
        <f t="shared" si="81"/>
        <v>3927</v>
      </c>
      <c r="AW59" s="492">
        <f t="shared" si="82"/>
        <v>500</v>
      </c>
      <c r="AX59" s="493">
        <f t="shared" si="83"/>
        <v>0.55000000000000004</v>
      </c>
      <c r="AY59" s="493">
        <f t="shared" si="84"/>
        <v>0.55000000000000004</v>
      </c>
      <c r="AZ59" s="495">
        <f t="shared" si="84"/>
        <v>0</v>
      </c>
    </row>
    <row r="60" spans="1:52" s="106" customFormat="1" ht="14.1" customHeight="1" x14ac:dyDescent="0.2">
      <c r="A60" s="129">
        <v>8</v>
      </c>
      <c r="B60" s="84">
        <v>2455</v>
      </c>
      <c r="C60" s="103">
        <v>600080145</v>
      </c>
      <c r="D60" s="84">
        <v>72741601</v>
      </c>
      <c r="E60" s="84" t="s">
        <v>758</v>
      </c>
      <c r="F60" s="104">
        <v>3141</v>
      </c>
      <c r="G60" s="84" t="s">
        <v>316</v>
      </c>
      <c r="H60" s="105" t="s">
        <v>279</v>
      </c>
      <c r="I60" s="494">
        <v>708087</v>
      </c>
      <c r="J60" s="655">
        <v>519241</v>
      </c>
      <c r="K60" s="655">
        <v>0</v>
      </c>
      <c r="L60" s="489">
        <v>175503</v>
      </c>
      <c r="M60" s="489">
        <v>10385</v>
      </c>
      <c r="N60" s="655">
        <v>2958</v>
      </c>
      <c r="O60" s="490">
        <v>1.64</v>
      </c>
      <c r="P60" s="491">
        <v>0</v>
      </c>
      <c r="Q60" s="657">
        <v>1.64</v>
      </c>
      <c r="R60" s="501">
        <f t="shared" si="2"/>
        <v>0</v>
      </c>
      <c r="S60" s="492">
        <v>0</v>
      </c>
      <c r="T60" s="492">
        <v>0</v>
      </c>
      <c r="U60" s="492">
        <v>0</v>
      </c>
      <c r="V60" s="492">
        <f t="shared" si="75"/>
        <v>0</v>
      </c>
      <c r="W60" s="492">
        <v>0</v>
      </c>
      <c r="X60" s="492">
        <v>0</v>
      </c>
      <c r="Y60" s="492">
        <v>0</v>
      </c>
      <c r="Z60" s="492">
        <f t="shared" si="3"/>
        <v>0</v>
      </c>
      <c r="AA60" s="492">
        <f t="shared" si="4"/>
        <v>0</v>
      </c>
      <c r="AB60" s="74">
        <f t="shared" si="5"/>
        <v>0</v>
      </c>
      <c r="AC60" s="74">
        <f t="shared" si="6"/>
        <v>0</v>
      </c>
      <c r="AD60" s="492">
        <v>0</v>
      </c>
      <c r="AE60" s="492">
        <v>0</v>
      </c>
      <c r="AF60" s="492">
        <f t="shared" si="76"/>
        <v>0</v>
      </c>
      <c r="AG60" s="492">
        <f t="shared" si="77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7"/>
        <v>0</v>
      </c>
      <c r="AP60" s="493">
        <f t="shared" si="8"/>
        <v>0</v>
      </c>
      <c r="AQ60" s="664">
        <f t="shared" si="9"/>
        <v>0</v>
      </c>
      <c r="AR60" s="502">
        <f t="shared" si="78"/>
        <v>708087</v>
      </c>
      <c r="AS60" s="492">
        <f t="shared" si="79"/>
        <v>519241</v>
      </c>
      <c r="AT60" s="492">
        <f t="shared" si="80"/>
        <v>0</v>
      </c>
      <c r="AU60" s="492">
        <f t="shared" si="81"/>
        <v>175503</v>
      </c>
      <c r="AV60" s="492">
        <f t="shared" si="81"/>
        <v>10385</v>
      </c>
      <c r="AW60" s="492">
        <f t="shared" si="82"/>
        <v>2958</v>
      </c>
      <c r="AX60" s="493">
        <f t="shared" si="83"/>
        <v>1.64</v>
      </c>
      <c r="AY60" s="493">
        <f t="shared" si="84"/>
        <v>0</v>
      </c>
      <c r="AZ60" s="495">
        <f t="shared" si="84"/>
        <v>1.64</v>
      </c>
    </row>
    <row r="61" spans="1:52" s="106" customFormat="1" ht="14.1" customHeight="1" x14ac:dyDescent="0.2">
      <c r="A61" s="129">
        <v>8</v>
      </c>
      <c r="B61" s="84">
        <v>2455</v>
      </c>
      <c r="C61" s="103">
        <v>600080145</v>
      </c>
      <c r="D61" s="84">
        <v>72741601</v>
      </c>
      <c r="E61" s="84" t="s">
        <v>758</v>
      </c>
      <c r="F61" s="104">
        <v>3143</v>
      </c>
      <c r="G61" s="84" t="s">
        <v>629</v>
      </c>
      <c r="H61" s="105" t="s">
        <v>278</v>
      </c>
      <c r="I61" s="494">
        <v>824583</v>
      </c>
      <c r="J61" s="656">
        <v>607204</v>
      </c>
      <c r="K61" s="656">
        <v>0</v>
      </c>
      <c r="L61" s="489">
        <v>205235</v>
      </c>
      <c r="M61" s="489">
        <v>12144</v>
      </c>
      <c r="N61" s="489">
        <v>0</v>
      </c>
      <c r="O61" s="490">
        <v>1.3572</v>
      </c>
      <c r="P61" s="14">
        <v>1.3572</v>
      </c>
      <c r="Q61" s="658">
        <v>0</v>
      </c>
      <c r="R61" s="501">
        <f t="shared" si="2"/>
        <v>0</v>
      </c>
      <c r="S61" s="492">
        <v>0</v>
      </c>
      <c r="T61" s="492">
        <v>0</v>
      </c>
      <c r="U61" s="492">
        <v>0</v>
      </c>
      <c r="V61" s="492">
        <f t="shared" si="75"/>
        <v>0</v>
      </c>
      <c r="W61" s="492">
        <v>0</v>
      </c>
      <c r="X61" s="492">
        <v>0</v>
      </c>
      <c r="Y61" s="492">
        <v>0</v>
      </c>
      <c r="Z61" s="492">
        <f t="shared" si="3"/>
        <v>0</v>
      </c>
      <c r="AA61" s="492">
        <f t="shared" si="4"/>
        <v>0</v>
      </c>
      <c r="AB61" s="74">
        <f t="shared" si="5"/>
        <v>0</v>
      </c>
      <c r="AC61" s="74">
        <f t="shared" si="6"/>
        <v>0</v>
      </c>
      <c r="AD61" s="492">
        <v>0</v>
      </c>
      <c r="AE61" s="492">
        <v>0</v>
      </c>
      <c r="AF61" s="492">
        <f t="shared" si="76"/>
        <v>0</v>
      </c>
      <c r="AG61" s="492">
        <f t="shared" si="77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7"/>
        <v>0</v>
      </c>
      <c r="AP61" s="493">
        <f t="shared" si="8"/>
        <v>0</v>
      </c>
      <c r="AQ61" s="664">
        <f t="shared" si="9"/>
        <v>0</v>
      </c>
      <c r="AR61" s="502">
        <f t="shared" si="78"/>
        <v>824583</v>
      </c>
      <c r="AS61" s="492">
        <f t="shared" si="79"/>
        <v>607204</v>
      </c>
      <c r="AT61" s="492">
        <f t="shared" si="80"/>
        <v>0</v>
      </c>
      <c r="AU61" s="492">
        <f t="shared" si="81"/>
        <v>205235</v>
      </c>
      <c r="AV61" s="492">
        <f t="shared" si="81"/>
        <v>12144</v>
      </c>
      <c r="AW61" s="492">
        <f t="shared" si="82"/>
        <v>0</v>
      </c>
      <c r="AX61" s="493">
        <f t="shared" si="83"/>
        <v>1.3572</v>
      </c>
      <c r="AY61" s="493">
        <f t="shared" si="84"/>
        <v>1.3572</v>
      </c>
      <c r="AZ61" s="495">
        <f t="shared" si="84"/>
        <v>0</v>
      </c>
    </row>
    <row r="62" spans="1:52" s="106" customFormat="1" ht="14.1" customHeight="1" x14ac:dyDescent="0.2">
      <c r="A62" s="129">
        <v>8</v>
      </c>
      <c r="B62" s="84">
        <v>2455</v>
      </c>
      <c r="C62" s="103">
        <v>600080145</v>
      </c>
      <c r="D62" s="84">
        <v>72741601</v>
      </c>
      <c r="E62" s="84" t="s">
        <v>758</v>
      </c>
      <c r="F62" s="104">
        <v>3143</v>
      </c>
      <c r="G62" s="84" t="s">
        <v>630</v>
      </c>
      <c r="H62" s="105" t="s">
        <v>279</v>
      </c>
      <c r="I62" s="494">
        <v>24948</v>
      </c>
      <c r="J62" s="655">
        <v>17642</v>
      </c>
      <c r="K62" s="655">
        <v>0</v>
      </c>
      <c r="L62" s="489">
        <v>5963</v>
      </c>
      <c r="M62" s="489">
        <v>353</v>
      </c>
      <c r="N62" s="655">
        <v>990</v>
      </c>
      <c r="O62" s="490">
        <v>7.0000000000000007E-2</v>
      </c>
      <c r="P62" s="491">
        <v>0</v>
      </c>
      <c r="Q62" s="657">
        <v>7.0000000000000007E-2</v>
      </c>
      <c r="R62" s="501">
        <f t="shared" si="2"/>
        <v>0</v>
      </c>
      <c r="S62" s="492">
        <v>0</v>
      </c>
      <c r="T62" s="492">
        <v>0</v>
      </c>
      <c r="U62" s="492">
        <v>0</v>
      </c>
      <c r="V62" s="492">
        <f t="shared" si="75"/>
        <v>0</v>
      </c>
      <c r="W62" s="492">
        <v>0</v>
      </c>
      <c r="X62" s="492">
        <v>0</v>
      </c>
      <c r="Y62" s="492">
        <v>0</v>
      </c>
      <c r="Z62" s="492">
        <f t="shared" si="3"/>
        <v>0</v>
      </c>
      <c r="AA62" s="492">
        <f t="shared" si="4"/>
        <v>0</v>
      </c>
      <c r="AB62" s="74">
        <f t="shared" si="5"/>
        <v>0</v>
      </c>
      <c r="AC62" s="74">
        <f t="shared" si="6"/>
        <v>0</v>
      </c>
      <c r="AD62" s="492">
        <v>0</v>
      </c>
      <c r="AE62" s="492">
        <v>0</v>
      </c>
      <c r="AF62" s="492">
        <f t="shared" si="76"/>
        <v>0</v>
      </c>
      <c r="AG62" s="492">
        <f t="shared" si="77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7"/>
        <v>0</v>
      </c>
      <c r="AP62" s="493">
        <f t="shared" si="8"/>
        <v>0</v>
      </c>
      <c r="AQ62" s="664">
        <f t="shared" si="9"/>
        <v>0</v>
      </c>
      <c r="AR62" s="502">
        <f t="shared" si="78"/>
        <v>24948</v>
      </c>
      <c r="AS62" s="492">
        <f t="shared" si="79"/>
        <v>17642</v>
      </c>
      <c r="AT62" s="492">
        <f t="shared" si="80"/>
        <v>0</v>
      </c>
      <c r="AU62" s="492">
        <f t="shared" si="81"/>
        <v>5963</v>
      </c>
      <c r="AV62" s="492">
        <f t="shared" si="81"/>
        <v>353</v>
      </c>
      <c r="AW62" s="492">
        <f t="shared" si="82"/>
        <v>990</v>
      </c>
      <c r="AX62" s="493">
        <f t="shared" si="83"/>
        <v>7.0000000000000007E-2</v>
      </c>
      <c r="AY62" s="493">
        <f t="shared" si="84"/>
        <v>0</v>
      </c>
      <c r="AZ62" s="495">
        <f t="shared" si="84"/>
        <v>7.0000000000000007E-2</v>
      </c>
    </row>
    <row r="63" spans="1:52" s="106" customFormat="1" ht="14.1" customHeight="1" x14ac:dyDescent="0.2">
      <c r="A63" s="130">
        <v>8</v>
      </c>
      <c r="B63" s="107">
        <v>2455</v>
      </c>
      <c r="C63" s="108">
        <v>600080145</v>
      </c>
      <c r="D63" s="107">
        <v>72741601</v>
      </c>
      <c r="E63" s="107" t="s">
        <v>759</v>
      </c>
      <c r="F63" s="116"/>
      <c r="G63" s="110"/>
      <c r="H63" s="111"/>
      <c r="I63" s="525">
        <v>6719900</v>
      </c>
      <c r="J63" s="521">
        <v>4896659</v>
      </c>
      <c r="K63" s="521">
        <v>0</v>
      </c>
      <c r="L63" s="521">
        <v>1655070</v>
      </c>
      <c r="M63" s="521">
        <v>97933</v>
      </c>
      <c r="N63" s="521">
        <v>70238</v>
      </c>
      <c r="O63" s="522">
        <v>10.825100000000001</v>
      </c>
      <c r="P63" s="522">
        <v>7.2253999999999996</v>
      </c>
      <c r="Q63" s="113">
        <v>3.5996999999999999</v>
      </c>
      <c r="R63" s="529">
        <f t="shared" ref="R63:AZ63" si="85">SUM(R57:R62)</f>
        <v>0</v>
      </c>
      <c r="S63" s="521">
        <f t="shared" si="85"/>
        <v>0</v>
      </c>
      <c r="T63" s="521">
        <f t="shared" si="85"/>
        <v>0</v>
      </c>
      <c r="U63" s="521">
        <f t="shared" si="85"/>
        <v>0</v>
      </c>
      <c r="V63" s="521">
        <f t="shared" si="85"/>
        <v>0</v>
      </c>
      <c r="W63" s="521">
        <f t="shared" si="85"/>
        <v>0</v>
      </c>
      <c r="X63" s="521">
        <f t="shared" si="85"/>
        <v>0</v>
      </c>
      <c r="Y63" s="521">
        <f t="shared" si="85"/>
        <v>0</v>
      </c>
      <c r="Z63" s="521">
        <f t="shared" si="85"/>
        <v>0</v>
      </c>
      <c r="AA63" s="521">
        <f t="shared" si="85"/>
        <v>0</v>
      </c>
      <c r="AB63" s="521">
        <f t="shared" si="85"/>
        <v>0</v>
      </c>
      <c r="AC63" s="521">
        <f t="shared" si="85"/>
        <v>0</v>
      </c>
      <c r="AD63" s="521">
        <f t="shared" si="85"/>
        <v>0</v>
      </c>
      <c r="AE63" s="521">
        <f t="shared" si="85"/>
        <v>0</v>
      </c>
      <c r="AF63" s="521">
        <f t="shared" si="85"/>
        <v>0</v>
      </c>
      <c r="AG63" s="521">
        <f t="shared" si="85"/>
        <v>0</v>
      </c>
      <c r="AH63" s="522">
        <f t="shared" si="85"/>
        <v>0</v>
      </c>
      <c r="AI63" s="522">
        <f t="shared" si="85"/>
        <v>0</v>
      </c>
      <c r="AJ63" s="522">
        <f t="shared" si="85"/>
        <v>0</v>
      </c>
      <c r="AK63" s="522">
        <f t="shared" ref="AK63:AL63" si="86">SUM(AK57:AK62)</f>
        <v>0</v>
      </c>
      <c r="AL63" s="522">
        <f t="shared" si="86"/>
        <v>0</v>
      </c>
      <c r="AM63" s="522">
        <f t="shared" si="85"/>
        <v>0</v>
      </c>
      <c r="AN63" s="522">
        <f t="shared" si="85"/>
        <v>0</v>
      </c>
      <c r="AO63" s="522">
        <f t="shared" si="85"/>
        <v>0</v>
      </c>
      <c r="AP63" s="522">
        <f t="shared" si="85"/>
        <v>0</v>
      </c>
      <c r="AQ63" s="527">
        <f t="shared" si="85"/>
        <v>0</v>
      </c>
      <c r="AR63" s="525">
        <f t="shared" si="85"/>
        <v>6719900</v>
      </c>
      <c r="AS63" s="521">
        <f t="shared" si="85"/>
        <v>4896659</v>
      </c>
      <c r="AT63" s="521">
        <f t="shared" si="85"/>
        <v>0</v>
      </c>
      <c r="AU63" s="521">
        <f t="shared" si="85"/>
        <v>1655070</v>
      </c>
      <c r="AV63" s="521">
        <f t="shared" si="85"/>
        <v>97933</v>
      </c>
      <c r="AW63" s="521">
        <f t="shared" si="85"/>
        <v>70238</v>
      </c>
      <c r="AX63" s="522">
        <f t="shared" si="85"/>
        <v>10.825100000000001</v>
      </c>
      <c r="AY63" s="522">
        <f t="shared" si="85"/>
        <v>7.2253999999999996</v>
      </c>
      <c r="AZ63" s="113">
        <f t="shared" si="85"/>
        <v>3.5996999999999999</v>
      </c>
    </row>
    <row r="64" spans="1:52" s="106" customFormat="1" ht="14.1" customHeight="1" x14ac:dyDescent="0.2">
      <c r="A64" s="129">
        <v>9</v>
      </c>
      <c r="B64" s="112">
        <v>2456</v>
      </c>
      <c r="C64" s="103">
        <v>600079732</v>
      </c>
      <c r="D64" s="84">
        <v>70695911</v>
      </c>
      <c r="E64" s="84" t="s">
        <v>760</v>
      </c>
      <c r="F64" s="104">
        <v>3111</v>
      </c>
      <c r="G64" s="84" t="s">
        <v>312</v>
      </c>
      <c r="H64" s="105" t="s">
        <v>278</v>
      </c>
      <c r="I64" s="494">
        <v>8918568</v>
      </c>
      <c r="J64" s="655">
        <v>6522585</v>
      </c>
      <c r="K64" s="655">
        <v>6500</v>
      </c>
      <c r="L64" s="489">
        <v>2206831</v>
      </c>
      <c r="M64" s="489">
        <v>130452</v>
      </c>
      <c r="N64" s="655">
        <v>52200</v>
      </c>
      <c r="O64" s="490">
        <v>14.598799999999999</v>
      </c>
      <c r="P64" s="491">
        <v>11.833299999999999</v>
      </c>
      <c r="Q64" s="657">
        <v>2.7654999999999998</v>
      </c>
      <c r="R64" s="501">
        <f t="shared" si="2"/>
        <v>0</v>
      </c>
      <c r="S64" s="492">
        <v>0</v>
      </c>
      <c r="T64" s="492">
        <v>0</v>
      </c>
      <c r="U64" s="492">
        <v>0</v>
      </c>
      <c r="V64" s="492">
        <f t="shared" ref="V64:V69" si="87">SUM(R64:U64)</f>
        <v>0</v>
      </c>
      <c r="W64" s="492">
        <v>0</v>
      </c>
      <c r="X64" s="492">
        <v>0</v>
      </c>
      <c r="Y64" s="492">
        <v>0</v>
      </c>
      <c r="Z64" s="492">
        <f t="shared" si="3"/>
        <v>0</v>
      </c>
      <c r="AA64" s="492">
        <f t="shared" si="4"/>
        <v>0</v>
      </c>
      <c r="AB64" s="74">
        <f t="shared" si="5"/>
        <v>0</v>
      </c>
      <c r="AC64" s="74">
        <f t="shared" si="6"/>
        <v>0</v>
      </c>
      <c r="AD64" s="492">
        <v>0</v>
      </c>
      <c r="AE64" s="492">
        <v>0</v>
      </c>
      <c r="AF64" s="492">
        <f t="shared" ref="AF64:AF69" si="88">SUM(AD64:AE64)</f>
        <v>0</v>
      </c>
      <c r="AG64" s="492">
        <f t="shared" ref="AG64:AG69" si="89">AA64+AB64+AC64+AF64</f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si="7"/>
        <v>0</v>
      </c>
      <c r="AP64" s="493">
        <f t="shared" si="8"/>
        <v>0</v>
      </c>
      <c r="AQ64" s="664">
        <f t="shared" si="9"/>
        <v>0</v>
      </c>
      <c r="AR64" s="502">
        <f t="shared" ref="AR64:AR69" si="90">I64+AG64</f>
        <v>8918568</v>
      </c>
      <c r="AS64" s="492">
        <f t="shared" ref="AS64:AS69" si="91">J64+V64</f>
        <v>6522585</v>
      </c>
      <c r="AT64" s="492">
        <f t="shared" ref="AT64:AT69" si="92">K64+Z64</f>
        <v>6500</v>
      </c>
      <c r="AU64" s="492">
        <f t="shared" ref="AU64:AV69" si="93">L64+AB64</f>
        <v>2206831</v>
      </c>
      <c r="AV64" s="492">
        <f t="shared" si="93"/>
        <v>130452</v>
      </c>
      <c r="AW64" s="492">
        <f t="shared" ref="AW64:AW69" si="94">N64+AF64</f>
        <v>52200</v>
      </c>
      <c r="AX64" s="493">
        <f t="shared" ref="AX64:AX69" si="95">O64+AQ64</f>
        <v>14.598799999999999</v>
      </c>
      <c r="AY64" s="493">
        <f t="shared" ref="AY64:AZ69" si="96">P64+AO64</f>
        <v>11.833299999999999</v>
      </c>
      <c r="AZ64" s="495">
        <f t="shared" si="96"/>
        <v>2.7654999999999998</v>
      </c>
    </row>
    <row r="65" spans="1:52" s="106" customFormat="1" ht="14.1" customHeight="1" x14ac:dyDescent="0.2">
      <c r="A65" s="129">
        <v>9</v>
      </c>
      <c r="B65" s="84">
        <v>2456</v>
      </c>
      <c r="C65" s="103">
        <v>600079732</v>
      </c>
      <c r="D65" s="84">
        <v>70695911</v>
      </c>
      <c r="E65" s="84" t="s">
        <v>760</v>
      </c>
      <c r="F65" s="104">
        <v>3113</v>
      </c>
      <c r="G65" s="84" t="s">
        <v>315</v>
      </c>
      <c r="H65" s="105" t="s">
        <v>278</v>
      </c>
      <c r="I65" s="494">
        <v>23762666</v>
      </c>
      <c r="J65" s="655">
        <v>17050712</v>
      </c>
      <c r="K65" s="655">
        <v>65000</v>
      </c>
      <c r="L65" s="489">
        <v>5785110</v>
      </c>
      <c r="M65" s="489">
        <v>341014</v>
      </c>
      <c r="N65" s="655">
        <v>520830</v>
      </c>
      <c r="O65" s="490">
        <v>31.155799999999999</v>
      </c>
      <c r="P65" s="491">
        <v>22.55</v>
      </c>
      <c r="Q65" s="657">
        <v>8.6058000000000003</v>
      </c>
      <c r="R65" s="501">
        <f t="shared" si="2"/>
        <v>0</v>
      </c>
      <c r="S65" s="492">
        <v>0</v>
      </c>
      <c r="T65" s="492">
        <v>0</v>
      </c>
      <c r="U65" s="492">
        <v>0</v>
      </c>
      <c r="V65" s="492">
        <f t="shared" si="87"/>
        <v>0</v>
      </c>
      <c r="W65" s="492">
        <v>0</v>
      </c>
      <c r="X65" s="492">
        <v>0</v>
      </c>
      <c r="Y65" s="492">
        <v>0</v>
      </c>
      <c r="Z65" s="492">
        <f t="shared" si="3"/>
        <v>0</v>
      </c>
      <c r="AA65" s="492">
        <f t="shared" si="4"/>
        <v>0</v>
      </c>
      <c r="AB65" s="74">
        <f t="shared" si="5"/>
        <v>0</v>
      </c>
      <c r="AC65" s="74">
        <f t="shared" si="6"/>
        <v>0</v>
      </c>
      <c r="AD65" s="492">
        <v>0</v>
      </c>
      <c r="AE65" s="492">
        <v>0</v>
      </c>
      <c r="AF65" s="492">
        <f t="shared" si="88"/>
        <v>0</v>
      </c>
      <c r="AG65" s="492">
        <f t="shared" si="89"/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si="7"/>
        <v>0</v>
      </c>
      <c r="AP65" s="493">
        <f t="shared" si="8"/>
        <v>0</v>
      </c>
      <c r="AQ65" s="664">
        <f t="shared" si="9"/>
        <v>0</v>
      </c>
      <c r="AR65" s="502">
        <f t="shared" si="90"/>
        <v>23762666</v>
      </c>
      <c r="AS65" s="492">
        <f t="shared" si="91"/>
        <v>17050712</v>
      </c>
      <c r="AT65" s="492">
        <f t="shared" si="92"/>
        <v>65000</v>
      </c>
      <c r="AU65" s="492">
        <f t="shared" si="93"/>
        <v>5785110</v>
      </c>
      <c r="AV65" s="492">
        <f t="shared" si="93"/>
        <v>341014</v>
      </c>
      <c r="AW65" s="492">
        <f t="shared" si="94"/>
        <v>520830</v>
      </c>
      <c r="AX65" s="493">
        <f t="shared" si="95"/>
        <v>31.155799999999999</v>
      </c>
      <c r="AY65" s="493">
        <f t="shared" si="96"/>
        <v>22.55</v>
      </c>
      <c r="AZ65" s="495">
        <f t="shared" si="96"/>
        <v>8.6058000000000003</v>
      </c>
    </row>
    <row r="66" spans="1:52" s="106" customFormat="1" ht="14.1" customHeight="1" x14ac:dyDescent="0.2">
      <c r="A66" s="129">
        <v>9</v>
      </c>
      <c r="B66" s="112">
        <v>2456</v>
      </c>
      <c r="C66" s="103">
        <v>600079732</v>
      </c>
      <c r="D66" s="84">
        <v>70695911</v>
      </c>
      <c r="E66" s="112" t="s">
        <v>760</v>
      </c>
      <c r="F66" s="104">
        <v>3113</v>
      </c>
      <c r="G66" s="84" t="s">
        <v>313</v>
      </c>
      <c r="H66" s="105" t="s">
        <v>279</v>
      </c>
      <c r="I66" s="494">
        <v>3321997</v>
      </c>
      <c r="J66" s="489">
        <v>2442192</v>
      </c>
      <c r="K66" s="489">
        <v>0</v>
      </c>
      <c r="L66" s="489">
        <v>825461</v>
      </c>
      <c r="M66" s="489">
        <v>48844</v>
      </c>
      <c r="N66" s="489">
        <v>5500</v>
      </c>
      <c r="O66" s="490">
        <v>7.64</v>
      </c>
      <c r="P66" s="491">
        <v>7.64</v>
      </c>
      <c r="Q66" s="658">
        <v>0</v>
      </c>
      <c r="R66" s="501">
        <f t="shared" si="2"/>
        <v>0</v>
      </c>
      <c r="S66" s="492">
        <v>0</v>
      </c>
      <c r="T66" s="492">
        <v>0</v>
      </c>
      <c r="U66" s="492">
        <v>0</v>
      </c>
      <c r="V66" s="492">
        <f t="shared" si="87"/>
        <v>0</v>
      </c>
      <c r="W66" s="492">
        <v>0</v>
      </c>
      <c r="X66" s="492">
        <v>0</v>
      </c>
      <c r="Y66" s="492">
        <v>0</v>
      </c>
      <c r="Z66" s="492">
        <f t="shared" si="3"/>
        <v>0</v>
      </c>
      <c r="AA66" s="492">
        <f t="shared" si="4"/>
        <v>0</v>
      </c>
      <c r="AB66" s="74">
        <f t="shared" si="5"/>
        <v>0</v>
      </c>
      <c r="AC66" s="74">
        <f t="shared" si="6"/>
        <v>0</v>
      </c>
      <c r="AD66" s="492">
        <v>0</v>
      </c>
      <c r="AE66" s="492">
        <v>0</v>
      </c>
      <c r="AF66" s="492">
        <f t="shared" si="88"/>
        <v>0</v>
      </c>
      <c r="AG66" s="492">
        <f t="shared" si="89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7"/>
        <v>0</v>
      </c>
      <c r="AP66" s="493">
        <f t="shared" si="8"/>
        <v>0</v>
      </c>
      <c r="AQ66" s="664">
        <f t="shared" si="9"/>
        <v>0</v>
      </c>
      <c r="AR66" s="502">
        <f t="shared" si="90"/>
        <v>3321997</v>
      </c>
      <c r="AS66" s="492">
        <f t="shared" si="91"/>
        <v>2442192</v>
      </c>
      <c r="AT66" s="492">
        <f t="shared" si="92"/>
        <v>0</v>
      </c>
      <c r="AU66" s="492">
        <f t="shared" si="93"/>
        <v>825461</v>
      </c>
      <c r="AV66" s="492">
        <f t="shared" si="93"/>
        <v>48844</v>
      </c>
      <c r="AW66" s="492">
        <f t="shared" si="94"/>
        <v>5500</v>
      </c>
      <c r="AX66" s="493">
        <f t="shared" si="95"/>
        <v>7.64</v>
      </c>
      <c r="AY66" s="493">
        <f t="shared" si="96"/>
        <v>7.64</v>
      </c>
      <c r="AZ66" s="495">
        <f t="shared" si="96"/>
        <v>0</v>
      </c>
    </row>
    <row r="67" spans="1:52" s="106" customFormat="1" ht="14.1" customHeight="1" x14ac:dyDescent="0.2">
      <c r="A67" s="129">
        <v>9</v>
      </c>
      <c r="B67" s="84">
        <v>2456</v>
      </c>
      <c r="C67" s="103">
        <v>600079732</v>
      </c>
      <c r="D67" s="84">
        <v>70695911</v>
      </c>
      <c r="E67" s="84" t="s">
        <v>760</v>
      </c>
      <c r="F67" s="104">
        <v>3141</v>
      </c>
      <c r="G67" s="84" t="s">
        <v>316</v>
      </c>
      <c r="H67" s="105" t="s">
        <v>279</v>
      </c>
      <c r="I67" s="494">
        <v>3568615</v>
      </c>
      <c r="J67" s="655">
        <v>2603504</v>
      </c>
      <c r="K67" s="655">
        <v>6500</v>
      </c>
      <c r="L67" s="489">
        <v>882181</v>
      </c>
      <c r="M67" s="489">
        <v>52070</v>
      </c>
      <c r="N67" s="655">
        <v>24360</v>
      </c>
      <c r="O67" s="490">
        <v>8.2199999999999989</v>
      </c>
      <c r="P67" s="491">
        <v>0</v>
      </c>
      <c r="Q67" s="657">
        <v>8.2199999999999989</v>
      </c>
      <c r="R67" s="501">
        <f t="shared" si="2"/>
        <v>0</v>
      </c>
      <c r="S67" s="492">
        <v>0</v>
      </c>
      <c r="T67" s="492">
        <v>0</v>
      </c>
      <c r="U67" s="492">
        <v>0</v>
      </c>
      <c r="V67" s="492">
        <f t="shared" si="87"/>
        <v>0</v>
      </c>
      <c r="W67" s="492">
        <v>0</v>
      </c>
      <c r="X67" s="492">
        <v>0</v>
      </c>
      <c r="Y67" s="492">
        <v>0</v>
      </c>
      <c r="Z67" s="492">
        <f t="shared" si="3"/>
        <v>0</v>
      </c>
      <c r="AA67" s="492">
        <f t="shared" si="4"/>
        <v>0</v>
      </c>
      <c r="AB67" s="74">
        <f t="shared" si="5"/>
        <v>0</v>
      </c>
      <c r="AC67" s="74">
        <f t="shared" si="6"/>
        <v>0</v>
      </c>
      <c r="AD67" s="492">
        <v>0</v>
      </c>
      <c r="AE67" s="492">
        <v>0</v>
      </c>
      <c r="AF67" s="492">
        <f t="shared" si="88"/>
        <v>0</v>
      </c>
      <c r="AG67" s="492">
        <f t="shared" si="89"/>
        <v>0</v>
      </c>
      <c r="AH67" s="493">
        <v>0</v>
      </c>
      <c r="AI67" s="493">
        <v>0</v>
      </c>
      <c r="AJ67" s="493">
        <v>0</v>
      </c>
      <c r="AK67" s="493">
        <v>0</v>
      </c>
      <c r="AL67" s="493">
        <v>0</v>
      </c>
      <c r="AM67" s="493">
        <v>0</v>
      </c>
      <c r="AN67" s="493">
        <v>0</v>
      </c>
      <c r="AO67" s="493">
        <f t="shared" si="7"/>
        <v>0</v>
      </c>
      <c r="AP67" s="493">
        <f t="shared" si="8"/>
        <v>0</v>
      </c>
      <c r="AQ67" s="664">
        <f t="shared" si="9"/>
        <v>0</v>
      </c>
      <c r="AR67" s="502">
        <f t="shared" si="90"/>
        <v>3568615</v>
      </c>
      <c r="AS67" s="492">
        <f t="shared" si="91"/>
        <v>2603504</v>
      </c>
      <c r="AT67" s="492">
        <f t="shared" si="92"/>
        <v>6500</v>
      </c>
      <c r="AU67" s="492">
        <f t="shared" si="93"/>
        <v>882181</v>
      </c>
      <c r="AV67" s="492">
        <f t="shared" si="93"/>
        <v>52070</v>
      </c>
      <c r="AW67" s="492">
        <f t="shared" si="94"/>
        <v>24360</v>
      </c>
      <c r="AX67" s="493">
        <f t="shared" si="95"/>
        <v>8.2199999999999989</v>
      </c>
      <c r="AY67" s="493">
        <f t="shared" si="96"/>
        <v>0</v>
      </c>
      <c r="AZ67" s="495">
        <f t="shared" si="96"/>
        <v>8.2199999999999989</v>
      </c>
    </row>
    <row r="68" spans="1:52" s="106" customFormat="1" ht="14.1" customHeight="1" x14ac:dyDescent="0.2">
      <c r="A68" s="129">
        <v>9</v>
      </c>
      <c r="B68" s="84">
        <v>2456</v>
      </c>
      <c r="C68" s="103">
        <v>600079732</v>
      </c>
      <c r="D68" s="84">
        <v>70695911</v>
      </c>
      <c r="E68" s="84" t="s">
        <v>760</v>
      </c>
      <c r="F68" s="104">
        <v>3143</v>
      </c>
      <c r="G68" s="84" t="s">
        <v>629</v>
      </c>
      <c r="H68" s="105" t="s">
        <v>278</v>
      </c>
      <c r="I68" s="494">
        <v>1992047</v>
      </c>
      <c r="J68" s="656">
        <v>1454089</v>
      </c>
      <c r="K68" s="656">
        <v>13000</v>
      </c>
      <c r="L68" s="489">
        <v>495876</v>
      </c>
      <c r="M68" s="489">
        <v>29082</v>
      </c>
      <c r="N68" s="489">
        <v>0</v>
      </c>
      <c r="O68" s="490">
        <v>2.7273000000000001</v>
      </c>
      <c r="P68" s="14">
        <v>2.7273000000000001</v>
      </c>
      <c r="Q68" s="658">
        <v>0</v>
      </c>
      <c r="R68" s="501">
        <f t="shared" si="2"/>
        <v>0</v>
      </c>
      <c r="S68" s="492">
        <v>0</v>
      </c>
      <c r="T68" s="492">
        <v>0</v>
      </c>
      <c r="U68" s="492">
        <v>0</v>
      </c>
      <c r="V68" s="492">
        <f t="shared" si="87"/>
        <v>0</v>
      </c>
      <c r="W68" s="492">
        <v>0</v>
      </c>
      <c r="X68" s="492">
        <v>0</v>
      </c>
      <c r="Y68" s="492">
        <v>0</v>
      </c>
      <c r="Z68" s="492">
        <f t="shared" si="3"/>
        <v>0</v>
      </c>
      <c r="AA68" s="492">
        <f t="shared" si="4"/>
        <v>0</v>
      </c>
      <c r="AB68" s="74">
        <f t="shared" si="5"/>
        <v>0</v>
      </c>
      <c r="AC68" s="74">
        <f t="shared" si="6"/>
        <v>0</v>
      </c>
      <c r="AD68" s="492">
        <v>0</v>
      </c>
      <c r="AE68" s="492">
        <v>0</v>
      </c>
      <c r="AF68" s="492">
        <f t="shared" si="88"/>
        <v>0</v>
      </c>
      <c r="AG68" s="492">
        <f t="shared" si="89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si="7"/>
        <v>0</v>
      </c>
      <c r="AP68" s="493">
        <f t="shared" si="8"/>
        <v>0</v>
      </c>
      <c r="AQ68" s="664">
        <f t="shared" si="9"/>
        <v>0</v>
      </c>
      <c r="AR68" s="502">
        <f t="shared" si="90"/>
        <v>1992047</v>
      </c>
      <c r="AS68" s="492">
        <f t="shared" si="91"/>
        <v>1454089</v>
      </c>
      <c r="AT68" s="492">
        <f t="shared" si="92"/>
        <v>13000</v>
      </c>
      <c r="AU68" s="492">
        <f t="shared" si="93"/>
        <v>495876</v>
      </c>
      <c r="AV68" s="492">
        <f t="shared" si="93"/>
        <v>29082</v>
      </c>
      <c r="AW68" s="492">
        <f t="shared" si="94"/>
        <v>0</v>
      </c>
      <c r="AX68" s="493">
        <f t="shared" si="95"/>
        <v>2.7273000000000001</v>
      </c>
      <c r="AY68" s="493">
        <f t="shared" si="96"/>
        <v>2.7273000000000001</v>
      </c>
      <c r="AZ68" s="495">
        <f t="shared" si="96"/>
        <v>0</v>
      </c>
    </row>
    <row r="69" spans="1:52" s="106" customFormat="1" ht="14.1" customHeight="1" x14ac:dyDescent="0.2">
      <c r="A69" s="129">
        <v>9</v>
      </c>
      <c r="B69" s="84">
        <v>2456</v>
      </c>
      <c r="C69" s="103">
        <v>600079732</v>
      </c>
      <c r="D69" s="84">
        <v>70695911</v>
      </c>
      <c r="E69" s="84" t="s">
        <v>760</v>
      </c>
      <c r="F69" s="104">
        <v>3143</v>
      </c>
      <c r="G69" s="84" t="s">
        <v>630</v>
      </c>
      <c r="H69" s="105" t="s">
        <v>279</v>
      </c>
      <c r="I69" s="494">
        <v>76357</v>
      </c>
      <c r="J69" s="655">
        <v>53996</v>
      </c>
      <c r="K69" s="655">
        <v>0</v>
      </c>
      <c r="L69" s="489">
        <v>18251</v>
      </c>
      <c r="M69" s="489">
        <v>1080</v>
      </c>
      <c r="N69" s="655">
        <v>3030</v>
      </c>
      <c r="O69" s="490">
        <v>0.21</v>
      </c>
      <c r="P69" s="491">
        <v>0</v>
      </c>
      <c r="Q69" s="657">
        <v>0.21</v>
      </c>
      <c r="R69" s="501">
        <f t="shared" si="2"/>
        <v>0</v>
      </c>
      <c r="S69" s="492">
        <v>0</v>
      </c>
      <c r="T69" s="492">
        <v>0</v>
      </c>
      <c r="U69" s="492">
        <v>0</v>
      </c>
      <c r="V69" s="492">
        <f t="shared" si="87"/>
        <v>0</v>
      </c>
      <c r="W69" s="492">
        <v>0</v>
      </c>
      <c r="X69" s="492">
        <v>0</v>
      </c>
      <c r="Y69" s="492">
        <v>0</v>
      </c>
      <c r="Z69" s="492">
        <f t="shared" si="3"/>
        <v>0</v>
      </c>
      <c r="AA69" s="492">
        <f t="shared" si="4"/>
        <v>0</v>
      </c>
      <c r="AB69" s="74">
        <f t="shared" si="5"/>
        <v>0</v>
      </c>
      <c r="AC69" s="74">
        <f t="shared" si="6"/>
        <v>0</v>
      </c>
      <c r="AD69" s="492">
        <v>0</v>
      </c>
      <c r="AE69" s="492">
        <v>0</v>
      </c>
      <c r="AF69" s="492">
        <f t="shared" si="88"/>
        <v>0</v>
      </c>
      <c r="AG69" s="492">
        <f t="shared" si="89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7"/>
        <v>0</v>
      </c>
      <c r="AP69" s="493">
        <f t="shared" si="8"/>
        <v>0</v>
      </c>
      <c r="AQ69" s="664">
        <f t="shared" si="9"/>
        <v>0</v>
      </c>
      <c r="AR69" s="502">
        <f t="shared" si="90"/>
        <v>76357</v>
      </c>
      <c r="AS69" s="492">
        <f t="shared" si="91"/>
        <v>53996</v>
      </c>
      <c r="AT69" s="492">
        <f t="shared" si="92"/>
        <v>0</v>
      </c>
      <c r="AU69" s="492">
        <f t="shared" si="93"/>
        <v>18251</v>
      </c>
      <c r="AV69" s="492">
        <f t="shared" si="93"/>
        <v>1080</v>
      </c>
      <c r="AW69" s="492">
        <f t="shared" si="94"/>
        <v>3030</v>
      </c>
      <c r="AX69" s="493">
        <f t="shared" si="95"/>
        <v>0.21</v>
      </c>
      <c r="AY69" s="493">
        <f t="shared" si="96"/>
        <v>0</v>
      </c>
      <c r="AZ69" s="495">
        <f t="shared" si="96"/>
        <v>0.21</v>
      </c>
    </row>
    <row r="70" spans="1:52" s="106" customFormat="1" ht="14.1" customHeight="1" x14ac:dyDescent="0.2">
      <c r="A70" s="130">
        <v>9</v>
      </c>
      <c r="B70" s="107">
        <v>2456</v>
      </c>
      <c r="C70" s="108">
        <v>600079732</v>
      </c>
      <c r="D70" s="107">
        <v>70695911</v>
      </c>
      <c r="E70" s="107" t="s">
        <v>761</v>
      </c>
      <c r="F70" s="109"/>
      <c r="G70" s="110"/>
      <c r="H70" s="111"/>
      <c r="I70" s="525">
        <v>41640250</v>
      </c>
      <c r="J70" s="521">
        <v>30127078</v>
      </c>
      <c r="K70" s="521">
        <v>91000</v>
      </c>
      <c r="L70" s="521">
        <v>10213710</v>
      </c>
      <c r="M70" s="521">
        <v>602542</v>
      </c>
      <c r="N70" s="521">
        <v>605920</v>
      </c>
      <c r="O70" s="522">
        <v>64.551899999999989</v>
      </c>
      <c r="P70" s="522">
        <v>44.750599999999999</v>
      </c>
      <c r="Q70" s="113">
        <v>19.801299999999998</v>
      </c>
      <c r="R70" s="529">
        <f t="shared" ref="R70:AZ70" si="97">SUM(R64:R69)</f>
        <v>0</v>
      </c>
      <c r="S70" s="521">
        <f t="shared" si="97"/>
        <v>0</v>
      </c>
      <c r="T70" s="521">
        <f t="shared" si="97"/>
        <v>0</v>
      </c>
      <c r="U70" s="521">
        <f t="shared" si="97"/>
        <v>0</v>
      </c>
      <c r="V70" s="521">
        <f t="shared" si="97"/>
        <v>0</v>
      </c>
      <c r="W70" s="521">
        <f t="shared" si="97"/>
        <v>0</v>
      </c>
      <c r="X70" s="521">
        <f t="shared" si="97"/>
        <v>0</v>
      </c>
      <c r="Y70" s="521">
        <f t="shared" si="97"/>
        <v>0</v>
      </c>
      <c r="Z70" s="521">
        <f t="shared" si="97"/>
        <v>0</v>
      </c>
      <c r="AA70" s="521">
        <f t="shared" si="97"/>
        <v>0</v>
      </c>
      <c r="AB70" s="521">
        <f t="shared" si="97"/>
        <v>0</v>
      </c>
      <c r="AC70" s="521">
        <f t="shared" si="97"/>
        <v>0</v>
      </c>
      <c r="AD70" s="521">
        <f t="shared" si="97"/>
        <v>0</v>
      </c>
      <c r="AE70" s="521">
        <f t="shared" si="97"/>
        <v>0</v>
      </c>
      <c r="AF70" s="521">
        <f t="shared" si="97"/>
        <v>0</v>
      </c>
      <c r="AG70" s="521">
        <f t="shared" si="97"/>
        <v>0</v>
      </c>
      <c r="AH70" s="522">
        <f t="shared" si="97"/>
        <v>0</v>
      </c>
      <c r="AI70" s="522">
        <f t="shared" si="97"/>
        <v>0</v>
      </c>
      <c r="AJ70" s="522">
        <f t="shared" si="97"/>
        <v>0</v>
      </c>
      <c r="AK70" s="522">
        <f t="shared" ref="AK70:AL70" si="98">SUM(AK64:AK69)</f>
        <v>0</v>
      </c>
      <c r="AL70" s="522">
        <f t="shared" si="98"/>
        <v>0</v>
      </c>
      <c r="AM70" s="522">
        <f t="shared" si="97"/>
        <v>0</v>
      </c>
      <c r="AN70" s="522">
        <f t="shared" si="97"/>
        <v>0</v>
      </c>
      <c r="AO70" s="522">
        <f t="shared" si="97"/>
        <v>0</v>
      </c>
      <c r="AP70" s="522">
        <f t="shared" si="97"/>
        <v>0</v>
      </c>
      <c r="AQ70" s="527">
        <f t="shared" si="97"/>
        <v>0</v>
      </c>
      <c r="AR70" s="525">
        <f t="shared" si="97"/>
        <v>41640250</v>
      </c>
      <c r="AS70" s="521">
        <f t="shared" si="97"/>
        <v>30127078</v>
      </c>
      <c r="AT70" s="521">
        <f t="shared" si="97"/>
        <v>91000</v>
      </c>
      <c r="AU70" s="521">
        <f t="shared" si="97"/>
        <v>10213710</v>
      </c>
      <c r="AV70" s="521">
        <f t="shared" si="97"/>
        <v>602542</v>
      </c>
      <c r="AW70" s="521">
        <f t="shared" si="97"/>
        <v>605920</v>
      </c>
      <c r="AX70" s="522">
        <f t="shared" si="97"/>
        <v>64.551899999999989</v>
      </c>
      <c r="AY70" s="522">
        <f t="shared" si="97"/>
        <v>44.750599999999999</v>
      </c>
      <c r="AZ70" s="113">
        <f t="shared" si="97"/>
        <v>19.801299999999998</v>
      </c>
    </row>
    <row r="71" spans="1:52" s="106" customFormat="1" ht="14.1" customHeight="1" x14ac:dyDescent="0.2">
      <c r="A71" s="129">
        <v>10</v>
      </c>
      <c r="B71" s="112">
        <v>2462</v>
      </c>
      <c r="C71" s="103">
        <v>600079813</v>
      </c>
      <c r="D71" s="84">
        <v>72744600</v>
      </c>
      <c r="E71" s="84" t="s">
        <v>762</v>
      </c>
      <c r="F71" s="104">
        <v>3111</v>
      </c>
      <c r="G71" s="84" t="s">
        <v>312</v>
      </c>
      <c r="H71" s="105" t="s">
        <v>278</v>
      </c>
      <c r="I71" s="494">
        <v>1388583</v>
      </c>
      <c r="J71" s="655">
        <v>1014899</v>
      </c>
      <c r="K71" s="655">
        <v>0</v>
      </c>
      <c r="L71" s="489">
        <v>343036</v>
      </c>
      <c r="M71" s="489">
        <v>20298</v>
      </c>
      <c r="N71" s="655">
        <v>10350</v>
      </c>
      <c r="O71" s="490">
        <v>2.2044000000000001</v>
      </c>
      <c r="P71" s="491">
        <v>1.6935</v>
      </c>
      <c r="Q71" s="657">
        <v>0.51090000000000002</v>
      </c>
      <c r="R71" s="501">
        <f t="shared" si="2"/>
        <v>0</v>
      </c>
      <c r="S71" s="492">
        <v>0</v>
      </c>
      <c r="T71" s="492">
        <v>0</v>
      </c>
      <c r="U71" s="492">
        <v>0</v>
      </c>
      <c r="V71" s="492">
        <f t="shared" ref="V71:V76" si="99">SUM(R71:U71)</f>
        <v>0</v>
      </c>
      <c r="W71" s="492">
        <v>0</v>
      </c>
      <c r="X71" s="492">
        <v>0</v>
      </c>
      <c r="Y71" s="492">
        <v>0</v>
      </c>
      <c r="Z71" s="492">
        <f t="shared" si="3"/>
        <v>0</v>
      </c>
      <c r="AA71" s="492">
        <f t="shared" si="4"/>
        <v>0</v>
      </c>
      <c r="AB71" s="74">
        <f t="shared" si="5"/>
        <v>0</v>
      </c>
      <c r="AC71" s="74">
        <f t="shared" si="6"/>
        <v>0</v>
      </c>
      <c r="AD71" s="492">
        <v>0</v>
      </c>
      <c r="AE71" s="492">
        <v>0</v>
      </c>
      <c r="AF71" s="492">
        <f t="shared" ref="AF71:AF76" si="100">SUM(AD71:AE71)</f>
        <v>0</v>
      </c>
      <c r="AG71" s="492">
        <f t="shared" ref="AG71:AG76" si="101">AA71+AB71+AC71+AF71</f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7"/>
        <v>0</v>
      </c>
      <c r="AP71" s="493">
        <f t="shared" si="8"/>
        <v>0</v>
      </c>
      <c r="AQ71" s="664">
        <f t="shared" si="9"/>
        <v>0</v>
      </c>
      <c r="AR71" s="502">
        <f t="shared" ref="AR71:AR76" si="102">I71+AG71</f>
        <v>1388583</v>
      </c>
      <c r="AS71" s="492">
        <f t="shared" ref="AS71:AS76" si="103">J71+V71</f>
        <v>1014899</v>
      </c>
      <c r="AT71" s="492">
        <f t="shared" ref="AT71:AT76" si="104">K71+Z71</f>
        <v>0</v>
      </c>
      <c r="AU71" s="492">
        <f t="shared" ref="AU71:AV76" si="105">L71+AB71</f>
        <v>343036</v>
      </c>
      <c r="AV71" s="492">
        <f t="shared" si="105"/>
        <v>20298</v>
      </c>
      <c r="AW71" s="492">
        <f t="shared" ref="AW71:AW76" si="106">N71+AF71</f>
        <v>10350</v>
      </c>
      <c r="AX71" s="493">
        <f t="shared" ref="AX71:AX76" si="107">O71+AQ71</f>
        <v>2.2044000000000001</v>
      </c>
      <c r="AY71" s="493">
        <f t="shared" ref="AY71:AZ76" si="108">P71+AO71</f>
        <v>1.6935</v>
      </c>
      <c r="AZ71" s="495">
        <f t="shared" si="108"/>
        <v>0.51090000000000002</v>
      </c>
    </row>
    <row r="72" spans="1:52" s="106" customFormat="1" ht="14.1" customHeight="1" x14ac:dyDescent="0.2">
      <c r="A72" s="129">
        <v>10</v>
      </c>
      <c r="B72" s="114">
        <v>2462</v>
      </c>
      <c r="C72" s="103">
        <v>600079813</v>
      </c>
      <c r="D72" s="84">
        <v>72744600</v>
      </c>
      <c r="E72" s="114" t="s">
        <v>762</v>
      </c>
      <c r="F72" s="115">
        <v>3117</v>
      </c>
      <c r="G72" s="114" t="s">
        <v>330</v>
      </c>
      <c r="H72" s="105" t="s">
        <v>278</v>
      </c>
      <c r="I72" s="494">
        <v>3368498</v>
      </c>
      <c r="J72" s="655">
        <v>2359202</v>
      </c>
      <c r="K72" s="655">
        <v>61750</v>
      </c>
      <c r="L72" s="489">
        <v>818282</v>
      </c>
      <c r="M72" s="489">
        <v>47184</v>
      </c>
      <c r="N72" s="655">
        <v>82080</v>
      </c>
      <c r="O72" s="490">
        <v>4.0324000000000009</v>
      </c>
      <c r="P72" s="491">
        <v>2.4990000000000001</v>
      </c>
      <c r="Q72" s="657">
        <v>1.5334000000000001</v>
      </c>
      <c r="R72" s="501">
        <f t="shared" si="2"/>
        <v>0</v>
      </c>
      <c r="S72" s="492">
        <v>0</v>
      </c>
      <c r="T72" s="492">
        <v>0</v>
      </c>
      <c r="U72" s="492">
        <v>0</v>
      </c>
      <c r="V72" s="492">
        <f t="shared" si="99"/>
        <v>0</v>
      </c>
      <c r="W72" s="492">
        <v>0</v>
      </c>
      <c r="X72" s="492">
        <v>0</v>
      </c>
      <c r="Y72" s="492">
        <v>0</v>
      </c>
      <c r="Z72" s="492">
        <f t="shared" si="3"/>
        <v>0</v>
      </c>
      <c r="AA72" s="492">
        <f t="shared" si="4"/>
        <v>0</v>
      </c>
      <c r="AB72" s="74">
        <f t="shared" si="5"/>
        <v>0</v>
      </c>
      <c r="AC72" s="74">
        <f t="shared" si="6"/>
        <v>0</v>
      </c>
      <c r="AD72" s="492">
        <v>0</v>
      </c>
      <c r="AE72" s="492">
        <v>0</v>
      </c>
      <c r="AF72" s="492">
        <f t="shared" si="100"/>
        <v>0</v>
      </c>
      <c r="AG72" s="492">
        <f t="shared" si="101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7"/>
        <v>0</v>
      </c>
      <c r="AP72" s="493">
        <f t="shared" si="8"/>
        <v>0</v>
      </c>
      <c r="AQ72" s="664">
        <f t="shared" si="9"/>
        <v>0</v>
      </c>
      <c r="AR72" s="502">
        <f t="shared" si="102"/>
        <v>3368498</v>
      </c>
      <c r="AS72" s="492">
        <f t="shared" si="103"/>
        <v>2359202</v>
      </c>
      <c r="AT72" s="492">
        <f t="shared" si="104"/>
        <v>61750</v>
      </c>
      <c r="AU72" s="492">
        <f t="shared" si="105"/>
        <v>818282</v>
      </c>
      <c r="AV72" s="492">
        <f t="shared" si="105"/>
        <v>47184</v>
      </c>
      <c r="AW72" s="492">
        <f t="shared" si="106"/>
        <v>82080</v>
      </c>
      <c r="AX72" s="493">
        <f t="shared" si="107"/>
        <v>4.0324000000000009</v>
      </c>
      <c r="AY72" s="493">
        <f t="shared" si="108"/>
        <v>2.4990000000000001</v>
      </c>
      <c r="AZ72" s="495">
        <f t="shared" si="108"/>
        <v>1.5334000000000001</v>
      </c>
    </row>
    <row r="73" spans="1:52" s="106" customFormat="1" ht="14.1" customHeight="1" x14ac:dyDescent="0.2">
      <c r="A73" s="129">
        <v>10</v>
      </c>
      <c r="B73" s="112">
        <v>2462</v>
      </c>
      <c r="C73" s="103">
        <v>600079813</v>
      </c>
      <c r="D73" s="84">
        <v>72744600</v>
      </c>
      <c r="E73" s="112" t="s">
        <v>762</v>
      </c>
      <c r="F73" s="104">
        <v>3117</v>
      </c>
      <c r="G73" s="84" t="s">
        <v>313</v>
      </c>
      <c r="H73" s="105" t="s">
        <v>279</v>
      </c>
      <c r="I73" s="494">
        <v>1665919</v>
      </c>
      <c r="J73" s="489">
        <v>1226376</v>
      </c>
      <c r="K73" s="489">
        <v>0</v>
      </c>
      <c r="L73" s="489">
        <v>414515</v>
      </c>
      <c r="M73" s="489">
        <v>24528</v>
      </c>
      <c r="N73" s="489">
        <v>500</v>
      </c>
      <c r="O73" s="490">
        <v>3.59</v>
      </c>
      <c r="P73" s="491">
        <v>3.59</v>
      </c>
      <c r="Q73" s="658">
        <v>0</v>
      </c>
      <c r="R73" s="501">
        <f t="shared" si="2"/>
        <v>0</v>
      </c>
      <c r="S73" s="492">
        <v>245736</v>
      </c>
      <c r="T73" s="492">
        <v>0</v>
      </c>
      <c r="U73" s="492">
        <v>0</v>
      </c>
      <c r="V73" s="492">
        <f t="shared" si="99"/>
        <v>245736</v>
      </c>
      <c r="W73" s="492">
        <v>0</v>
      </c>
      <c r="X73" s="492">
        <v>0</v>
      </c>
      <c r="Y73" s="492">
        <v>0</v>
      </c>
      <c r="Z73" s="492">
        <f t="shared" si="3"/>
        <v>0</v>
      </c>
      <c r="AA73" s="492">
        <f t="shared" si="4"/>
        <v>245736</v>
      </c>
      <c r="AB73" s="74">
        <f t="shared" si="5"/>
        <v>83059</v>
      </c>
      <c r="AC73" s="74">
        <f t="shared" si="6"/>
        <v>4915</v>
      </c>
      <c r="AD73" s="492">
        <v>1250</v>
      </c>
      <c r="AE73" s="492">
        <v>0</v>
      </c>
      <c r="AF73" s="492">
        <f t="shared" si="100"/>
        <v>1250</v>
      </c>
      <c r="AG73" s="492">
        <f t="shared" si="101"/>
        <v>334960</v>
      </c>
      <c r="AH73" s="493">
        <v>0</v>
      </c>
      <c r="AI73" s="493">
        <v>0</v>
      </c>
      <c r="AJ73" s="493">
        <v>0.71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7"/>
        <v>0.71</v>
      </c>
      <c r="AP73" s="493">
        <f t="shared" si="8"/>
        <v>0</v>
      </c>
      <c r="AQ73" s="664">
        <f t="shared" si="9"/>
        <v>0.71</v>
      </c>
      <c r="AR73" s="502">
        <f t="shared" si="102"/>
        <v>2000879</v>
      </c>
      <c r="AS73" s="492">
        <f t="shared" si="103"/>
        <v>1472112</v>
      </c>
      <c r="AT73" s="492">
        <f t="shared" si="104"/>
        <v>0</v>
      </c>
      <c r="AU73" s="492">
        <f t="shared" si="105"/>
        <v>497574</v>
      </c>
      <c r="AV73" s="492">
        <f t="shared" si="105"/>
        <v>29443</v>
      </c>
      <c r="AW73" s="492">
        <f t="shared" si="106"/>
        <v>1750</v>
      </c>
      <c r="AX73" s="493">
        <f t="shared" si="107"/>
        <v>4.3</v>
      </c>
      <c r="AY73" s="493">
        <f t="shared" si="108"/>
        <v>4.3</v>
      </c>
      <c r="AZ73" s="495">
        <f t="shared" si="108"/>
        <v>0</v>
      </c>
    </row>
    <row r="74" spans="1:52" s="106" customFormat="1" ht="14.1" customHeight="1" x14ac:dyDescent="0.2">
      <c r="A74" s="129">
        <v>10</v>
      </c>
      <c r="B74" s="84">
        <v>2462</v>
      </c>
      <c r="C74" s="103">
        <v>600079813</v>
      </c>
      <c r="D74" s="84">
        <v>72744600</v>
      </c>
      <c r="E74" s="84" t="s">
        <v>762</v>
      </c>
      <c r="F74" s="104">
        <v>3141</v>
      </c>
      <c r="G74" s="84" t="s">
        <v>316</v>
      </c>
      <c r="H74" s="105" t="s">
        <v>279</v>
      </c>
      <c r="I74" s="494">
        <v>669962</v>
      </c>
      <c r="J74" s="655">
        <v>481774</v>
      </c>
      <c r="K74" s="655">
        <v>9750</v>
      </c>
      <c r="L74" s="489">
        <v>166135</v>
      </c>
      <c r="M74" s="489">
        <v>9635</v>
      </c>
      <c r="N74" s="655">
        <v>2668</v>
      </c>
      <c r="O74" s="490">
        <v>1.51</v>
      </c>
      <c r="P74" s="491">
        <v>0</v>
      </c>
      <c r="Q74" s="657">
        <v>1.51</v>
      </c>
      <c r="R74" s="501">
        <f t="shared" si="2"/>
        <v>0</v>
      </c>
      <c r="S74" s="492">
        <v>0</v>
      </c>
      <c r="T74" s="492">
        <v>0</v>
      </c>
      <c r="U74" s="492">
        <v>0</v>
      </c>
      <c r="V74" s="492">
        <f t="shared" si="99"/>
        <v>0</v>
      </c>
      <c r="W74" s="492">
        <v>0</v>
      </c>
      <c r="X74" s="492">
        <v>0</v>
      </c>
      <c r="Y74" s="492">
        <v>0</v>
      </c>
      <c r="Z74" s="492">
        <f t="shared" si="3"/>
        <v>0</v>
      </c>
      <c r="AA74" s="492">
        <f t="shared" si="4"/>
        <v>0</v>
      </c>
      <c r="AB74" s="74">
        <f t="shared" si="5"/>
        <v>0</v>
      </c>
      <c r="AC74" s="74">
        <f t="shared" si="6"/>
        <v>0</v>
      </c>
      <c r="AD74" s="492">
        <v>0</v>
      </c>
      <c r="AE74" s="492">
        <v>0</v>
      </c>
      <c r="AF74" s="492">
        <f t="shared" si="100"/>
        <v>0</v>
      </c>
      <c r="AG74" s="492">
        <f t="shared" si="101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7"/>
        <v>0</v>
      </c>
      <c r="AP74" s="493">
        <f t="shared" si="8"/>
        <v>0</v>
      </c>
      <c r="AQ74" s="664">
        <f t="shared" si="9"/>
        <v>0</v>
      </c>
      <c r="AR74" s="502">
        <f t="shared" si="102"/>
        <v>669962</v>
      </c>
      <c r="AS74" s="492">
        <f t="shared" si="103"/>
        <v>481774</v>
      </c>
      <c r="AT74" s="492">
        <f t="shared" si="104"/>
        <v>9750</v>
      </c>
      <c r="AU74" s="492">
        <f t="shared" si="105"/>
        <v>166135</v>
      </c>
      <c r="AV74" s="492">
        <f t="shared" si="105"/>
        <v>9635</v>
      </c>
      <c r="AW74" s="492">
        <f t="shared" si="106"/>
        <v>2668</v>
      </c>
      <c r="AX74" s="493">
        <f t="shared" si="107"/>
        <v>1.51</v>
      </c>
      <c r="AY74" s="493">
        <f t="shared" si="108"/>
        <v>0</v>
      </c>
      <c r="AZ74" s="495">
        <f t="shared" si="108"/>
        <v>1.51</v>
      </c>
    </row>
    <row r="75" spans="1:52" s="106" customFormat="1" ht="14.1" customHeight="1" x14ac:dyDescent="0.2">
      <c r="A75" s="129">
        <v>10</v>
      </c>
      <c r="B75" s="84">
        <v>2462</v>
      </c>
      <c r="C75" s="103">
        <v>600079813</v>
      </c>
      <c r="D75" s="84">
        <v>72744600</v>
      </c>
      <c r="E75" s="84" t="s">
        <v>762</v>
      </c>
      <c r="F75" s="104">
        <v>3143</v>
      </c>
      <c r="G75" s="84" t="s">
        <v>629</v>
      </c>
      <c r="H75" s="105" t="s">
        <v>278</v>
      </c>
      <c r="I75" s="494">
        <v>569037</v>
      </c>
      <c r="J75" s="656">
        <v>415183</v>
      </c>
      <c r="K75" s="656">
        <v>3900</v>
      </c>
      <c r="L75" s="489">
        <v>141650</v>
      </c>
      <c r="M75" s="489">
        <v>8304</v>
      </c>
      <c r="N75" s="489">
        <v>0</v>
      </c>
      <c r="O75" s="490">
        <v>0.92200000000000004</v>
      </c>
      <c r="P75" s="14">
        <v>0.92200000000000004</v>
      </c>
      <c r="Q75" s="658">
        <v>0</v>
      </c>
      <c r="R75" s="501">
        <f t="shared" si="2"/>
        <v>0</v>
      </c>
      <c r="S75" s="492">
        <v>0</v>
      </c>
      <c r="T75" s="492">
        <v>0</v>
      </c>
      <c r="U75" s="492">
        <v>0</v>
      </c>
      <c r="V75" s="492">
        <f t="shared" si="99"/>
        <v>0</v>
      </c>
      <c r="W75" s="492">
        <v>0</v>
      </c>
      <c r="X75" s="492">
        <v>0</v>
      </c>
      <c r="Y75" s="492">
        <v>0</v>
      </c>
      <c r="Z75" s="492">
        <f t="shared" si="3"/>
        <v>0</v>
      </c>
      <c r="AA75" s="492">
        <f t="shared" si="4"/>
        <v>0</v>
      </c>
      <c r="AB75" s="74">
        <f t="shared" si="5"/>
        <v>0</v>
      </c>
      <c r="AC75" s="74">
        <f t="shared" si="6"/>
        <v>0</v>
      </c>
      <c r="AD75" s="492">
        <v>0</v>
      </c>
      <c r="AE75" s="492">
        <v>0</v>
      </c>
      <c r="AF75" s="492">
        <f t="shared" si="100"/>
        <v>0</v>
      </c>
      <c r="AG75" s="492">
        <f t="shared" si="101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si="7"/>
        <v>0</v>
      </c>
      <c r="AP75" s="493">
        <f t="shared" si="8"/>
        <v>0</v>
      </c>
      <c r="AQ75" s="664">
        <f t="shared" si="9"/>
        <v>0</v>
      </c>
      <c r="AR75" s="502">
        <f t="shared" si="102"/>
        <v>569037</v>
      </c>
      <c r="AS75" s="492">
        <f t="shared" si="103"/>
        <v>415183</v>
      </c>
      <c r="AT75" s="492">
        <f t="shared" si="104"/>
        <v>3900</v>
      </c>
      <c r="AU75" s="492">
        <f t="shared" si="105"/>
        <v>141650</v>
      </c>
      <c r="AV75" s="492">
        <f t="shared" si="105"/>
        <v>8304</v>
      </c>
      <c r="AW75" s="492">
        <f t="shared" si="106"/>
        <v>0</v>
      </c>
      <c r="AX75" s="493">
        <f t="shared" si="107"/>
        <v>0.92200000000000004</v>
      </c>
      <c r="AY75" s="493">
        <f t="shared" si="108"/>
        <v>0.92200000000000004</v>
      </c>
      <c r="AZ75" s="495">
        <f t="shared" si="108"/>
        <v>0</v>
      </c>
    </row>
    <row r="76" spans="1:52" s="106" customFormat="1" ht="14.1" customHeight="1" x14ac:dyDescent="0.2">
      <c r="A76" s="129">
        <v>10</v>
      </c>
      <c r="B76" s="84">
        <v>2462</v>
      </c>
      <c r="C76" s="103">
        <v>600079813</v>
      </c>
      <c r="D76" s="84">
        <v>72744600</v>
      </c>
      <c r="E76" s="84" t="s">
        <v>762</v>
      </c>
      <c r="F76" s="104">
        <v>3143</v>
      </c>
      <c r="G76" s="84" t="s">
        <v>630</v>
      </c>
      <c r="H76" s="105" t="s">
        <v>279</v>
      </c>
      <c r="I76" s="494">
        <v>16631</v>
      </c>
      <c r="J76" s="655">
        <v>11761</v>
      </c>
      <c r="K76" s="655">
        <v>0</v>
      </c>
      <c r="L76" s="489">
        <v>3975</v>
      </c>
      <c r="M76" s="489">
        <v>235</v>
      </c>
      <c r="N76" s="655">
        <v>660</v>
      </c>
      <c r="O76" s="490">
        <v>0.05</v>
      </c>
      <c r="P76" s="491">
        <v>0</v>
      </c>
      <c r="Q76" s="657">
        <v>0.05</v>
      </c>
      <c r="R76" s="501">
        <f t="shared" si="2"/>
        <v>0</v>
      </c>
      <c r="S76" s="492">
        <v>0</v>
      </c>
      <c r="T76" s="492">
        <v>0</v>
      </c>
      <c r="U76" s="492">
        <v>0</v>
      </c>
      <c r="V76" s="492">
        <f t="shared" si="99"/>
        <v>0</v>
      </c>
      <c r="W76" s="492">
        <v>0</v>
      </c>
      <c r="X76" s="492">
        <v>0</v>
      </c>
      <c r="Y76" s="492">
        <v>0</v>
      </c>
      <c r="Z76" s="492">
        <f t="shared" si="3"/>
        <v>0</v>
      </c>
      <c r="AA76" s="492">
        <f t="shared" si="4"/>
        <v>0</v>
      </c>
      <c r="AB76" s="74">
        <f t="shared" si="5"/>
        <v>0</v>
      </c>
      <c r="AC76" s="74">
        <f t="shared" si="6"/>
        <v>0</v>
      </c>
      <c r="AD76" s="492">
        <v>0</v>
      </c>
      <c r="AE76" s="492">
        <v>0</v>
      </c>
      <c r="AF76" s="492">
        <f t="shared" si="100"/>
        <v>0</v>
      </c>
      <c r="AG76" s="492">
        <f t="shared" si="101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7"/>
        <v>0</v>
      </c>
      <c r="AP76" s="493">
        <f t="shared" si="8"/>
        <v>0</v>
      </c>
      <c r="AQ76" s="664">
        <f t="shared" si="9"/>
        <v>0</v>
      </c>
      <c r="AR76" s="502">
        <f t="shared" si="102"/>
        <v>16631</v>
      </c>
      <c r="AS76" s="492">
        <f t="shared" si="103"/>
        <v>11761</v>
      </c>
      <c r="AT76" s="492">
        <f t="shared" si="104"/>
        <v>0</v>
      </c>
      <c r="AU76" s="492">
        <f t="shared" si="105"/>
        <v>3975</v>
      </c>
      <c r="AV76" s="492">
        <f t="shared" si="105"/>
        <v>235</v>
      </c>
      <c r="AW76" s="492">
        <f t="shared" si="106"/>
        <v>660</v>
      </c>
      <c r="AX76" s="493">
        <f t="shared" si="107"/>
        <v>0.05</v>
      </c>
      <c r="AY76" s="493">
        <f t="shared" si="108"/>
        <v>0</v>
      </c>
      <c r="AZ76" s="495">
        <f t="shared" si="108"/>
        <v>0.05</v>
      </c>
    </row>
    <row r="77" spans="1:52" s="106" customFormat="1" ht="14.1" customHeight="1" x14ac:dyDescent="0.2">
      <c r="A77" s="130">
        <v>10</v>
      </c>
      <c r="B77" s="107">
        <v>2462</v>
      </c>
      <c r="C77" s="108">
        <v>600079813</v>
      </c>
      <c r="D77" s="107">
        <v>72744600</v>
      </c>
      <c r="E77" s="107" t="s">
        <v>763</v>
      </c>
      <c r="F77" s="116"/>
      <c r="G77" s="110"/>
      <c r="H77" s="111"/>
      <c r="I77" s="525">
        <v>7678630</v>
      </c>
      <c r="J77" s="521">
        <v>5509195</v>
      </c>
      <c r="K77" s="521">
        <v>75400</v>
      </c>
      <c r="L77" s="521">
        <v>1887593</v>
      </c>
      <c r="M77" s="521">
        <v>110184</v>
      </c>
      <c r="N77" s="521">
        <v>96258</v>
      </c>
      <c r="O77" s="522">
        <v>12.308800000000002</v>
      </c>
      <c r="P77" s="522">
        <v>8.7044999999999995</v>
      </c>
      <c r="Q77" s="113">
        <v>3.6043000000000003</v>
      </c>
      <c r="R77" s="529">
        <f t="shared" ref="R77:AZ77" si="109">SUM(R71:R76)</f>
        <v>0</v>
      </c>
      <c r="S77" s="521">
        <f t="shared" si="109"/>
        <v>245736</v>
      </c>
      <c r="T77" s="521">
        <f t="shared" si="109"/>
        <v>0</v>
      </c>
      <c r="U77" s="521">
        <f t="shared" si="109"/>
        <v>0</v>
      </c>
      <c r="V77" s="521">
        <f t="shared" si="109"/>
        <v>245736</v>
      </c>
      <c r="W77" s="521">
        <f t="shared" si="109"/>
        <v>0</v>
      </c>
      <c r="X77" s="521">
        <f t="shared" si="109"/>
        <v>0</v>
      </c>
      <c r="Y77" s="521">
        <f t="shared" si="109"/>
        <v>0</v>
      </c>
      <c r="Z77" s="521">
        <f t="shared" si="109"/>
        <v>0</v>
      </c>
      <c r="AA77" s="521">
        <f t="shared" si="109"/>
        <v>245736</v>
      </c>
      <c r="AB77" s="521">
        <f t="shared" si="109"/>
        <v>83059</v>
      </c>
      <c r="AC77" s="521">
        <f t="shared" si="109"/>
        <v>4915</v>
      </c>
      <c r="AD77" s="521">
        <f t="shared" si="109"/>
        <v>1250</v>
      </c>
      <c r="AE77" s="521">
        <f t="shared" si="109"/>
        <v>0</v>
      </c>
      <c r="AF77" s="521">
        <f t="shared" si="109"/>
        <v>1250</v>
      </c>
      <c r="AG77" s="521">
        <f t="shared" si="109"/>
        <v>334960</v>
      </c>
      <c r="AH77" s="522">
        <f t="shared" si="109"/>
        <v>0</v>
      </c>
      <c r="AI77" s="522">
        <f t="shared" si="109"/>
        <v>0</v>
      </c>
      <c r="AJ77" s="522">
        <f t="shared" si="109"/>
        <v>0.71</v>
      </c>
      <c r="AK77" s="522">
        <f t="shared" ref="AK77:AL77" si="110">SUM(AK71:AK76)</f>
        <v>0</v>
      </c>
      <c r="AL77" s="522">
        <f t="shared" si="110"/>
        <v>0</v>
      </c>
      <c r="AM77" s="522">
        <f t="shared" si="109"/>
        <v>0</v>
      </c>
      <c r="AN77" s="522">
        <f t="shared" si="109"/>
        <v>0</v>
      </c>
      <c r="AO77" s="522">
        <f t="shared" si="109"/>
        <v>0.71</v>
      </c>
      <c r="AP77" s="522">
        <f t="shared" si="109"/>
        <v>0</v>
      </c>
      <c r="AQ77" s="527">
        <f t="shared" si="109"/>
        <v>0.71</v>
      </c>
      <c r="AR77" s="525">
        <f t="shared" si="109"/>
        <v>8013590</v>
      </c>
      <c r="AS77" s="521">
        <f t="shared" si="109"/>
        <v>5754931</v>
      </c>
      <c r="AT77" s="521">
        <f t="shared" si="109"/>
        <v>75400</v>
      </c>
      <c r="AU77" s="521">
        <f t="shared" si="109"/>
        <v>1970652</v>
      </c>
      <c r="AV77" s="521">
        <f t="shared" si="109"/>
        <v>115099</v>
      </c>
      <c r="AW77" s="521">
        <f t="shared" si="109"/>
        <v>97508</v>
      </c>
      <c r="AX77" s="522">
        <f t="shared" si="109"/>
        <v>13.018800000000001</v>
      </c>
      <c r="AY77" s="522">
        <f t="shared" si="109"/>
        <v>9.4145000000000003</v>
      </c>
      <c r="AZ77" s="113">
        <f t="shared" si="109"/>
        <v>3.6043000000000003</v>
      </c>
    </row>
    <row r="78" spans="1:52" s="106" customFormat="1" ht="14.1" customHeight="1" x14ac:dyDescent="0.2">
      <c r="A78" s="129">
        <v>11</v>
      </c>
      <c r="B78" s="112">
        <v>2464</v>
      </c>
      <c r="C78" s="103">
        <v>600080081</v>
      </c>
      <c r="D78" s="84">
        <v>72753846</v>
      </c>
      <c r="E78" s="84" t="s">
        <v>764</v>
      </c>
      <c r="F78" s="104">
        <v>3111</v>
      </c>
      <c r="G78" s="84" t="s">
        <v>312</v>
      </c>
      <c r="H78" s="105" t="s">
        <v>278</v>
      </c>
      <c r="I78" s="494">
        <v>1659230</v>
      </c>
      <c r="J78" s="655">
        <v>1215854</v>
      </c>
      <c r="K78" s="655">
        <v>0</v>
      </c>
      <c r="L78" s="489">
        <v>410959</v>
      </c>
      <c r="M78" s="489">
        <v>24317</v>
      </c>
      <c r="N78" s="655">
        <v>8100</v>
      </c>
      <c r="O78" s="490">
        <v>2.7166999999999999</v>
      </c>
      <c r="P78" s="491">
        <v>2.2557999999999998</v>
      </c>
      <c r="Q78" s="657">
        <v>0.46089999999999998</v>
      </c>
      <c r="R78" s="501">
        <f t="shared" ref="R78:R129" si="111">W78*-1</f>
        <v>0</v>
      </c>
      <c r="S78" s="492">
        <v>0</v>
      </c>
      <c r="T78" s="492">
        <v>0</v>
      </c>
      <c r="U78" s="492">
        <v>0</v>
      </c>
      <c r="V78" s="492">
        <f t="shared" ref="V78:V83" si="112">SUM(R78:U78)</f>
        <v>0</v>
      </c>
      <c r="W78" s="492">
        <v>0</v>
      </c>
      <c r="X78" s="492">
        <v>0</v>
      </c>
      <c r="Y78" s="492">
        <v>0</v>
      </c>
      <c r="Z78" s="492">
        <f t="shared" ref="Z78:Z129" si="113">SUM(W78:Y78)</f>
        <v>0</v>
      </c>
      <c r="AA78" s="492">
        <f t="shared" ref="AA78:AA129" si="114">V78+Z78</f>
        <v>0</v>
      </c>
      <c r="AB78" s="74">
        <f t="shared" ref="AB78:AB129" si="115">ROUND((V78+W78+X78)*33.8%,0)</f>
        <v>0</v>
      </c>
      <c r="AC78" s="74">
        <f t="shared" ref="AC78:AC129" si="116">ROUND(V78*2%,0)</f>
        <v>0</v>
      </c>
      <c r="AD78" s="492">
        <v>0</v>
      </c>
      <c r="AE78" s="492">
        <v>0</v>
      </c>
      <c r="AF78" s="492">
        <f t="shared" ref="AF78:AF83" si="117">SUM(AD78:AE78)</f>
        <v>0</v>
      </c>
      <c r="AG78" s="492">
        <f t="shared" ref="AG78:AG83" si="118"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ref="AO78:AO129" si="119">AH78+AJ78+AK78+AM78</f>
        <v>0</v>
      </c>
      <c r="AP78" s="493">
        <f t="shared" ref="AP78:AP129" si="120">AI78+AL78+AN78</f>
        <v>0</v>
      </c>
      <c r="AQ78" s="664">
        <f t="shared" ref="AQ78:AQ129" si="121">SUM(AO78:AP78)</f>
        <v>0</v>
      </c>
      <c r="AR78" s="502">
        <f t="shared" ref="AR78:AR83" si="122">I78+AG78</f>
        <v>1659230</v>
      </c>
      <c r="AS78" s="492">
        <f t="shared" ref="AS78:AS83" si="123">J78+V78</f>
        <v>1215854</v>
      </c>
      <c r="AT78" s="492">
        <f t="shared" ref="AT78:AT83" si="124">K78+Z78</f>
        <v>0</v>
      </c>
      <c r="AU78" s="492">
        <f t="shared" ref="AU78:AV83" si="125">L78+AB78</f>
        <v>410959</v>
      </c>
      <c r="AV78" s="492">
        <f t="shared" si="125"/>
        <v>24317</v>
      </c>
      <c r="AW78" s="492">
        <f t="shared" ref="AW78:AW83" si="126">N78+AF78</f>
        <v>8100</v>
      </c>
      <c r="AX78" s="493">
        <f t="shared" ref="AX78:AX83" si="127">O78+AQ78</f>
        <v>2.7166999999999999</v>
      </c>
      <c r="AY78" s="493">
        <f t="shared" ref="AY78:AZ83" si="128">P78+AO78</f>
        <v>2.2557999999999998</v>
      </c>
      <c r="AZ78" s="495">
        <f t="shared" si="128"/>
        <v>0.46089999999999998</v>
      </c>
    </row>
    <row r="79" spans="1:52" s="106" customFormat="1" ht="14.1" customHeight="1" x14ac:dyDescent="0.2">
      <c r="A79" s="129">
        <v>11</v>
      </c>
      <c r="B79" s="114">
        <v>2464</v>
      </c>
      <c r="C79" s="103">
        <v>600080081</v>
      </c>
      <c r="D79" s="84">
        <v>72753846</v>
      </c>
      <c r="E79" s="114" t="s">
        <v>764</v>
      </c>
      <c r="F79" s="115">
        <v>3117</v>
      </c>
      <c r="G79" s="114" t="s">
        <v>330</v>
      </c>
      <c r="H79" s="105" t="s">
        <v>278</v>
      </c>
      <c r="I79" s="494">
        <v>1207976</v>
      </c>
      <c r="J79" s="655">
        <v>869162</v>
      </c>
      <c r="K79" s="655">
        <v>13000</v>
      </c>
      <c r="L79" s="489">
        <v>298170</v>
      </c>
      <c r="M79" s="489">
        <v>17384</v>
      </c>
      <c r="N79" s="655">
        <v>10260</v>
      </c>
      <c r="O79" s="490">
        <v>1.8295999999999999</v>
      </c>
      <c r="P79" s="491">
        <v>1.1520999999999999</v>
      </c>
      <c r="Q79" s="657">
        <v>0.67749999999999999</v>
      </c>
      <c r="R79" s="501">
        <f t="shared" si="111"/>
        <v>0</v>
      </c>
      <c r="S79" s="492">
        <v>0</v>
      </c>
      <c r="T79" s="492">
        <v>0</v>
      </c>
      <c r="U79" s="492">
        <v>0</v>
      </c>
      <c r="V79" s="492">
        <f t="shared" si="112"/>
        <v>0</v>
      </c>
      <c r="W79" s="492">
        <v>0</v>
      </c>
      <c r="X79" s="492">
        <v>0</v>
      </c>
      <c r="Y79" s="492">
        <v>0</v>
      </c>
      <c r="Z79" s="492">
        <f t="shared" si="113"/>
        <v>0</v>
      </c>
      <c r="AA79" s="492">
        <f t="shared" si="114"/>
        <v>0</v>
      </c>
      <c r="AB79" s="74">
        <f t="shared" si="115"/>
        <v>0</v>
      </c>
      <c r="AC79" s="74">
        <f t="shared" si="116"/>
        <v>0</v>
      </c>
      <c r="AD79" s="492">
        <v>0</v>
      </c>
      <c r="AE79" s="492">
        <v>0</v>
      </c>
      <c r="AF79" s="492">
        <f t="shared" si="117"/>
        <v>0</v>
      </c>
      <c r="AG79" s="492">
        <f t="shared" si="118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119"/>
        <v>0</v>
      </c>
      <c r="AP79" s="493">
        <f t="shared" si="120"/>
        <v>0</v>
      </c>
      <c r="AQ79" s="664">
        <f t="shared" si="121"/>
        <v>0</v>
      </c>
      <c r="AR79" s="502">
        <f t="shared" si="122"/>
        <v>1207976</v>
      </c>
      <c r="AS79" s="492">
        <f t="shared" si="123"/>
        <v>869162</v>
      </c>
      <c r="AT79" s="492">
        <f t="shared" si="124"/>
        <v>13000</v>
      </c>
      <c r="AU79" s="492">
        <f t="shared" si="125"/>
        <v>298170</v>
      </c>
      <c r="AV79" s="492">
        <f t="shared" si="125"/>
        <v>17384</v>
      </c>
      <c r="AW79" s="492">
        <f t="shared" si="126"/>
        <v>10260</v>
      </c>
      <c r="AX79" s="493">
        <f t="shared" si="127"/>
        <v>1.8295999999999999</v>
      </c>
      <c r="AY79" s="493">
        <f t="shared" si="128"/>
        <v>1.1520999999999999</v>
      </c>
      <c r="AZ79" s="495">
        <f t="shared" si="128"/>
        <v>0.67749999999999999</v>
      </c>
    </row>
    <row r="80" spans="1:52" s="106" customFormat="1" ht="14.1" customHeight="1" x14ac:dyDescent="0.2">
      <c r="A80" s="129">
        <v>11</v>
      </c>
      <c r="B80" s="112">
        <v>2464</v>
      </c>
      <c r="C80" s="103">
        <v>600080081</v>
      </c>
      <c r="D80" s="84">
        <v>72753846</v>
      </c>
      <c r="E80" s="112" t="s">
        <v>764</v>
      </c>
      <c r="F80" s="104">
        <v>3117</v>
      </c>
      <c r="G80" s="84" t="s">
        <v>313</v>
      </c>
      <c r="H80" s="105" t="s">
        <v>279</v>
      </c>
      <c r="I80" s="494">
        <v>773650</v>
      </c>
      <c r="J80" s="489">
        <v>567857</v>
      </c>
      <c r="K80" s="489">
        <v>0</v>
      </c>
      <c r="L80" s="489">
        <v>191936</v>
      </c>
      <c r="M80" s="489">
        <v>11357</v>
      </c>
      <c r="N80" s="489">
        <v>2500</v>
      </c>
      <c r="O80" s="490">
        <v>1.7400000000000002</v>
      </c>
      <c r="P80" s="491">
        <v>1.7400000000000002</v>
      </c>
      <c r="Q80" s="658">
        <v>0</v>
      </c>
      <c r="R80" s="501">
        <f t="shared" si="111"/>
        <v>0</v>
      </c>
      <c r="S80" s="492">
        <v>0</v>
      </c>
      <c r="T80" s="492">
        <v>0</v>
      </c>
      <c r="U80" s="492">
        <v>0</v>
      </c>
      <c r="V80" s="492">
        <f t="shared" si="112"/>
        <v>0</v>
      </c>
      <c r="W80" s="492">
        <v>0</v>
      </c>
      <c r="X80" s="492">
        <v>0</v>
      </c>
      <c r="Y80" s="492">
        <v>0</v>
      </c>
      <c r="Z80" s="492">
        <f t="shared" si="113"/>
        <v>0</v>
      </c>
      <c r="AA80" s="492">
        <f t="shared" si="114"/>
        <v>0</v>
      </c>
      <c r="AB80" s="74">
        <f t="shared" si="115"/>
        <v>0</v>
      </c>
      <c r="AC80" s="74">
        <f t="shared" si="116"/>
        <v>0</v>
      </c>
      <c r="AD80" s="492">
        <v>0</v>
      </c>
      <c r="AE80" s="492">
        <v>0</v>
      </c>
      <c r="AF80" s="492">
        <f t="shared" si="117"/>
        <v>0</v>
      </c>
      <c r="AG80" s="492">
        <f t="shared" si="118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119"/>
        <v>0</v>
      </c>
      <c r="AP80" s="493">
        <f t="shared" si="120"/>
        <v>0</v>
      </c>
      <c r="AQ80" s="664">
        <f t="shared" si="121"/>
        <v>0</v>
      </c>
      <c r="AR80" s="502">
        <f t="shared" si="122"/>
        <v>773650</v>
      </c>
      <c r="AS80" s="492">
        <f t="shared" si="123"/>
        <v>567857</v>
      </c>
      <c r="AT80" s="492">
        <f t="shared" si="124"/>
        <v>0</v>
      </c>
      <c r="AU80" s="492">
        <f t="shared" si="125"/>
        <v>191936</v>
      </c>
      <c r="AV80" s="492">
        <f t="shared" si="125"/>
        <v>11357</v>
      </c>
      <c r="AW80" s="492">
        <f t="shared" si="126"/>
        <v>2500</v>
      </c>
      <c r="AX80" s="493">
        <f t="shared" si="127"/>
        <v>1.7400000000000002</v>
      </c>
      <c r="AY80" s="493">
        <f t="shared" si="128"/>
        <v>1.7400000000000002</v>
      </c>
      <c r="AZ80" s="495">
        <f t="shared" si="128"/>
        <v>0</v>
      </c>
    </row>
    <row r="81" spans="1:52" s="106" customFormat="1" ht="14.1" customHeight="1" x14ac:dyDescent="0.2">
      <c r="A81" s="129">
        <v>11</v>
      </c>
      <c r="B81" s="84">
        <v>2464</v>
      </c>
      <c r="C81" s="103">
        <v>600080081</v>
      </c>
      <c r="D81" s="84">
        <v>72753846</v>
      </c>
      <c r="E81" s="84" t="s">
        <v>764</v>
      </c>
      <c r="F81" s="104">
        <v>3141</v>
      </c>
      <c r="G81" s="84" t="s">
        <v>316</v>
      </c>
      <c r="H81" s="105" t="s">
        <v>279</v>
      </c>
      <c r="I81" s="494">
        <v>383168</v>
      </c>
      <c r="J81" s="655">
        <v>281174</v>
      </c>
      <c r="K81" s="655">
        <v>0</v>
      </c>
      <c r="L81" s="489">
        <v>95037</v>
      </c>
      <c r="M81" s="489">
        <v>5623</v>
      </c>
      <c r="N81" s="655">
        <v>1334</v>
      </c>
      <c r="O81" s="490">
        <v>0.89</v>
      </c>
      <c r="P81" s="491">
        <v>0</v>
      </c>
      <c r="Q81" s="657">
        <v>0.89</v>
      </c>
      <c r="R81" s="501">
        <f t="shared" si="111"/>
        <v>0</v>
      </c>
      <c r="S81" s="492">
        <v>0</v>
      </c>
      <c r="T81" s="492">
        <v>0</v>
      </c>
      <c r="U81" s="492">
        <v>0</v>
      </c>
      <c r="V81" s="492">
        <f t="shared" si="112"/>
        <v>0</v>
      </c>
      <c r="W81" s="492">
        <v>0</v>
      </c>
      <c r="X81" s="492">
        <v>0</v>
      </c>
      <c r="Y81" s="492">
        <v>0</v>
      </c>
      <c r="Z81" s="492">
        <f t="shared" si="113"/>
        <v>0</v>
      </c>
      <c r="AA81" s="492">
        <f t="shared" si="114"/>
        <v>0</v>
      </c>
      <c r="AB81" s="74">
        <f t="shared" si="115"/>
        <v>0</v>
      </c>
      <c r="AC81" s="74">
        <f t="shared" si="116"/>
        <v>0</v>
      </c>
      <c r="AD81" s="492">
        <v>0</v>
      </c>
      <c r="AE81" s="492">
        <v>0</v>
      </c>
      <c r="AF81" s="492">
        <f t="shared" si="117"/>
        <v>0</v>
      </c>
      <c r="AG81" s="492">
        <f t="shared" si="118"/>
        <v>0</v>
      </c>
      <c r="AH81" s="493">
        <v>0</v>
      </c>
      <c r="AI81" s="493">
        <v>0</v>
      </c>
      <c r="AJ81" s="493">
        <v>0</v>
      </c>
      <c r="AK81" s="493">
        <v>0</v>
      </c>
      <c r="AL81" s="493">
        <v>0</v>
      </c>
      <c r="AM81" s="493">
        <v>0</v>
      </c>
      <c r="AN81" s="493">
        <v>0</v>
      </c>
      <c r="AO81" s="493">
        <f t="shared" si="119"/>
        <v>0</v>
      </c>
      <c r="AP81" s="493">
        <f t="shared" si="120"/>
        <v>0</v>
      </c>
      <c r="AQ81" s="664">
        <f t="shared" si="121"/>
        <v>0</v>
      </c>
      <c r="AR81" s="502">
        <f t="shared" si="122"/>
        <v>383168</v>
      </c>
      <c r="AS81" s="492">
        <f t="shared" si="123"/>
        <v>281174</v>
      </c>
      <c r="AT81" s="492">
        <f t="shared" si="124"/>
        <v>0</v>
      </c>
      <c r="AU81" s="492">
        <f t="shared" si="125"/>
        <v>95037</v>
      </c>
      <c r="AV81" s="492">
        <f t="shared" si="125"/>
        <v>5623</v>
      </c>
      <c r="AW81" s="492">
        <f t="shared" si="126"/>
        <v>1334</v>
      </c>
      <c r="AX81" s="493">
        <f t="shared" si="127"/>
        <v>0.89</v>
      </c>
      <c r="AY81" s="493">
        <f t="shared" si="128"/>
        <v>0</v>
      </c>
      <c r="AZ81" s="495">
        <f t="shared" si="128"/>
        <v>0.89</v>
      </c>
    </row>
    <row r="82" spans="1:52" s="106" customFormat="1" ht="14.1" customHeight="1" x14ac:dyDescent="0.2">
      <c r="A82" s="129">
        <v>11</v>
      </c>
      <c r="B82" s="84">
        <v>2464</v>
      </c>
      <c r="C82" s="103">
        <v>600080081</v>
      </c>
      <c r="D82" s="84">
        <v>72753846</v>
      </c>
      <c r="E82" s="84" t="s">
        <v>764</v>
      </c>
      <c r="F82" s="104">
        <v>3143</v>
      </c>
      <c r="G82" s="84" t="s">
        <v>629</v>
      </c>
      <c r="H82" s="105" t="s">
        <v>278</v>
      </c>
      <c r="I82" s="494">
        <v>553200</v>
      </c>
      <c r="J82" s="656">
        <v>407364</v>
      </c>
      <c r="K82" s="656">
        <v>0</v>
      </c>
      <c r="L82" s="489">
        <v>137689</v>
      </c>
      <c r="M82" s="489">
        <v>8147</v>
      </c>
      <c r="N82" s="489">
        <v>0</v>
      </c>
      <c r="O82" s="490">
        <v>1.0832999999999999</v>
      </c>
      <c r="P82" s="14">
        <v>1.0832999999999999</v>
      </c>
      <c r="Q82" s="658">
        <v>0</v>
      </c>
      <c r="R82" s="501">
        <f t="shared" si="111"/>
        <v>0</v>
      </c>
      <c r="S82" s="492">
        <v>0</v>
      </c>
      <c r="T82" s="492">
        <v>0</v>
      </c>
      <c r="U82" s="492">
        <v>0</v>
      </c>
      <c r="V82" s="492">
        <f t="shared" si="112"/>
        <v>0</v>
      </c>
      <c r="W82" s="492">
        <v>0</v>
      </c>
      <c r="X82" s="492">
        <v>0</v>
      </c>
      <c r="Y82" s="492">
        <v>0</v>
      </c>
      <c r="Z82" s="492">
        <f t="shared" si="113"/>
        <v>0</v>
      </c>
      <c r="AA82" s="492">
        <f t="shared" si="114"/>
        <v>0</v>
      </c>
      <c r="AB82" s="74">
        <f t="shared" si="115"/>
        <v>0</v>
      </c>
      <c r="AC82" s="74">
        <f t="shared" si="116"/>
        <v>0</v>
      </c>
      <c r="AD82" s="492">
        <v>0</v>
      </c>
      <c r="AE82" s="492">
        <v>0</v>
      </c>
      <c r="AF82" s="492">
        <f t="shared" si="117"/>
        <v>0</v>
      </c>
      <c r="AG82" s="492">
        <f t="shared" si="118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si="119"/>
        <v>0</v>
      </c>
      <c r="AP82" s="493">
        <f t="shared" si="120"/>
        <v>0</v>
      </c>
      <c r="AQ82" s="664">
        <f t="shared" si="121"/>
        <v>0</v>
      </c>
      <c r="AR82" s="502">
        <f t="shared" si="122"/>
        <v>553200</v>
      </c>
      <c r="AS82" s="492">
        <f t="shared" si="123"/>
        <v>407364</v>
      </c>
      <c r="AT82" s="492">
        <f t="shared" si="124"/>
        <v>0</v>
      </c>
      <c r="AU82" s="492">
        <f t="shared" si="125"/>
        <v>137689</v>
      </c>
      <c r="AV82" s="492">
        <f t="shared" si="125"/>
        <v>8147</v>
      </c>
      <c r="AW82" s="492">
        <f t="shared" si="126"/>
        <v>0</v>
      </c>
      <c r="AX82" s="493">
        <f t="shared" si="127"/>
        <v>1.0832999999999999</v>
      </c>
      <c r="AY82" s="493">
        <f t="shared" si="128"/>
        <v>1.0832999999999999</v>
      </c>
      <c r="AZ82" s="495">
        <f t="shared" si="128"/>
        <v>0</v>
      </c>
    </row>
    <row r="83" spans="1:52" s="106" customFormat="1" ht="14.1" customHeight="1" x14ac:dyDescent="0.2">
      <c r="A83" s="129">
        <v>11</v>
      </c>
      <c r="B83" s="84">
        <v>2464</v>
      </c>
      <c r="C83" s="103">
        <v>600080081</v>
      </c>
      <c r="D83" s="84">
        <v>72753846</v>
      </c>
      <c r="E83" s="84" t="s">
        <v>764</v>
      </c>
      <c r="F83" s="104">
        <v>3143</v>
      </c>
      <c r="G83" s="84" t="s">
        <v>630</v>
      </c>
      <c r="H83" s="105" t="s">
        <v>279</v>
      </c>
      <c r="I83" s="494">
        <v>3779</v>
      </c>
      <c r="J83" s="655">
        <v>2673</v>
      </c>
      <c r="K83" s="655">
        <v>0</v>
      </c>
      <c r="L83" s="489">
        <v>903</v>
      </c>
      <c r="M83" s="489">
        <v>53</v>
      </c>
      <c r="N83" s="655">
        <v>150</v>
      </c>
      <c r="O83" s="490">
        <v>0.01</v>
      </c>
      <c r="P83" s="491">
        <v>0</v>
      </c>
      <c r="Q83" s="657">
        <v>0.01</v>
      </c>
      <c r="R83" s="501">
        <f t="shared" si="111"/>
        <v>0</v>
      </c>
      <c r="S83" s="492">
        <v>0</v>
      </c>
      <c r="T83" s="492">
        <v>0</v>
      </c>
      <c r="U83" s="492">
        <v>0</v>
      </c>
      <c r="V83" s="492">
        <f t="shared" si="112"/>
        <v>0</v>
      </c>
      <c r="W83" s="492">
        <v>0</v>
      </c>
      <c r="X83" s="492">
        <v>0</v>
      </c>
      <c r="Y83" s="492">
        <v>0</v>
      </c>
      <c r="Z83" s="492">
        <f t="shared" si="113"/>
        <v>0</v>
      </c>
      <c r="AA83" s="492">
        <f t="shared" si="114"/>
        <v>0</v>
      </c>
      <c r="AB83" s="74">
        <f t="shared" si="115"/>
        <v>0</v>
      </c>
      <c r="AC83" s="74">
        <f t="shared" si="116"/>
        <v>0</v>
      </c>
      <c r="AD83" s="492">
        <v>0</v>
      </c>
      <c r="AE83" s="492">
        <v>0</v>
      </c>
      <c r="AF83" s="492">
        <f t="shared" si="117"/>
        <v>0</v>
      </c>
      <c r="AG83" s="492">
        <f t="shared" si="118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119"/>
        <v>0</v>
      </c>
      <c r="AP83" s="493">
        <f t="shared" si="120"/>
        <v>0</v>
      </c>
      <c r="AQ83" s="664">
        <f t="shared" si="121"/>
        <v>0</v>
      </c>
      <c r="AR83" s="502">
        <f t="shared" si="122"/>
        <v>3779</v>
      </c>
      <c r="AS83" s="492">
        <f t="shared" si="123"/>
        <v>2673</v>
      </c>
      <c r="AT83" s="492">
        <f t="shared" si="124"/>
        <v>0</v>
      </c>
      <c r="AU83" s="492">
        <f t="shared" si="125"/>
        <v>903</v>
      </c>
      <c r="AV83" s="492">
        <f t="shared" si="125"/>
        <v>53</v>
      </c>
      <c r="AW83" s="492">
        <f t="shared" si="126"/>
        <v>150</v>
      </c>
      <c r="AX83" s="493">
        <f t="shared" si="127"/>
        <v>0.01</v>
      </c>
      <c r="AY83" s="493">
        <f t="shared" si="128"/>
        <v>0</v>
      </c>
      <c r="AZ83" s="495">
        <f t="shared" si="128"/>
        <v>0.01</v>
      </c>
    </row>
    <row r="84" spans="1:52" s="106" customFormat="1" ht="14.1" customHeight="1" x14ac:dyDescent="0.2">
      <c r="A84" s="130">
        <v>11</v>
      </c>
      <c r="B84" s="107">
        <v>2464</v>
      </c>
      <c r="C84" s="108">
        <v>600080081</v>
      </c>
      <c r="D84" s="107">
        <v>72753846</v>
      </c>
      <c r="E84" s="107" t="s">
        <v>765</v>
      </c>
      <c r="F84" s="116"/>
      <c r="G84" s="110"/>
      <c r="H84" s="111"/>
      <c r="I84" s="525">
        <v>4581003</v>
      </c>
      <c r="J84" s="521">
        <v>3344084</v>
      </c>
      <c r="K84" s="521">
        <v>13000</v>
      </c>
      <c r="L84" s="521">
        <v>1134694</v>
      </c>
      <c r="M84" s="521">
        <v>66881</v>
      </c>
      <c r="N84" s="521">
        <v>22344</v>
      </c>
      <c r="O84" s="522">
        <v>8.2695999999999987</v>
      </c>
      <c r="P84" s="522">
        <v>6.2311999999999994</v>
      </c>
      <c r="Q84" s="113">
        <v>2.0383999999999998</v>
      </c>
      <c r="R84" s="529">
        <f t="shared" ref="R84:AZ84" si="129">SUM(R78:R83)</f>
        <v>0</v>
      </c>
      <c r="S84" s="521">
        <f t="shared" si="129"/>
        <v>0</v>
      </c>
      <c r="T84" s="521">
        <f t="shared" si="129"/>
        <v>0</v>
      </c>
      <c r="U84" s="521">
        <f t="shared" si="129"/>
        <v>0</v>
      </c>
      <c r="V84" s="521">
        <f t="shared" si="129"/>
        <v>0</v>
      </c>
      <c r="W84" s="521">
        <f t="shared" si="129"/>
        <v>0</v>
      </c>
      <c r="X84" s="521">
        <f t="shared" si="129"/>
        <v>0</v>
      </c>
      <c r="Y84" s="521">
        <f t="shared" si="129"/>
        <v>0</v>
      </c>
      <c r="Z84" s="521">
        <f t="shared" si="129"/>
        <v>0</v>
      </c>
      <c r="AA84" s="521">
        <f t="shared" si="129"/>
        <v>0</v>
      </c>
      <c r="AB84" s="521">
        <f t="shared" si="129"/>
        <v>0</v>
      </c>
      <c r="AC84" s="521">
        <f t="shared" si="129"/>
        <v>0</v>
      </c>
      <c r="AD84" s="521">
        <f t="shared" si="129"/>
        <v>0</v>
      </c>
      <c r="AE84" s="521">
        <f t="shared" si="129"/>
        <v>0</v>
      </c>
      <c r="AF84" s="521">
        <f t="shared" si="129"/>
        <v>0</v>
      </c>
      <c r="AG84" s="521">
        <f t="shared" si="129"/>
        <v>0</v>
      </c>
      <c r="AH84" s="522">
        <f t="shared" si="129"/>
        <v>0</v>
      </c>
      <c r="AI84" s="522">
        <f t="shared" si="129"/>
        <v>0</v>
      </c>
      <c r="AJ84" s="522">
        <f t="shared" si="129"/>
        <v>0</v>
      </c>
      <c r="AK84" s="522">
        <f t="shared" ref="AK84:AL84" si="130">SUM(AK78:AK83)</f>
        <v>0</v>
      </c>
      <c r="AL84" s="522">
        <f t="shared" si="130"/>
        <v>0</v>
      </c>
      <c r="AM84" s="522">
        <f t="shared" si="129"/>
        <v>0</v>
      </c>
      <c r="AN84" s="522">
        <f t="shared" si="129"/>
        <v>0</v>
      </c>
      <c r="AO84" s="522">
        <f t="shared" si="129"/>
        <v>0</v>
      </c>
      <c r="AP84" s="522">
        <f t="shared" si="129"/>
        <v>0</v>
      </c>
      <c r="AQ84" s="527">
        <f t="shared" si="129"/>
        <v>0</v>
      </c>
      <c r="AR84" s="525">
        <f t="shared" si="129"/>
        <v>4581003</v>
      </c>
      <c r="AS84" s="521">
        <f t="shared" si="129"/>
        <v>3344084</v>
      </c>
      <c r="AT84" s="521">
        <f t="shared" si="129"/>
        <v>13000</v>
      </c>
      <c r="AU84" s="521">
        <f t="shared" si="129"/>
        <v>1134694</v>
      </c>
      <c r="AV84" s="521">
        <f t="shared" si="129"/>
        <v>66881</v>
      </c>
      <c r="AW84" s="521">
        <f t="shared" si="129"/>
        <v>22344</v>
      </c>
      <c r="AX84" s="522">
        <f t="shared" si="129"/>
        <v>8.2695999999999987</v>
      </c>
      <c r="AY84" s="522">
        <f t="shared" si="129"/>
        <v>6.2311999999999994</v>
      </c>
      <c r="AZ84" s="113">
        <f t="shared" si="129"/>
        <v>2.0383999999999998</v>
      </c>
    </row>
    <row r="85" spans="1:52" s="106" customFormat="1" ht="14.1" customHeight="1" x14ac:dyDescent="0.2">
      <c r="A85" s="129">
        <v>12</v>
      </c>
      <c r="B85" s="112">
        <v>2467</v>
      </c>
      <c r="C85" s="103">
        <v>600079708</v>
      </c>
      <c r="D85" s="84">
        <v>71012303</v>
      </c>
      <c r="E85" s="84" t="s">
        <v>766</v>
      </c>
      <c r="F85" s="104">
        <v>3111</v>
      </c>
      <c r="G85" s="84" t="s">
        <v>312</v>
      </c>
      <c r="H85" s="105" t="s">
        <v>278</v>
      </c>
      <c r="I85" s="494">
        <v>1628464</v>
      </c>
      <c r="J85" s="655">
        <v>1191211</v>
      </c>
      <c r="K85" s="655">
        <v>0</v>
      </c>
      <c r="L85" s="489">
        <v>402629</v>
      </c>
      <c r="M85" s="489">
        <v>23824</v>
      </c>
      <c r="N85" s="655">
        <v>10800</v>
      </c>
      <c r="O85" s="490">
        <v>2.5108999999999999</v>
      </c>
      <c r="P85" s="491">
        <v>2</v>
      </c>
      <c r="Q85" s="657">
        <v>0.51090000000000002</v>
      </c>
      <c r="R85" s="501">
        <f t="shared" si="111"/>
        <v>0</v>
      </c>
      <c r="S85" s="492">
        <v>0</v>
      </c>
      <c r="T85" s="492">
        <v>0</v>
      </c>
      <c r="U85" s="492">
        <v>0</v>
      </c>
      <c r="V85" s="492">
        <f t="shared" ref="V85:V90" si="131">SUM(R85:U85)</f>
        <v>0</v>
      </c>
      <c r="W85" s="492">
        <v>0</v>
      </c>
      <c r="X85" s="492">
        <v>0</v>
      </c>
      <c r="Y85" s="492">
        <v>0</v>
      </c>
      <c r="Z85" s="492">
        <f t="shared" si="113"/>
        <v>0</v>
      </c>
      <c r="AA85" s="492">
        <f t="shared" si="114"/>
        <v>0</v>
      </c>
      <c r="AB85" s="74">
        <f t="shared" si="115"/>
        <v>0</v>
      </c>
      <c r="AC85" s="74">
        <f t="shared" si="116"/>
        <v>0</v>
      </c>
      <c r="AD85" s="492">
        <v>0</v>
      </c>
      <c r="AE85" s="492">
        <v>0</v>
      </c>
      <c r="AF85" s="492">
        <f t="shared" ref="AF85:AF90" si="132">SUM(AD85:AE85)</f>
        <v>0</v>
      </c>
      <c r="AG85" s="492">
        <f t="shared" ref="AG85:AG90" si="133">AA85+AB85+AC85+AF85</f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119"/>
        <v>0</v>
      </c>
      <c r="AP85" s="493">
        <f t="shared" si="120"/>
        <v>0</v>
      </c>
      <c r="AQ85" s="664">
        <f t="shared" si="121"/>
        <v>0</v>
      </c>
      <c r="AR85" s="502">
        <f t="shared" ref="AR85:AR90" si="134">I85+AG85</f>
        <v>1628464</v>
      </c>
      <c r="AS85" s="492">
        <f t="shared" ref="AS85:AS90" si="135">J85+V85</f>
        <v>1191211</v>
      </c>
      <c r="AT85" s="492">
        <f t="shared" ref="AT85:AT90" si="136">K85+Z85</f>
        <v>0</v>
      </c>
      <c r="AU85" s="492">
        <f t="shared" ref="AU85:AV90" si="137">L85+AB85</f>
        <v>402629</v>
      </c>
      <c r="AV85" s="492">
        <f t="shared" si="137"/>
        <v>23824</v>
      </c>
      <c r="AW85" s="492">
        <f t="shared" ref="AW85:AW90" si="138">N85+AF85</f>
        <v>10800</v>
      </c>
      <c r="AX85" s="493">
        <f t="shared" ref="AX85:AX90" si="139">O85+AQ85</f>
        <v>2.5108999999999999</v>
      </c>
      <c r="AY85" s="493">
        <f t="shared" ref="AY85:AZ90" si="140">P85+AO85</f>
        <v>2</v>
      </c>
      <c r="AZ85" s="495">
        <f t="shared" si="140"/>
        <v>0.51090000000000002</v>
      </c>
    </row>
    <row r="86" spans="1:52" s="106" customFormat="1" ht="14.1" customHeight="1" x14ac:dyDescent="0.2">
      <c r="A86" s="129">
        <v>12</v>
      </c>
      <c r="B86" s="114">
        <v>2467</v>
      </c>
      <c r="C86" s="103">
        <v>600079708</v>
      </c>
      <c r="D86" s="84">
        <v>71012303</v>
      </c>
      <c r="E86" s="114" t="s">
        <v>766</v>
      </c>
      <c r="F86" s="115">
        <v>3117</v>
      </c>
      <c r="G86" s="114" t="s">
        <v>330</v>
      </c>
      <c r="H86" s="105" t="s">
        <v>278</v>
      </c>
      <c r="I86" s="494">
        <v>2481696</v>
      </c>
      <c r="J86" s="655">
        <v>1811094</v>
      </c>
      <c r="K86" s="655">
        <v>0</v>
      </c>
      <c r="L86" s="489">
        <v>612150</v>
      </c>
      <c r="M86" s="489">
        <v>36222</v>
      </c>
      <c r="N86" s="655">
        <v>22230</v>
      </c>
      <c r="O86" s="490">
        <v>3.8681999999999999</v>
      </c>
      <c r="P86" s="491">
        <v>2.4544999999999999</v>
      </c>
      <c r="Q86" s="657">
        <v>1.4137</v>
      </c>
      <c r="R86" s="501">
        <f t="shared" si="111"/>
        <v>0</v>
      </c>
      <c r="S86" s="492">
        <v>0</v>
      </c>
      <c r="T86" s="492">
        <v>0</v>
      </c>
      <c r="U86" s="492">
        <v>-400575</v>
      </c>
      <c r="V86" s="492">
        <f t="shared" si="131"/>
        <v>-400575</v>
      </c>
      <c r="W86" s="492">
        <v>0</v>
      </c>
      <c r="X86" s="492">
        <v>0</v>
      </c>
      <c r="Y86" s="492">
        <v>0</v>
      </c>
      <c r="Z86" s="492">
        <f t="shared" si="113"/>
        <v>0</v>
      </c>
      <c r="AA86" s="492">
        <f t="shared" si="114"/>
        <v>-400575</v>
      </c>
      <c r="AB86" s="74">
        <f t="shared" si="115"/>
        <v>-135394</v>
      </c>
      <c r="AC86" s="74">
        <f t="shared" si="116"/>
        <v>-8012</v>
      </c>
      <c r="AD86" s="492">
        <v>0</v>
      </c>
      <c r="AE86" s="492">
        <v>0</v>
      </c>
      <c r="AF86" s="492">
        <f t="shared" si="132"/>
        <v>0</v>
      </c>
      <c r="AG86" s="492">
        <f t="shared" si="133"/>
        <v>-543981</v>
      </c>
      <c r="AH86" s="493">
        <v>0</v>
      </c>
      <c r="AI86" s="493">
        <v>0</v>
      </c>
      <c r="AJ86" s="493">
        <v>0</v>
      </c>
      <c r="AK86" s="493">
        <v>0</v>
      </c>
      <c r="AL86" s="493">
        <v>0</v>
      </c>
      <c r="AM86" s="493">
        <v>-0.88</v>
      </c>
      <c r="AN86" s="493">
        <v>0</v>
      </c>
      <c r="AO86" s="493">
        <f t="shared" si="119"/>
        <v>-0.88</v>
      </c>
      <c r="AP86" s="493">
        <f t="shared" si="120"/>
        <v>0</v>
      </c>
      <c r="AQ86" s="664">
        <f t="shared" si="121"/>
        <v>-0.88</v>
      </c>
      <c r="AR86" s="502">
        <f t="shared" si="134"/>
        <v>1937715</v>
      </c>
      <c r="AS86" s="492">
        <f t="shared" si="135"/>
        <v>1410519</v>
      </c>
      <c r="AT86" s="492">
        <f t="shared" si="136"/>
        <v>0</v>
      </c>
      <c r="AU86" s="492">
        <f t="shared" si="137"/>
        <v>476756</v>
      </c>
      <c r="AV86" s="492">
        <f t="shared" si="137"/>
        <v>28210</v>
      </c>
      <c r="AW86" s="492">
        <f t="shared" si="138"/>
        <v>22230</v>
      </c>
      <c r="AX86" s="493">
        <f t="shared" si="139"/>
        <v>2.9882</v>
      </c>
      <c r="AY86" s="493">
        <f t="shared" si="140"/>
        <v>1.5745</v>
      </c>
      <c r="AZ86" s="495">
        <f t="shared" si="140"/>
        <v>1.4137</v>
      </c>
    </row>
    <row r="87" spans="1:52" s="106" customFormat="1" ht="14.1" customHeight="1" x14ac:dyDescent="0.2">
      <c r="A87" s="129">
        <v>12</v>
      </c>
      <c r="B87" s="112">
        <v>2467</v>
      </c>
      <c r="C87" s="103">
        <v>600079708</v>
      </c>
      <c r="D87" s="84">
        <v>71012303</v>
      </c>
      <c r="E87" s="112" t="s">
        <v>766</v>
      </c>
      <c r="F87" s="104">
        <v>3117</v>
      </c>
      <c r="G87" s="84" t="s">
        <v>313</v>
      </c>
      <c r="H87" s="105" t="s">
        <v>279</v>
      </c>
      <c r="I87" s="494">
        <v>247051</v>
      </c>
      <c r="J87" s="489">
        <v>181923</v>
      </c>
      <c r="K87" s="489">
        <v>0</v>
      </c>
      <c r="L87" s="489">
        <v>61490</v>
      </c>
      <c r="M87" s="489">
        <v>3638</v>
      </c>
      <c r="N87" s="489">
        <v>0</v>
      </c>
      <c r="O87" s="490">
        <v>0.51</v>
      </c>
      <c r="P87" s="491">
        <v>0.51</v>
      </c>
      <c r="Q87" s="658">
        <v>0</v>
      </c>
      <c r="R87" s="501">
        <f t="shared" si="111"/>
        <v>0</v>
      </c>
      <c r="S87" s="492">
        <v>0</v>
      </c>
      <c r="T87" s="492">
        <v>0</v>
      </c>
      <c r="U87" s="492">
        <v>0</v>
      </c>
      <c r="V87" s="492">
        <f t="shared" si="131"/>
        <v>0</v>
      </c>
      <c r="W87" s="492">
        <v>0</v>
      </c>
      <c r="X87" s="492">
        <v>0</v>
      </c>
      <c r="Y87" s="492">
        <v>0</v>
      </c>
      <c r="Z87" s="492">
        <f t="shared" si="113"/>
        <v>0</v>
      </c>
      <c r="AA87" s="492">
        <f t="shared" si="114"/>
        <v>0</v>
      </c>
      <c r="AB87" s="74">
        <f t="shared" si="115"/>
        <v>0</v>
      </c>
      <c r="AC87" s="74">
        <f t="shared" si="116"/>
        <v>0</v>
      </c>
      <c r="AD87" s="492">
        <v>0</v>
      </c>
      <c r="AE87" s="492">
        <v>0</v>
      </c>
      <c r="AF87" s="492">
        <f t="shared" si="132"/>
        <v>0</v>
      </c>
      <c r="AG87" s="492">
        <f t="shared" si="133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119"/>
        <v>0</v>
      </c>
      <c r="AP87" s="493">
        <f t="shared" si="120"/>
        <v>0</v>
      </c>
      <c r="AQ87" s="664">
        <f t="shared" si="121"/>
        <v>0</v>
      </c>
      <c r="AR87" s="502">
        <f t="shared" si="134"/>
        <v>247051</v>
      </c>
      <c r="AS87" s="492">
        <f t="shared" si="135"/>
        <v>181923</v>
      </c>
      <c r="AT87" s="492">
        <f t="shared" si="136"/>
        <v>0</v>
      </c>
      <c r="AU87" s="492">
        <f t="shared" si="137"/>
        <v>61490</v>
      </c>
      <c r="AV87" s="492">
        <f t="shared" si="137"/>
        <v>3638</v>
      </c>
      <c r="AW87" s="492">
        <f t="shared" si="138"/>
        <v>0</v>
      </c>
      <c r="AX87" s="493">
        <f t="shared" si="139"/>
        <v>0.51</v>
      </c>
      <c r="AY87" s="493">
        <f t="shared" si="140"/>
        <v>0.51</v>
      </c>
      <c r="AZ87" s="495">
        <f t="shared" si="140"/>
        <v>0</v>
      </c>
    </row>
    <row r="88" spans="1:52" s="106" customFormat="1" ht="14.1" customHeight="1" x14ac:dyDescent="0.2">
      <c r="A88" s="129">
        <v>12</v>
      </c>
      <c r="B88" s="84">
        <v>2467</v>
      </c>
      <c r="C88" s="103">
        <v>600079708</v>
      </c>
      <c r="D88" s="84">
        <v>71012303</v>
      </c>
      <c r="E88" s="84" t="s">
        <v>766</v>
      </c>
      <c r="F88" s="104">
        <v>3141</v>
      </c>
      <c r="G88" s="84" t="s">
        <v>316</v>
      </c>
      <c r="H88" s="105" t="s">
        <v>279</v>
      </c>
      <c r="I88" s="494">
        <v>549080</v>
      </c>
      <c r="J88" s="655">
        <v>402792</v>
      </c>
      <c r="K88" s="655">
        <v>0</v>
      </c>
      <c r="L88" s="489">
        <v>136144</v>
      </c>
      <c r="M88" s="489">
        <v>8056</v>
      </c>
      <c r="N88" s="655">
        <v>2088</v>
      </c>
      <c r="O88" s="490">
        <v>1.27</v>
      </c>
      <c r="P88" s="491">
        <v>0</v>
      </c>
      <c r="Q88" s="657">
        <v>1.27</v>
      </c>
      <c r="R88" s="501">
        <f t="shared" si="111"/>
        <v>0</v>
      </c>
      <c r="S88" s="492">
        <v>0</v>
      </c>
      <c r="T88" s="492">
        <v>0</v>
      </c>
      <c r="U88" s="492">
        <v>0</v>
      </c>
      <c r="V88" s="492">
        <f t="shared" si="131"/>
        <v>0</v>
      </c>
      <c r="W88" s="492">
        <v>0</v>
      </c>
      <c r="X88" s="492">
        <v>0</v>
      </c>
      <c r="Y88" s="492">
        <v>0</v>
      </c>
      <c r="Z88" s="492">
        <f t="shared" si="113"/>
        <v>0</v>
      </c>
      <c r="AA88" s="492">
        <f t="shared" si="114"/>
        <v>0</v>
      </c>
      <c r="AB88" s="74">
        <f t="shared" si="115"/>
        <v>0</v>
      </c>
      <c r="AC88" s="74">
        <f t="shared" si="116"/>
        <v>0</v>
      </c>
      <c r="AD88" s="492">
        <v>0</v>
      </c>
      <c r="AE88" s="492">
        <v>0</v>
      </c>
      <c r="AF88" s="492">
        <f t="shared" si="132"/>
        <v>0</v>
      </c>
      <c r="AG88" s="492">
        <f t="shared" si="133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19"/>
        <v>0</v>
      </c>
      <c r="AP88" s="493">
        <f t="shared" si="120"/>
        <v>0</v>
      </c>
      <c r="AQ88" s="664">
        <f t="shared" si="121"/>
        <v>0</v>
      </c>
      <c r="AR88" s="502">
        <f t="shared" si="134"/>
        <v>549080</v>
      </c>
      <c r="AS88" s="492">
        <f t="shared" si="135"/>
        <v>402792</v>
      </c>
      <c r="AT88" s="492">
        <f t="shared" si="136"/>
        <v>0</v>
      </c>
      <c r="AU88" s="492">
        <f t="shared" si="137"/>
        <v>136144</v>
      </c>
      <c r="AV88" s="492">
        <f t="shared" si="137"/>
        <v>8056</v>
      </c>
      <c r="AW88" s="492">
        <f t="shared" si="138"/>
        <v>2088</v>
      </c>
      <c r="AX88" s="493">
        <f t="shared" si="139"/>
        <v>1.27</v>
      </c>
      <c r="AY88" s="493">
        <f t="shared" si="140"/>
        <v>0</v>
      </c>
      <c r="AZ88" s="495">
        <f t="shared" si="140"/>
        <v>1.27</v>
      </c>
    </row>
    <row r="89" spans="1:52" s="106" customFormat="1" ht="14.1" customHeight="1" x14ac:dyDescent="0.2">
      <c r="A89" s="129">
        <v>12</v>
      </c>
      <c r="B89" s="84">
        <v>2467</v>
      </c>
      <c r="C89" s="103">
        <v>600079708</v>
      </c>
      <c r="D89" s="84">
        <v>71012303</v>
      </c>
      <c r="E89" s="84" t="s">
        <v>766</v>
      </c>
      <c r="F89" s="104">
        <v>3143</v>
      </c>
      <c r="G89" s="84" t="s">
        <v>629</v>
      </c>
      <c r="H89" s="105" t="s">
        <v>278</v>
      </c>
      <c r="I89" s="494">
        <v>347606</v>
      </c>
      <c r="J89" s="656">
        <v>255969</v>
      </c>
      <c r="K89" s="656">
        <v>0</v>
      </c>
      <c r="L89" s="489">
        <v>86518</v>
      </c>
      <c r="M89" s="489">
        <v>5119</v>
      </c>
      <c r="N89" s="489">
        <v>0</v>
      </c>
      <c r="O89" s="490">
        <v>0.6</v>
      </c>
      <c r="P89" s="14">
        <v>0.6</v>
      </c>
      <c r="Q89" s="658">
        <v>0</v>
      </c>
      <c r="R89" s="501">
        <f t="shared" si="111"/>
        <v>0</v>
      </c>
      <c r="S89" s="492">
        <v>0</v>
      </c>
      <c r="T89" s="492">
        <v>0</v>
      </c>
      <c r="U89" s="492">
        <v>0</v>
      </c>
      <c r="V89" s="492">
        <f t="shared" si="131"/>
        <v>0</v>
      </c>
      <c r="W89" s="492">
        <v>0</v>
      </c>
      <c r="X89" s="492">
        <v>0</v>
      </c>
      <c r="Y89" s="492">
        <v>0</v>
      </c>
      <c r="Z89" s="492">
        <f t="shared" si="113"/>
        <v>0</v>
      </c>
      <c r="AA89" s="492">
        <f t="shared" si="114"/>
        <v>0</v>
      </c>
      <c r="AB89" s="74">
        <f t="shared" si="115"/>
        <v>0</v>
      </c>
      <c r="AC89" s="74">
        <f t="shared" si="116"/>
        <v>0</v>
      </c>
      <c r="AD89" s="492">
        <v>0</v>
      </c>
      <c r="AE89" s="492">
        <v>0</v>
      </c>
      <c r="AF89" s="492">
        <f t="shared" si="132"/>
        <v>0</v>
      </c>
      <c r="AG89" s="492">
        <f t="shared" si="133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119"/>
        <v>0</v>
      </c>
      <c r="AP89" s="493">
        <f t="shared" si="120"/>
        <v>0</v>
      </c>
      <c r="AQ89" s="664">
        <f t="shared" si="121"/>
        <v>0</v>
      </c>
      <c r="AR89" s="502">
        <f t="shared" si="134"/>
        <v>347606</v>
      </c>
      <c r="AS89" s="492">
        <f t="shared" si="135"/>
        <v>255969</v>
      </c>
      <c r="AT89" s="492">
        <f t="shared" si="136"/>
        <v>0</v>
      </c>
      <c r="AU89" s="492">
        <f t="shared" si="137"/>
        <v>86518</v>
      </c>
      <c r="AV89" s="492">
        <f t="shared" si="137"/>
        <v>5119</v>
      </c>
      <c r="AW89" s="492">
        <f t="shared" si="138"/>
        <v>0</v>
      </c>
      <c r="AX89" s="493">
        <f t="shared" si="139"/>
        <v>0.6</v>
      </c>
      <c r="AY89" s="493">
        <f t="shared" si="140"/>
        <v>0.6</v>
      </c>
      <c r="AZ89" s="495">
        <f t="shared" si="140"/>
        <v>0</v>
      </c>
    </row>
    <row r="90" spans="1:52" s="106" customFormat="1" ht="14.1" customHeight="1" x14ac:dyDescent="0.2">
      <c r="A90" s="129">
        <v>12</v>
      </c>
      <c r="B90" s="84">
        <v>2467</v>
      </c>
      <c r="C90" s="103">
        <v>600079708</v>
      </c>
      <c r="D90" s="84">
        <v>71012303</v>
      </c>
      <c r="E90" s="84" t="s">
        <v>766</v>
      </c>
      <c r="F90" s="104">
        <v>3143</v>
      </c>
      <c r="G90" s="84" t="s">
        <v>630</v>
      </c>
      <c r="H90" s="105" t="s">
        <v>279</v>
      </c>
      <c r="I90" s="494">
        <v>9828</v>
      </c>
      <c r="J90" s="655">
        <v>6950</v>
      </c>
      <c r="K90" s="655">
        <v>0</v>
      </c>
      <c r="L90" s="489">
        <v>2349</v>
      </c>
      <c r="M90" s="489">
        <v>139</v>
      </c>
      <c r="N90" s="655">
        <v>390</v>
      </c>
      <c r="O90" s="490">
        <v>0.03</v>
      </c>
      <c r="P90" s="491">
        <v>0</v>
      </c>
      <c r="Q90" s="657">
        <v>0.03</v>
      </c>
      <c r="R90" s="501">
        <f t="shared" si="111"/>
        <v>0</v>
      </c>
      <c r="S90" s="492">
        <v>0</v>
      </c>
      <c r="T90" s="492">
        <v>0</v>
      </c>
      <c r="U90" s="492">
        <v>0</v>
      </c>
      <c r="V90" s="492">
        <f t="shared" si="131"/>
        <v>0</v>
      </c>
      <c r="W90" s="492">
        <v>0</v>
      </c>
      <c r="X90" s="492">
        <v>0</v>
      </c>
      <c r="Y90" s="492">
        <v>0</v>
      </c>
      <c r="Z90" s="492">
        <f t="shared" si="113"/>
        <v>0</v>
      </c>
      <c r="AA90" s="492">
        <f t="shared" si="114"/>
        <v>0</v>
      </c>
      <c r="AB90" s="74">
        <f t="shared" si="115"/>
        <v>0</v>
      </c>
      <c r="AC90" s="74">
        <f t="shared" si="116"/>
        <v>0</v>
      </c>
      <c r="AD90" s="492">
        <v>0</v>
      </c>
      <c r="AE90" s="492">
        <v>0</v>
      </c>
      <c r="AF90" s="492">
        <f t="shared" si="132"/>
        <v>0</v>
      </c>
      <c r="AG90" s="492">
        <f t="shared" si="133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si="119"/>
        <v>0</v>
      </c>
      <c r="AP90" s="493">
        <f t="shared" si="120"/>
        <v>0</v>
      </c>
      <c r="AQ90" s="664">
        <f t="shared" si="121"/>
        <v>0</v>
      </c>
      <c r="AR90" s="502">
        <f t="shared" si="134"/>
        <v>9828</v>
      </c>
      <c r="AS90" s="492">
        <f t="shared" si="135"/>
        <v>6950</v>
      </c>
      <c r="AT90" s="492">
        <f t="shared" si="136"/>
        <v>0</v>
      </c>
      <c r="AU90" s="492">
        <f t="shared" si="137"/>
        <v>2349</v>
      </c>
      <c r="AV90" s="492">
        <f t="shared" si="137"/>
        <v>139</v>
      </c>
      <c r="AW90" s="492">
        <f t="shared" si="138"/>
        <v>390</v>
      </c>
      <c r="AX90" s="493">
        <f t="shared" si="139"/>
        <v>0.03</v>
      </c>
      <c r="AY90" s="493">
        <f t="shared" si="140"/>
        <v>0</v>
      </c>
      <c r="AZ90" s="495">
        <f t="shared" si="140"/>
        <v>0.03</v>
      </c>
    </row>
    <row r="91" spans="1:52" s="106" customFormat="1" ht="14.1" customHeight="1" x14ac:dyDescent="0.2">
      <c r="A91" s="130">
        <v>12</v>
      </c>
      <c r="B91" s="107">
        <v>2467</v>
      </c>
      <c r="C91" s="108">
        <v>600079708</v>
      </c>
      <c r="D91" s="107">
        <v>71012303</v>
      </c>
      <c r="E91" s="107" t="s">
        <v>767</v>
      </c>
      <c r="F91" s="116"/>
      <c r="G91" s="110"/>
      <c r="H91" s="111"/>
      <c r="I91" s="525">
        <v>5263725</v>
      </c>
      <c r="J91" s="521">
        <v>3849939</v>
      </c>
      <c r="K91" s="521">
        <v>0</v>
      </c>
      <c r="L91" s="521">
        <v>1301280</v>
      </c>
      <c r="M91" s="521">
        <v>76998</v>
      </c>
      <c r="N91" s="521">
        <v>35508</v>
      </c>
      <c r="O91" s="522">
        <v>8.7890999999999977</v>
      </c>
      <c r="P91" s="522">
        <v>5.5644999999999989</v>
      </c>
      <c r="Q91" s="113">
        <v>3.2245999999999997</v>
      </c>
      <c r="R91" s="529">
        <f t="shared" ref="R91:AZ91" si="141">SUM(R85:R90)</f>
        <v>0</v>
      </c>
      <c r="S91" s="521">
        <f t="shared" si="141"/>
        <v>0</v>
      </c>
      <c r="T91" s="521">
        <f t="shared" si="141"/>
        <v>0</v>
      </c>
      <c r="U91" s="521">
        <f t="shared" si="141"/>
        <v>-400575</v>
      </c>
      <c r="V91" s="521">
        <f t="shared" si="141"/>
        <v>-400575</v>
      </c>
      <c r="W91" s="521">
        <f t="shared" si="141"/>
        <v>0</v>
      </c>
      <c r="X91" s="521">
        <f t="shared" si="141"/>
        <v>0</v>
      </c>
      <c r="Y91" s="521">
        <f t="shared" si="141"/>
        <v>0</v>
      </c>
      <c r="Z91" s="521">
        <f t="shared" si="141"/>
        <v>0</v>
      </c>
      <c r="AA91" s="521">
        <f t="shared" si="141"/>
        <v>-400575</v>
      </c>
      <c r="AB91" s="521">
        <f t="shared" si="141"/>
        <v>-135394</v>
      </c>
      <c r="AC91" s="521">
        <f t="shared" si="141"/>
        <v>-8012</v>
      </c>
      <c r="AD91" s="521">
        <f t="shared" si="141"/>
        <v>0</v>
      </c>
      <c r="AE91" s="521">
        <f t="shared" si="141"/>
        <v>0</v>
      </c>
      <c r="AF91" s="521">
        <f t="shared" si="141"/>
        <v>0</v>
      </c>
      <c r="AG91" s="521">
        <f t="shared" si="141"/>
        <v>-543981</v>
      </c>
      <c r="AH91" s="522">
        <f t="shared" si="141"/>
        <v>0</v>
      </c>
      <c r="AI91" s="522">
        <f t="shared" si="141"/>
        <v>0</v>
      </c>
      <c r="AJ91" s="522">
        <f t="shared" si="141"/>
        <v>0</v>
      </c>
      <c r="AK91" s="522">
        <f t="shared" ref="AK91:AL91" si="142">SUM(AK85:AK90)</f>
        <v>0</v>
      </c>
      <c r="AL91" s="522">
        <f t="shared" si="142"/>
        <v>0</v>
      </c>
      <c r="AM91" s="522">
        <f t="shared" si="141"/>
        <v>-0.88</v>
      </c>
      <c r="AN91" s="522">
        <f t="shared" si="141"/>
        <v>0</v>
      </c>
      <c r="AO91" s="522">
        <f t="shared" si="141"/>
        <v>-0.88</v>
      </c>
      <c r="AP91" s="522">
        <f t="shared" si="141"/>
        <v>0</v>
      </c>
      <c r="AQ91" s="527">
        <f t="shared" si="141"/>
        <v>-0.88</v>
      </c>
      <c r="AR91" s="525">
        <f t="shared" si="141"/>
        <v>4719744</v>
      </c>
      <c r="AS91" s="521">
        <f t="shared" si="141"/>
        <v>3449364</v>
      </c>
      <c r="AT91" s="521">
        <f t="shared" si="141"/>
        <v>0</v>
      </c>
      <c r="AU91" s="521">
        <f t="shared" si="141"/>
        <v>1165886</v>
      </c>
      <c r="AV91" s="521">
        <f t="shared" si="141"/>
        <v>68986</v>
      </c>
      <c r="AW91" s="521">
        <f t="shared" si="141"/>
        <v>35508</v>
      </c>
      <c r="AX91" s="522">
        <f t="shared" si="141"/>
        <v>7.9090999999999996</v>
      </c>
      <c r="AY91" s="522">
        <f t="shared" si="141"/>
        <v>4.6844999999999999</v>
      </c>
      <c r="AZ91" s="113">
        <f t="shared" si="141"/>
        <v>3.2245999999999997</v>
      </c>
    </row>
    <row r="92" spans="1:52" s="106" customFormat="1" ht="14.1" customHeight="1" x14ac:dyDescent="0.2">
      <c r="A92" s="129">
        <v>13</v>
      </c>
      <c r="B92" s="112">
        <v>2408</v>
      </c>
      <c r="C92" s="103">
        <v>600079058</v>
      </c>
      <c r="D92" s="84">
        <v>72741511</v>
      </c>
      <c r="E92" s="84" t="s">
        <v>768</v>
      </c>
      <c r="F92" s="104">
        <v>3111</v>
      </c>
      <c r="G92" s="84" t="s">
        <v>312</v>
      </c>
      <c r="H92" s="105" t="s">
        <v>278</v>
      </c>
      <c r="I92" s="494">
        <v>2139813</v>
      </c>
      <c r="J92" s="655">
        <v>1527175</v>
      </c>
      <c r="K92" s="655">
        <v>41860</v>
      </c>
      <c r="L92" s="489">
        <v>530334</v>
      </c>
      <c r="M92" s="489">
        <v>30544</v>
      </c>
      <c r="N92" s="655">
        <v>9900</v>
      </c>
      <c r="O92" s="490">
        <v>2.9958999999999998</v>
      </c>
      <c r="P92" s="491">
        <v>2.371</v>
      </c>
      <c r="Q92" s="657">
        <v>0.62490000000000001</v>
      </c>
      <c r="R92" s="501">
        <f t="shared" si="111"/>
        <v>0</v>
      </c>
      <c r="S92" s="492">
        <v>0</v>
      </c>
      <c r="T92" s="492">
        <v>0</v>
      </c>
      <c r="U92" s="492">
        <v>-31928</v>
      </c>
      <c r="V92" s="492">
        <f>SUM(R92:U92)</f>
        <v>-31928</v>
      </c>
      <c r="W92" s="492">
        <v>0</v>
      </c>
      <c r="X92" s="492">
        <v>0</v>
      </c>
      <c r="Y92" s="492">
        <v>0</v>
      </c>
      <c r="Z92" s="492">
        <f t="shared" si="113"/>
        <v>0</v>
      </c>
      <c r="AA92" s="492">
        <f t="shared" si="114"/>
        <v>-31928</v>
      </c>
      <c r="AB92" s="74">
        <f t="shared" si="115"/>
        <v>-10792</v>
      </c>
      <c r="AC92" s="74">
        <f t="shared" si="116"/>
        <v>-639</v>
      </c>
      <c r="AD92" s="492">
        <v>0</v>
      </c>
      <c r="AE92" s="492">
        <v>0</v>
      </c>
      <c r="AF92" s="492">
        <f>SUM(AD92:AE92)</f>
        <v>0</v>
      </c>
      <c r="AG92" s="492">
        <f>AA92+AB92+AC92+AF92</f>
        <v>-43359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 t="shared" si="119"/>
        <v>0</v>
      </c>
      <c r="AP92" s="493">
        <f t="shared" si="120"/>
        <v>0</v>
      </c>
      <c r="AQ92" s="664">
        <f t="shared" si="121"/>
        <v>0</v>
      </c>
      <c r="AR92" s="502">
        <f>I92+AG92</f>
        <v>2096454</v>
      </c>
      <c r="AS92" s="492">
        <f>J92+V92</f>
        <v>1495247</v>
      </c>
      <c r="AT92" s="492">
        <f t="shared" ref="AT92:AT94" si="143">K92+Z92</f>
        <v>41860</v>
      </c>
      <c r="AU92" s="492">
        <f t="shared" ref="AU92:AV94" si="144">L92+AB92</f>
        <v>519542</v>
      </c>
      <c r="AV92" s="492">
        <f t="shared" si="144"/>
        <v>29905</v>
      </c>
      <c r="AW92" s="492">
        <f>N92+AF92</f>
        <v>9900</v>
      </c>
      <c r="AX92" s="493">
        <f>O92+AQ92</f>
        <v>2.9958999999999998</v>
      </c>
      <c r="AY92" s="493">
        <f t="shared" ref="AY92:AZ94" si="145">P92+AO92</f>
        <v>2.371</v>
      </c>
      <c r="AZ92" s="495">
        <f t="shared" si="145"/>
        <v>0.62490000000000001</v>
      </c>
    </row>
    <row r="93" spans="1:52" s="106" customFormat="1" ht="14.1" customHeight="1" x14ac:dyDescent="0.2">
      <c r="A93" s="129">
        <v>13</v>
      </c>
      <c r="B93" s="84">
        <v>2408</v>
      </c>
      <c r="C93" s="103">
        <v>600079058</v>
      </c>
      <c r="D93" s="84">
        <v>72741511</v>
      </c>
      <c r="E93" s="84" t="s">
        <v>768</v>
      </c>
      <c r="F93" s="104">
        <v>3111</v>
      </c>
      <c r="G93" s="84" t="s">
        <v>313</v>
      </c>
      <c r="H93" s="105" t="s">
        <v>279</v>
      </c>
      <c r="I93" s="494">
        <v>298073</v>
      </c>
      <c r="J93" s="489">
        <v>219494</v>
      </c>
      <c r="K93" s="489">
        <v>0</v>
      </c>
      <c r="L93" s="489">
        <v>74189</v>
      </c>
      <c r="M93" s="489">
        <v>4390</v>
      </c>
      <c r="N93" s="489">
        <v>0</v>
      </c>
      <c r="O93" s="490">
        <v>0.6</v>
      </c>
      <c r="P93" s="491">
        <v>0.6</v>
      </c>
      <c r="Q93" s="658">
        <v>0</v>
      </c>
      <c r="R93" s="501">
        <f t="shared" si="111"/>
        <v>0</v>
      </c>
      <c r="S93" s="492">
        <v>0</v>
      </c>
      <c r="T93" s="492">
        <v>0</v>
      </c>
      <c r="U93" s="492">
        <v>0</v>
      </c>
      <c r="V93" s="492">
        <f>SUM(R93:U93)</f>
        <v>0</v>
      </c>
      <c r="W93" s="492">
        <v>0</v>
      </c>
      <c r="X93" s="492">
        <v>0</v>
      </c>
      <c r="Y93" s="492">
        <v>0</v>
      </c>
      <c r="Z93" s="492">
        <f t="shared" si="113"/>
        <v>0</v>
      </c>
      <c r="AA93" s="492">
        <f t="shared" si="114"/>
        <v>0</v>
      </c>
      <c r="AB93" s="74">
        <f t="shared" si="115"/>
        <v>0</v>
      </c>
      <c r="AC93" s="74">
        <f t="shared" si="116"/>
        <v>0</v>
      </c>
      <c r="AD93" s="492">
        <v>0</v>
      </c>
      <c r="AE93" s="492">
        <v>0</v>
      </c>
      <c r="AF93" s="492">
        <f>SUM(AD93:AE93)</f>
        <v>0</v>
      </c>
      <c r="AG93" s="492">
        <f>AA93+AB93+AC93+AF93</f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si="119"/>
        <v>0</v>
      </c>
      <c r="AP93" s="493">
        <f t="shared" si="120"/>
        <v>0</v>
      </c>
      <c r="AQ93" s="664">
        <f t="shared" si="121"/>
        <v>0</v>
      </c>
      <c r="AR93" s="502">
        <f>I93+AG93</f>
        <v>298073</v>
      </c>
      <c r="AS93" s="492">
        <f>J93+V93</f>
        <v>219494</v>
      </c>
      <c r="AT93" s="492">
        <f t="shared" si="143"/>
        <v>0</v>
      </c>
      <c r="AU93" s="492">
        <f t="shared" si="144"/>
        <v>74189</v>
      </c>
      <c r="AV93" s="492">
        <f t="shared" si="144"/>
        <v>4390</v>
      </c>
      <c r="AW93" s="492">
        <f>N93+AF93</f>
        <v>0</v>
      </c>
      <c r="AX93" s="493">
        <f>O93+AQ93</f>
        <v>0.6</v>
      </c>
      <c r="AY93" s="493">
        <f t="shared" si="145"/>
        <v>0.6</v>
      </c>
      <c r="AZ93" s="495">
        <f t="shared" si="145"/>
        <v>0</v>
      </c>
    </row>
    <row r="94" spans="1:52" s="106" customFormat="1" ht="14.1" customHeight="1" x14ac:dyDescent="0.2">
      <c r="A94" s="129">
        <v>13</v>
      </c>
      <c r="B94" s="84">
        <v>2408</v>
      </c>
      <c r="C94" s="103">
        <v>600079058</v>
      </c>
      <c r="D94" s="84">
        <v>72741511</v>
      </c>
      <c r="E94" s="84" t="s">
        <v>768</v>
      </c>
      <c r="F94" s="104">
        <v>3141</v>
      </c>
      <c r="G94" s="84" t="s">
        <v>316</v>
      </c>
      <c r="H94" s="105" t="s">
        <v>279</v>
      </c>
      <c r="I94" s="494">
        <v>508424</v>
      </c>
      <c r="J94" s="655">
        <v>372982</v>
      </c>
      <c r="K94" s="655">
        <v>0</v>
      </c>
      <c r="L94" s="489">
        <v>126068</v>
      </c>
      <c r="M94" s="489">
        <v>7460</v>
      </c>
      <c r="N94" s="655">
        <v>1914</v>
      </c>
      <c r="O94" s="490">
        <v>1.17</v>
      </c>
      <c r="P94" s="491">
        <v>0</v>
      </c>
      <c r="Q94" s="657">
        <v>1.17</v>
      </c>
      <c r="R94" s="501">
        <f t="shared" si="111"/>
        <v>0</v>
      </c>
      <c r="S94" s="492">
        <v>0</v>
      </c>
      <c r="T94" s="492">
        <v>0</v>
      </c>
      <c r="U94" s="492">
        <v>0</v>
      </c>
      <c r="V94" s="492">
        <f>SUM(R94:U94)</f>
        <v>0</v>
      </c>
      <c r="W94" s="492">
        <v>0</v>
      </c>
      <c r="X94" s="492">
        <v>0</v>
      </c>
      <c r="Y94" s="492">
        <v>0</v>
      </c>
      <c r="Z94" s="492">
        <f t="shared" si="113"/>
        <v>0</v>
      </c>
      <c r="AA94" s="492">
        <f t="shared" si="114"/>
        <v>0</v>
      </c>
      <c r="AB94" s="74">
        <f t="shared" si="115"/>
        <v>0</v>
      </c>
      <c r="AC94" s="74">
        <f t="shared" si="116"/>
        <v>0</v>
      </c>
      <c r="AD94" s="492">
        <v>0</v>
      </c>
      <c r="AE94" s="492">
        <v>0</v>
      </c>
      <c r="AF94" s="492">
        <f>SUM(AD94:AE94)</f>
        <v>0</v>
      </c>
      <c r="AG94" s="492">
        <f>AA94+AB94+AC94+AF94</f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19"/>
        <v>0</v>
      </c>
      <c r="AP94" s="493">
        <f t="shared" si="120"/>
        <v>0</v>
      </c>
      <c r="AQ94" s="664">
        <f t="shared" si="121"/>
        <v>0</v>
      </c>
      <c r="AR94" s="502">
        <f>I94+AG94</f>
        <v>508424</v>
      </c>
      <c r="AS94" s="492">
        <f>J94+V94</f>
        <v>372982</v>
      </c>
      <c r="AT94" s="492">
        <f t="shared" si="143"/>
        <v>0</v>
      </c>
      <c r="AU94" s="492">
        <f t="shared" si="144"/>
        <v>126068</v>
      </c>
      <c r="AV94" s="492">
        <f t="shared" si="144"/>
        <v>7460</v>
      </c>
      <c r="AW94" s="492">
        <f>N94+AF94</f>
        <v>1914</v>
      </c>
      <c r="AX94" s="493">
        <f>O94+AQ94</f>
        <v>1.17</v>
      </c>
      <c r="AY94" s="493">
        <f t="shared" si="145"/>
        <v>0</v>
      </c>
      <c r="AZ94" s="495">
        <f t="shared" si="145"/>
        <v>1.17</v>
      </c>
    </row>
    <row r="95" spans="1:52" s="106" customFormat="1" ht="14.1" customHeight="1" x14ac:dyDescent="0.2">
      <c r="A95" s="130">
        <v>13</v>
      </c>
      <c r="B95" s="107">
        <v>2408</v>
      </c>
      <c r="C95" s="108">
        <v>600079058</v>
      </c>
      <c r="D95" s="107">
        <v>72741511</v>
      </c>
      <c r="E95" s="107" t="s">
        <v>769</v>
      </c>
      <c r="F95" s="109"/>
      <c r="G95" s="110"/>
      <c r="H95" s="111"/>
      <c r="I95" s="525">
        <v>2946310</v>
      </c>
      <c r="J95" s="521">
        <v>2119651</v>
      </c>
      <c r="K95" s="521">
        <v>41860</v>
      </c>
      <c r="L95" s="521">
        <v>730591</v>
      </c>
      <c r="M95" s="521">
        <v>42394</v>
      </c>
      <c r="N95" s="521">
        <v>11814</v>
      </c>
      <c r="O95" s="522">
        <v>4.7659000000000002</v>
      </c>
      <c r="P95" s="522">
        <v>2.9710000000000001</v>
      </c>
      <c r="Q95" s="113">
        <v>1.7948999999999999</v>
      </c>
      <c r="R95" s="529">
        <f t="shared" ref="R95:AZ95" si="146">SUM(R92:R94)</f>
        <v>0</v>
      </c>
      <c r="S95" s="521">
        <f t="shared" si="146"/>
        <v>0</v>
      </c>
      <c r="T95" s="521">
        <f t="shared" si="146"/>
        <v>0</v>
      </c>
      <c r="U95" s="521">
        <f t="shared" si="146"/>
        <v>-31928</v>
      </c>
      <c r="V95" s="521">
        <f t="shared" si="146"/>
        <v>-31928</v>
      </c>
      <c r="W95" s="521">
        <f t="shared" si="146"/>
        <v>0</v>
      </c>
      <c r="X95" s="521">
        <f t="shared" si="146"/>
        <v>0</v>
      </c>
      <c r="Y95" s="521">
        <f t="shared" si="146"/>
        <v>0</v>
      </c>
      <c r="Z95" s="521">
        <f t="shared" si="146"/>
        <v>0</v>
      </c>
      <c r="AA95" s="521">
        <f t="shared" si="146"/>
        <v>-31928</v>
      </c>
      <c r="AB95" s="521">
        <f t="shared" si="146"/>
        <v>-10792</v>
      </c>
      <c r="AC95" s="521">
        <f t="shared" si="146"/>
        <v>-639</v>
      </c>
      <c r="AD95" s="521">
        <f t="shared" si="146"/>
        <v>0</v>
      </c>
      <c r="AE95" s="521">
        <f t="shared" si="146"/>
        <v>0</v>
      </c>
      <c r="AF95" s="521">
        <f t="shared" si="146"/>
        <v>0</v>
      </c>
      <c r="AG95" s="521">
        <f t="shared" si="146"/>
        <v>-43359</v>
      </c>
      <c r="AH95" s="522">
        <f t="shared" si="146"/>
        <v>0</v>
      </c>
      <c r="AI95" s="522">
        <f t="shared" si="146"/>
        <v>0</v>
      </c>
      <c r="AJ95" s="522">
        <f t="shared" si="146"/>
        <v>0</v>
      </c>
      <c r="AK95" s="522">
        <f t="shared" ref="AK95:AL95" si="147">SUM(AK92:AK94)</f>
        <v>0</v>
      </c>
      <c r="AL95" s="522">
        <f t="shared" si="147"/>
        <v>0</v>
      </c>
      <c r="AM95" s="522">
        <f t="shared" si="146"/>
        <v>0</v>
      </c>
      <c r="AN95" s="522">
        <f t="shared" si="146"/>
        <v>0</v>
      </c>
      <c r="AO95" s="522">
        <f t="shared" si="146"/>
        <v>0</v>
      </c>
      <c r="AP95" s="522">
        <f t="shared" si="146"/>
        <v>0</v>
      </c>
      <c r="AQ95" s="527">
        <f t="shared" si="146"/>
        <v>0</v>
      </c>
      <c r="AR95" s="525">
        <f t="shared" si="146"/>
        <v>2902951</v>
      </c>
      <c r="AS95" s="521">
        <f t="shared" si="146"/>
        <v>2087723</v>
      </c>
      <c r="AT95" s="521">
        <f t="shared" si="146"/>
        <v>41860</v>
      </c>
      <c r="AU95" s="521">
        <f t="shared" si="146"/>
        <v>719799</v>
      </c>
      <c r="AV95" s="521">
        <f t="shared" si="146"/>
        <v>41755</v>
      </c>
      <c r="AW95" s="521">
        <f t="shared" si="146"/>
        <v>11814</v>
      </c>
      <c r="AX95" s="522">
        <f t="shared" si="146"/>
        <v>4.7659000000000002</v>
      </c>
      <c r="AY95" s="522">
        <f t="shared" si="146"/>
        <v>2.9710000000000001</v>
      </c>
      <c r="AZ95" s="113">
        <f t="shared" si="146"/>
        <v>1.7948999999999999</v>
      </c>
    </row>
    <row r="96" spans="1:52" s="106" customFormat="1" ht="14.1" customHeight="1" x14ac:dyDescent="0.2">
      <c r="A96" s="129">
        <v>14</v>
      </c>
      <c r="B96" s="84">
        <v>2304</v>
      </c>
      <c r="C96" s="103">
        <v>600080382</v>
      </c>
      <c r="D96" s="84">
        <v>72743417</v>
      </c>
      <c r="E96" s="84" t="s">
        <v>770</v>
      </c>
      <c r="F96" s="104">
        <v>3113</v>
      </c>
      <c r="G96" s="84" t="s">
        <v>315</v>
      </c>
      <c r="H96" s="105" t="s">
        <v>278</v>
      </c>
      <c r="I96" s="494">
        <v>4546078</v>
      </c>
      <c r="J96" s="655">
        <v>3308791</v>
      </c>
      <c r="K96" s="655">
        <v>0</v>
      </c>
      <c r="L96" s="489">
        <v>1118371</v>
      </c>
      <c r="M96" s="489">
        <v>66176</v>
      </c>
      <c r="N96" s="655">
        <v>52740</v>
      </c>
      <c r="O96" s="490">
        <v>6.5373999999999999</v>
      </c>
      <c r="P96" s="491">
        <v>4.9090999999999996</v>
      </c>
      <c r="Q96" s="657">
        <v>1.6282999999999999</v>
      </c>
      <c r="R96" s="501">
        <f t="shared" si="111"/>
        <v>0</v>
      </c>
      <c r="S96" s="492">
        <v>0</v>
      </c>
      <c r="T96" s="492">
        <v>0</v>
      </c>
      <c r="U96" s="492">
        <v>0</v>
      </c>
      <c r="V96" s="492">
        <f>SUM(R96:U96)</f>
        <v>0</v>
      </c>
      <c r="W96" s="492">
        <v>0</v>
      </c>
      <c r="X96" s="492">
        <v>0</v>
      </c>
      <c r="Y96" s="492">
        <v>0</v>
      </c>
      <c r="Z96" s="492">
        <f t="shared" si="113"/>
        <v>0</v>
      </c>
      <c r="AA96" s="492">
        <f t="shared" si="114"/>
        <v>0</v>
      </c>
      <c r="AB96" s="74">
        <f t="shared" si="115"/>
        <v>0</v>
      </c>
      <c r="AC96" s="74">
        <f t="shared" si="116"/>
        <v>0</v>
      </c>
      <c r="AD96" s="492">
        <v>0</v>
      </c>
      <c r="AE96" s="492">
        <v>0</v>
      </c>
      <c r="AF96" s="492">
        <f>SUM(AD96:AE96)</f>
        <v>0</v>
      </c>
      <c r="AG96" s="492">
        <f>AA96+AB96+AC96+AF96</f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119"/>
        <v>0</v>
      </c>
      <c r="AP96" s="493">
        <f t="shared" si="120"/>
        <v>0</v>
      </c>
      <c r="AQ96" s="664">
        <f t="shared" si="121"/>
        <v>0</v>
      </c>
      <c r="AR96" s="502">
        <f>I96+AG96</f>
        <v>4546078</v>
      </c>
      <c r="AS96" s="492">
        <f>J96+V96</f>
        <v>3308791</v>
      </c>
      <c r="AT96" s="492">
        <f t="shared" ref="AT96:AT100" si="148">K96+Z96</f>
        <v>0</v>
      </c>
      <c r="AU96" s="492">
        <f t="shared" ref="AU96:AV100" si="149">L96+AB96</f>
        <v>1118371</v>
      </c>
      <c r="AV96" s="492">
        <f t="shared" si="149"/>
        <v>66176</v>
      </c>
      <c r="AW96" s="492">
        <f>N96+AF96</f>
        <v>52740</v>
      </c>
      <c r="AX96" s="493">
        <f>O96+AQ96</f>
        <v>6.5373999999999999</v>
      </c>
      <c r="AY96" s="493">
        <f t="shared" ref="AY96:AZ100" si="150">P96+AO96</f>
        <v>4.9090999999999996</v>
      </c>
      <c r="AZ96" s="495">
        <f t="shared" si="150"/>
        <v>1.6282999999999999</v>
      </c>
    </row>
    <row r="97" spans="1:52" s="106" customFormat="1" ht="14.1" customHeight="1" x14ac:dyDescent="0.2">
      <c r="A97" s="129">
        <v>14</v>
      </c>
      <c r="B97" s="84">
        <v>2304</v>
      </c>
      <c r="C97" s="103">
        <v>600080382</v>
      </c>
      <c r="D97" s="84">
        <v>72743417</v>
      </c>
      <c r="E97" s="84" t="s">
        <v>770</v>
      </c>
      <c r="F97" s="104">
        <v>3113</v>
      </c>
      <c r="G97" s="48" t="s">
        <v>314</v>
      </c>
      <c r="H97" s="105" t="s">
        <v>278</v>
      </c>
      <c r="I97" s="494">
        <v>880305</v>
      </c>
      <c r="J97" s="655">
        <v>648236</v>
      </c>
      <c r="K97" s="655">
        <v>0</v>
      </c>
      <c r="L97" s="489">
        <v>219104</v>
      </c>
      <c r="M97" s="489">
        <v>12965</v>
      </c>
      <c r="N97" s="489">
        <v>0</v>
      </c>
      <c r="O97" s="490">
        <v>1.7222</v>
      </c>
      <c r="P97" s="491">
        <v>1.7222</v>
      </c>
      <c r="Q97" s="657">
        <v>0</v>
      </c>
      <c r="R97" s="501">
        <f t="shared" si="111"/>
        <v>0</v>
      </c>
      <c r="S97" s="492">
        <v>0</v>
      </c>
      <c r="T97" s="492">
        <v>0</v>
      </c>
      <c r="U97" s="492">
        <v>0</v>
      </c>
      <c r="V97" s="492">
        <f>SUM(R97:U97)</f>
        <v>0</v>
      </c>
      <c r="W97" s="492">
        <v>0</v>
      </c>
      <c r="X97" s="492">
        <v>0</v>
      </c>
      <c r="Y97" s="492">
        <v>0</v>
      </c>
      <c r="Z97" s="492">
        <f t="shared" si="113"/>
        <v>0</v>
      </c>
      <c r="AA97" s="492">
        <f t="shared" si="114"/>
        <v>0</v>
      </c>
      <c r="AB97" s="74">
        <f t="shared" si="115"/>
        <v>0</v>
      </c>
      <c r="AC97" s="74">
        <f t="shared" si="116"/>
        <v>0</v>
      </c>
      <c r="AD97" s="492">
        <v>0</v>
      </c>
      <c r="AE97" s="492">
        <v>0</v>
      </c>
      <c r="AF97" s="492">
        <f>SUM(AD97:AE97)</f>
        <v>0</v>
      </c>
      <c r="AG97" s="492">
        <f>AA97+AB97+AC97+AF97</f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119"/>
        <v>0</v>
      </c>
      <c r="AP97" s="493">
        <f t="shared" si="120"/>
        <v>0</v>
      </c>
      <c r="AQ97" s="664">
        <f t="shared" si="121"/>
        <v>0</v>
      </c>
      <c r="AR97" s="502">
        <f>I97+AG97</f>
        <v>880305</v>
      </c>
      <c r="AS97" s="492">
        <f>J97+V97</f>
        <v>648236</v>
      </c>
      <c r="AT97" s="492">
        <f t="shared" si="148"/>
        <v>0</v>
      </c>
      <c r="AU97" s="492">
        <f t="shared" si="149"/>
        <v>219104</v>
      </c>
      <c r="AV97" s="492">
        <f t="shared" si="149"/>
        <v>12965</v>
      </c>
      <c r="AW97" s="492">
        <f>N97+AF97</f>
        <v>0</v>
      </c>
      <c r="AX97" s="493">
        <f>O97+AQ97</f>
        <v>1.7222</v>
      </c>
      <c r="AY97" s="493">
        <f t="shared" si="150"/>
        <v>1.7222</v>
      </c>
      <c r="AZ97" s="495">
        <f t="shared" si="150"/>
        <v>0</v>
      </c>
    </row>
    <row r="98" spans="1:52" s="106" customFormat="1" ht="14.1" customHeight="1" x14ac:dyDescent="0.2">
      <c r="A98" s="129">
        <v>14</v>
      </c>
      <c r="B98" s="84">
        <v>2304</v>
      </c>
      <c r="C98" s="103">
        <v>600080382</v>
      </c>
      <c r="D98" s="84">
        <v>72743417</v>
      </c>
      <c r="E98" s="84" t="s">
        <v>770</v>
      </c>
      <c r="F98" s="104">
        <v>3113</v>
      </c>
      <c r="G98" s="84" t="s">
        <v>313</v>
      </c>
      <c r="H98" s="105" t="s">
        <v>279</v>
      </c>
      <c r="I98" s="494">
        <v>1016857</v>
      </c>
      <c r="J98" s="489">
        <v>748790</v>
      </c>
      <c r="K98" s="489">
        <v>0</v>
      </c>
      <c r="L98" s="489">
        <v>253091</v>
      </c>
      <c r="M98" s="489">
        <v>14976</v>
      </c>
      <c r="N98" s="489">
        <v>0</v>
      </c>
      <c r="O98" s="490">
        <v>2.13</v>
      </c>
      <c r="P98" s="491">
        <v>2.13</v>
      </c>
      <c r="Q98" s="658">
        <v>0</v>
      </c>
      <c r="R98" s="501">
        <f t="shared" si="111"/>
        <v>0</v>
      </c>
      <c r="S98" s="492">
        <v>0</v>
      </c>
      <c r="T98" s="492">
        <v>0</v>
      </c>
      <c r="U98" s="492">
        <v>0</v>
      </c>
      <c r="V98" s="492">
        <f>SUM(R98:U98)</f>
        <v>0</v>
      </c>
      <c r="W98" s="492">
        <v>0</v>
      </c>
      <c r="X98" s="492">
        <v>0</v>
      </c>
      <c r="Y98" s="492">
        <v>0</v>
      </c>
      <c r="Z98" s="492">
        <f t="shared" si="113"/>
        <v>0</v>
      </c>
      <c r="AA98" s="492">
        <f t="shared" si="114"/>
        <v>0</v>
      </c>
      <c r="AB98" s="74">
        <f t="shared" si="115"/>
        <v>0</v>
      </c>
      <c r="AC98" s="74">
        <f t="shared" si="116"/>
        <v>0</v>
      </c>
      <c r="AD98" s="492">
        <v>0</v>
      </c>
      <c r="AE98" s="492">
        <v>0</v>
      </c>
      <c r="AF98" s="492">
        <f>SUM(AD98:AE98)</f>
        <v>0</v>
      </c>
      <c r="AG98" s="492">
        <f>AA98+AB98+AC98+AF98</f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 t="shared" si="119"/>
        <v>0</v>
      </c>
      <c r="AP98" s="493">
        <f t="shared" si="120"/>
        <v>0</v>
      </c>
      <c r="AQ98" s="664">
        <f t="shared" si="121"/>
        <v>0</v>
      </c>
      <c r="AR98" s="502">
        <f>I98+AG98</f>
        <v>1016857</v>
      </c>
      <c r="AS98" s="492">
        <f>J98+V98</f>
        <v>748790</v>
      </c>
      <c r="AT98" s="492">
        <f t="shared" si="148"/>
        <v>0</v>
      </c>
      <c r="AU98" s="492">
        <f t="shared" si="149"/>
        <v>253091</v>
      </c>
      <c r="AV98" s="492">
        <f t="shared" si="149"/>
        <v>14976</v>
      </c>
      <c r="AW98" s="492">
        <f>N98+AF98</f>
        <v>0</v>
      </c>
      <c r="AX98" s="493">
        <f>O98+AQ98</f>
        <v>2.13</v>
      </c>
      <c r="AY98" s="493">
        <f t="shared" si="150"/>
        <v>2.13</v>
      </c>
      <c r="AZ98" s="495">
        <f t="shared" si="150"/>
        <v>0</v>
      </c>
    </row>
    <row r="99" spans="1:52" s="106" customFormat="1" ht="14.1" customHeight="1" x14ac:dyDescent="0.2">
      <c r="A99" s="129">
        <v>14</v>
      </c>
      <c r="B99" s="84">
        <v>2304</v>
      </c>
      <c r="C99" s="103">
        <v>600080382</v>
      </c>
      <c r="D99" s="84">
        <v>72743417</v>
      </c>
      <c r="E99" s="84" t="s">
        <v>770</v>
      </c>
      <c r="F99" s="104">
        <v>3143</v>
      </c>
      <c r="G99" s="84" t="s">
        <v>629</v>
      </c>
      <c r="H99" s="105" t="s">
        <v>278</v>
      </c>
      <c r="I99" s="494">
        <v>281388</v>
      </c>
      <c r="J99" s="656">
        <v>207208</v>
      </c>
      <c r="K99" s="656">
        <v>0</v>
      </c>
      <c r="L99" s="489">
        <v>70036</v>
      </c>
      <c r="M99" s="489">
        <v>4144</v>
      </c>
      <c r="N99" s="489">
        <v>0</v>
      </c>
      <c r="O99" s="490">
        <v>0.5</v>
      </c>
      <c r="P99" s="14">
        <v>0.5</v>
      </c>
      <c r="Q99" s="658">
        <v>0</v>
      </c>
      <c r="R99" s="501">
        <f t="shared" si="111"/>
        <v>0</v>
      </c>
      <c r="S99" s="492">
        <v>0</v>
      </c>
      <c r="T99" s="492">
        <v>0</v>
      </c>
      <c r="U99" s="492">
        <v>0</v>
      </c>
      <c r="V99" s="492">
        <f>SUM(R99:U99)</f>
        <v>0</v>
      </c>
      <c r="W99" s="492">
        <v>0</v>
      </c>
      <c r="X99" s="492">
        <v>0</v>
      </c>
      <c r="Y99" s="492">
        <v>0</v>
      </c>
      <c r="Z99" s="492">
        <f t="shared" si="113"/>
        <v>0</v>
      </c>
      <c r="AA99" s="492">
        <f t="shared" si="114"/>
        <v>0</v>
      </c>
      <c r="AB99" s="74">
        <f t="shared" si="115"/>
        <v>0</v>
      </c>
      <c r="AC99" s="74">
        <f t="shared" si="116"/>
        <v>0</v>
      </c>
      <c r="AD99" s="492">
        <v>0</v>
      </c>
      <c r="AE99" s="492">
        <v>0</v>
      </c>
      <c r="AF99" s="492">
        <f>SUM(AD99:AE99)</f>
        <v>0</v>
      </c>
      <c r="AG99" s="492">
        <f>AA99+AB99+AC99+AF99</f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si="119"/>
        <v>0</v>
      </c>
      <c r="AP99" s="493">
        <f t="shared" si="120"/>
        <v>0</v>
      </c>
      <c r="AQ99" s="664">
        <f t="shared" si="121"/>
        <v>0</v>
      </c>
      <c r="AR99" s="502">
        <f>I99+AG99</f>
        <v>281388</v>
      </c>
      <c r="AS99" s="492">
        <f>J99+V99</f>
        <v>207208</v>
      </c>
      <c r="AT99" s="492">
        <f t="shared" si="148"/>
        <v>0</v>
      </c>
      <c r="AU99" s="492">
        <f t="shared" si="149"/>
        <v>70036</v>
      </c>
      <c r="AV99" s="492">
        <f t="shared" si="149"/>
        <v>4144</v>
      </c>
      <c r="AW99" s="492">
        <f>N99+AF99</f>
        <v>0</v>
      </c>
      <c r="AX99" s="493">
        <f>O99+AQ99</f>
        <v>0.5</v>
      </c>
      <c r="AY99" s="493">
        <f t="shared" si="150"/>
        <v>0.5</v>
      </c>
      <c r="AZ99" s="495">
        <f t="shared" si="150"/>
        <v>0</v>
      </c>
    </row>
    <row r="100" spans="1:52" s="106" customFormat="1" ht="14.1" customHeight="1" x14ac:dyDescent="0.2">
      <c r="A100" s="129">
        <v>14</v>
      </c>
      <c r="B100" s="84">
        <v>2304</v>
      </c>
      <c r="C100" s="103">
        <v>600080382</v>
      </c>
      <c r="D100" s="84">
        <v>72743417</v>
      </c>
      <c r="E100" s="84" t="s">
        <v>770</v>
      </c>
      <c r="F100" s="104">
        <v>3143</v>
      </c>
      <c r="G100" s="84" t="s">
        <v>630</v>
      </c>
      <c r="H100" s="105" t="s">
        <v>279</v>
      </c>
      <c r="I100" s="494">
        <v>7560</v>
      </c>
      <c r="J100" s="655">
        <v>5346</v>
      </c>
      <c r="K100" s="655">
        <v>0</v>
      </c>
      <c r="L100" s="489">
        <v>1807</v>
      </c>
      <c r="M100" s="489">
        <v>107</v>
      </c>
      <c r="N100" s="655">
        <v>300</v>
      </c>
      <c r="O100" s="490">
        <v>0.02</v>
      </c>
      <c r="P100" s="491">
        <v>0</v>
      </c>
      <c r="Q100" s="657">
        <v>0.02</v>
      </c>
      <c r="R100" s="501">
        <f t="shared" si="111"/>
        <v>0</v>
      </c>
      <c r="S100" s="492">
        <v>0</v>
      </c>
      <c r="T100" s="492">
        <v>0</v>
      </c>
      <c r="U100" s="492">
        <v>0</v>
      </c>
      <c r="V100" s="492">
        <f>SUM(R100:U100)</f>
        <v>0</v>
      </c>
      <c r="W100" s="492">
        <v>0</v>
      </c>
      <c r="X100" s="492">
        <v>0</v>
      </c>
      <c r="Y100" s="492">
        <v>0</v>
      </c>
      <c r="Z100" s="492">
        <f t="shared" si="113"/>
        <v>0</v>
      </c>
      <c r="AA100" s="492">
        <f t="shared" si="114"/>
        <v>0</v>
      </c>
      <c r="AB100" s="74">
        <f t="shared" si="115"/>
        <v>0</v>
      </c>
      <c r="AC100" s="74">
        <f t="shared" si="116"/>
        <v>0</v>
      </c>
      <c r="AD100" s="492">
        <v>0</v>
      </c>
      <c r="AE100" s="492">
        <v>0</v>
      </c>
      <c r="AF100" s="492">
        <f>SUM(AD100:AE100)</f>
        <v>0</v>
      </c>
      <c r="AG100" s="492">
        <f>AA100+AB100+AC100+AF100</f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119"/>
        <v>0</v>
      </c>
      <c r="AP100" s="493">
        <f t="shared" si="120"/>
        <v>0</v>
      </c>
      <c r="AQ100" s="664">
        <f t="shared" si="121"/>
        <v>0</v>
      </c>
      <c r="AR100" s="502">
        <f>I100+AG100</f>
        <v>7560</v>
      </c>
      <c r="AS100" s="492">
        <f>J100+V100</f>
        <v>5346</v>
      </c>
      <c r="AT100" s="492">
        <f t="shared" si="148"/>
        <v>0</v>
      </c>
      <c r="AU100" s="492">
        <f t="shared" si="149"/>
        <v>1807</v>
      </c>
      <c r="AV100" s="492">
        <f t="shared" si="149"/>
        <v>107</v>
      </c>
      <c r="AW100" s="492">
        <f>N100+AF100</f>
        <v>300</v>
      </c>
      <c r="AX100" s="493">
        <f>O100+AQ100</f>
        <v>0.02</v>
      </c>
      <c r="AY100" s="493">
        <f t="shared" si="150"/>
        <v>0</v>
      </c>
      <c r="AZ100" s="495">
        <f t="shared" si="150"/>
        <v>0.02</v>
      </c>
    </row>
    <row r="101" spans="1:52" s="106" customFormat="1" ht="14.1" customHeight="1" x14ac:dyDescent="0.2">
      <c r="A101" s="130">
        <v>14</v>
      </c>
      <c r="B101" s="107">
        <v>2304</v>
      </c>
      <c r="C101" s="108">
        <v>600080382</v>
      </c>
      <c r="D101" s="107">
        <v>72743417</v>
      </c>
      <c r="E101" s="107" t="s">
        <v>771</v>
      </c>
      <c r="F101" s="109"/>
      <c r="G101" s="110"/>
      <c r="H101" s="111"/>
      <c r="I101" s="525">
        <v>6732188</v>
      </c>
      <c r="J101" s="521">
        <v>4918371</v>
      </c>
      <c r="K101" s="521">
        <v>0</v>
      </c>
      <c r="L101" s="521">
        <v>1662409</v>
      </c>
      <c r="M101" s="521">
        <v>98368</v>
      </c>
      <c r="N101" s="521">
        <v>53040</v>
      </c>
      <c r="O101" s="522">
        <v>10.909599999999998</v>
      </c>
      <c r="P101" s="522">
        <v>9.2612999999999985</v>
      </c>
      <c r="Q101" s="113">
        <v>1.6482999999999999</v>
      </c>
      <c r="R101" s="529">
        <f t="shared" ref="R101:AZ101" si="151">SUM(R96:R100)</f>
        <v>0</v>
      </c>
      <c r="S101" s="521">
        <f t="shared" si="151"/>
        <v>0</v>
      </c>
      <c r="T101" s="521">
        <f t="shared" si="151"/>
        <v>0</v>
      </c>
      <c r="U101" s="521">
        <f t="shared" si="151"/>
        <v>0</v>
      </c>
      <c r="V101" s="521">
        <f t="shared" si="151"/>
        <v>0</v>
      </c>
      <c r="W101" s="521">
        <f t="shared" si="151"/>
        <v>0</v>
      </c>
      <c r="X101" s="521">
        <f t="shared" si="151"/>
        <v>0</v>
      </c>
      <c r="Y101" s="521">
        <f t="shared" si="151"/>
        <v>0</v>
      </c>
      <c r="Z101" s="521">
        <f t="shared" si="151"/>
        <v>0</v>
      </c>
      <c r="AA101" s="521">
        <f t="shared" si="151"/>
        <v>0</v>
      </c>
      <c r="AB101" s="521">
        <f t="shared" si="151"/>
        <v>0</v>
      </c>
      <c r="AC101" s="521">
        <f t="shared" si="151"/>
        <v>0</v>
      </c>
      <c r="AD101" s="521">
        <f t="shared" si="151"/>
        <v>0</v>
      </c>
      <c r="AE101" s="521">
        <f t="shared" si="151"/>
        <v>0</v>
      </c>
      <c r="AF101" s="521">
        <f t="shared" si="151"/>
        <v>0</v>
      </c>
      <c r="AG101" s="521">
        <f t="shared" si="151"/>
        <v>0</v>
      </c>
      <c r="AH101" s="522">
        <f t="shared" si="151"/>
        <v>0</v>
      </c>
      <c r="AI101" s="522">
        <f t="shared" si="151"/>
        <v>0</v>
      </c>
      <c r="AJ101" s="522">
        <f t="shared" si="151"/>
        <v>0</v>
      </c>
      <c r="AK101" s="522">
        <f t="shared" ref="AK101:AL101" si="152">SUM(AK96:AK100)</f>
        <v>0</v>
      </c>
      <c r="AL101" s="522">
        <f t="shared" si="152"/>
        <v>0</v>
      </c>
      <c r="AM101" s="522">
        <f t="shared" si="151"/>
        <v>0</v>
      </c>
      <c r="AN101" s="522">
        <f t="shared" si="151"/>
        <v>0</v>
      </c>
      <c r="AO101" s="522">
        <f t="shared" si="151"/>
        <v>0</v>
      </c>
      <c r="AP101" s="522">
        <f t="shared" si="151"/>
        <v>0</v>
      </c>
      <c r="AQ101" s="527">
        <f t="shared" si="151"/>
        <v>0</v>
      </c>
      <c r="AR101" s="525">
        <f t="shared" si="151"/>
        <v>6732188</v>
      </c>
      <c r="AS101" s="521">
        <f t="shared" si="151"/>
        <v>4918371</v>
      </c>
      <c r="AT101" s="521">
        <f t="shared" si="151"/>
        <v>0</v>
      </c>
      <c r="AU101" s="521">
        <f t="shared" si="151"/>
        <v>1662409</v>
      </c>
      <c r="AV101" s="521">
        <f t="shared" si="151"/>
        <v>98368</v>
      </c>
      <c r="AW101" s="521">
        <f t="shared" si="151"/>
        <v>53040</v>
      </c>
      <c r="AX101" s="522">
        <f t="shared" si="151"/>
        <v>10.909599999999998</v>
      </c>
      <c r="AY101" s="522">
        <f t="shared" si="151"/>
        <v>9.2612999999999985</v>
      </c>
      <c r="AZ101" s="113">
        <f t="shared" si="151"/>
        <v>1.6482999999999999</v>
      </c>
    </row>
    <row r="102" spans="1:52" s="106" customFormat="1" ht="14.1" customHeight="1" x14ac:dyDescent="0.2">
      <c r="A102" s="129">
        <v>15</v>
      </c>
      <c r="B102" s="112">
        <v>2438</v>
      </c>
      <c r="C102" s="103">
        <v>600079384</v>
      </c>
      <c r="D102" s="84">
        <v>72741911</v>
      </c>
      <c r="E102" s="84" t="s">
        <v>772</v>
      </c>
      <c r="F102" s="104">
        <v>3111</v>
      </c>
      <c r="G102" s="84" t="s">
        <v>312</v>
      </c>
      <c r="H102" s="105" t="s">
        <v>278</v>
      </c>
      <c r="I102" s="494">
        <v>8141859</v>
      </c>
      <c r="J102" s="655">
        <v>5895074</v>
      </c>
      <c r="K102" s="655">
        <v>67600</v>
      </c>
      <c r="L102" s="489">
        <v>2015384</v>
      </c>
      <c r="M102" s="489">
        <v>117901</v>
      </c>
      <c r="N102" s="655">
        <v>45900</v>
      </c>
      <c r="O102" s="490">
        <v>12.972199999999999</v>
      </c>
      <c r="P102" s="491">
        <v>10</v>
      </c>
      <c r="Q102" s="657">
        <v>2.9722</v>
      </c>
      <c r="R102" s="501">
        <f t="shared" si="111"/>
        <v>0</v>
      </c>
      <c r="S102" s="492">
        <v>0</v>
      </c>
      <c r="T102" s="492">
        <v>0</v>
      </c>
      <c r="U102" s="492">
        <v>0</v>
      </c>
      <c r="V102" s="492">
        <f>SUM(R102:U102)</f>
        <v>0</v>
      </c>
      <c r="W102" s="492">
        <v>0</v>
      </c>
      <c r="X102" s="492">
        <v>0</v>
      </c>
      <c r="Y102" s="492">
        <v>0</v>
      </c>
      <c r="Z102" s="492">
        <f t="shared" si="113"/>
        <v>0</v>
      </c>
      <c r="AA102" s="492">
        <f t="shared" si="114"/>
        <v>0</v>
      </c>
      <c r="AB102" s="74">
        <f t="shared" si="115"/>
        <v>0</v>
      </c>
      <c r="AC102" s="74">
        <f t="shared" si="116"/>
        <v>0</v>
      </c>
      <c r="AD102" s="492">
        <v>0</v>
      </c>
      <c r="AE102" s="492">
        <v>0</v>
      </c>
      <c r="AF102" s="492">
        <f>SUM(AD102:AE102)</f>
        <v>0</v>
      </c>
      <c r="AG102" s="492">
        <f>AA102+AB102+AC102+AF102</f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 t="shared" si="119"/>
        <v>0</v>
      </c>
      <c r="AP102" s="493">
        <f t="shared" si="120"/>
        <v>0</v>
      </c>
      <c r="AQ102" s="664">
        <f t="shared" si="121"/>
        <v>0</v>
      </c>
      <c r="AR102" s="502">
        <f>I102+AG102</f>
        <v>8141859</v>
      </c>
      <c r="AS102" s="492">
        <f>J102+V102</f>
        <v>5895074</v>
      </c>
      <c r="AT102" s="492">
        <f t="shared" ref="AT102:AT104" si="153">K102+Z102</f>
        <v>67600</v>
      </c>
      <c r="AU102" s="492">
        <f t="shared" ref="AU102:AV104" si="154">L102+AB102</f>
        <v>2015384</v>
      </c>
      <c r="AV102" s="492">
        <f t="shared" si="154"/>
        <v>117901</v>
      </c>
      <c r="AW102" s="492">
        <f>N102+AF102</f>
        <v>45900</v>
      </c>
      <c r="AX102" s="493">
        <f>O102+AQ102</f>
        <v>12.972199999999999</v>
      </c>
      <c r="AY102" s="493">
        <f t="shared" ref="AY102:AZ104" si="155">P102+AO102</f>
        <v>10</v>
      </c>
      <c r="AZ102" s="495">
        <f t="shared" si="155"/>
        <v>2.9722</v>
      </c>
    </row>
    <row r="103" spans="1:52" s="106" customFormat="1" ht="14.1" customHeight="1" x14ac:dyDescent="0.2">
      <c r="A103" s="129">
        <v>15</v>
      </c>
      <c r="B103" s="84">
        <v>2438</v>
      </c>
      <c r="C103" s="103">
        <v>600079384</v>
      </c>
      <c r="D103" s="84">
        <v>72741911</v>
      </c>
      <c r="E103" s="84" t="s">
        <v>772</v>
      </c>
      <c r="F103" s="104">
        <v>3111</v>
      </c>
      <c r="G103" s="84" t="s">
        <v>313</v>
      </c>
      <c r="H103" s="105" t="s">
        <v>279</v>
      </c>
      <c r="I103" s="494">
        <v>1411409</v>
      </c>
      <c r="J103" s="489">
        <v>1039329</v>
      </c>
      <c r="K103" s="489">
        <v>0</v>
      </c>
      <c r="L103" s="489">
        <v>351293</v>
      </c>
      <c r="M103" s="489">
        <v>20787</v>
      </c>
      <c r="N103" s="489">
        <v>0</v>
      </c>
      <c r="O103" s="490">
        <v>3</v>
      </c>
      <c r="P103" s="491">
        <v>3</v>
      </c>
      <c r="Q103" s="658">
        <v>0</v>
      </c>
      <c r="R103" s="501">
        <f t="shared" si="111"/>
        <v>0</v>
      </c>
      <c r="S103" s="492">
        <v>0</v>
      </c>
      <c r="T103" s="492">
        <v>0</v>
      </c>
      <c r="U103" s="492">
        <v>0</v>
      </c>
      <c r="V103" s="492">
        <f>SUM(R103:U103)</f>
        <v>0</v>
      </c>
      <c r="W103" s="492">
        <v>0</v>
      </c>
      <c r="X103" s="492">
        <v>0</v>
      </c>
      <c r="Y103" s="492">
        <v>0</v>
      </c>
      <c r="Z103" s="492">
        <f t="shared" si="113"/>
        <v>0</v>
      </c>
      <c r="AA103" s="492">
        <f t="shared" si="114"/>
        <v>0</v>
      </c>
      <c r="AB103" s="74">
        <f t="shared" si="115"/>
        <v>0</v>
      </c>
      <c r="AC103" s="74">
        <f t="shared" si="116"/>
        <v>0</v>
      </c>
      <c r="AD103" s="492">
        <v>0</v>
      </c>
      <c r="AE103" s="492">
        <v>0</v>
      </c>
      <c r="AF103" s="492">
        <f>SUM(AD103:AE103)</f>
        <v>0</v>
      </c>
      <c r="AG103" s="492">
        <f>AA103+AB103+AC103+AF103</f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119"/>
        <v>0</v>
      </c>
      <c r="AP103" s="493">
        <f t="shared" si="120"/>
        <v>0</v>
      </c>
      <c r="AQ103" s="664">
        <f t="shared" si="121"/>
        <v>0</v>
      </c>
      <c r="AR103" s="502">
        <f>I103+AG103</f>
        <v>1411409</v>
      </c>
      <c r="AS103" s="492">
        <f>J103+V103</f>
        <v>1039329</v>
      </c>
      <c r="AT103" s="492">
        <f t="shared" si="153"/>
        <v>0</v>
      </c>
      <c r="AU103" s="492">
        <f t="shared" si="154"/>
        <v>351293</v>
      </c>
      <c r="AV103" s="492">
        <f t="shared" si="154"/>
        <v>20787</v>
      </c>
      <c r="AW103" s="492">
        <f>N103+AF103</f>
        <v>0</v>
      </c>
      <c r="AX103" s="493">
        <f>O103+AQ103</f>
        <v>3</v>
      </c>
      <c r="AY103" s="493">
        <f t="shared" si="155"/>
        <v>3</v>
      </c>
      <c r="AZ103" s="495">
        <f t="shared" si="155"/>
        <v>0</v>
      </c>
    </row>
    <row r="104" spans="1:52" s="106" customFormat="1" ht="14.1" customHeight="1" x14ac:dyDescent="0.2">
      <c r="A104" s="129">
        <v>15</v>
      </c>
      <c r="B104" s="84">
        <v>2438</v>
      </c>
      <c r="C104" s="103">
        <v>600079384</v>
      </c>
      <c r="D104" s="84">
        <v>72741911</v>
      </c>
      <c r="E104" s="84" t="s">
        <v>772</v>
      </c>
      <c r="F104" s="104">
        <v>3141</v>
      </c>
      <c r="G104" s="84" t="s">
        <v>316</v>
      </c>
      <c r="H104" s="105" t="s">
        <v>279</v>
      </c>
      <c r="I104" s="494">
        <v>2411349</v>
      </c>
      <c r="J104" s="655">
        <v>1764344</v>
      </c>
      <c r="K104" s="655">
        <v>0</v>
      </c>
      <c r="L104" s="489">
        <v>596348</v>
      </c>
      <c r="M104" s="489">
        <v>35287</v>
      </c>
      <c r="N104" s="655">
        <v>15370</v>
      </c>
      <c r="O104" s="490">
        <v>5.56</v>
      </c>
      <c r="P104" s="491">
        <v>0</v>
      </c>
      <c r="Q104" s="657">
        <v>5.56</v>
      </c>
      <c r="R104" s="501">
        <f t="shared" si="111"/>
        <v>0</v>
      </c>
      <c r="S104" s="492">
        <v>0</v>
      </c>
      <c r="T104" s="492">
        <v>0</v>
      </c>
      <c r="U104" s="492">
        <v>0</v>
      </c>
      <c r="V104" s="492">
        <f>SUM(R104:U104)</f>
        <v>0</v>
      </c>
      <c r="W104" s="492">
        <v>0</v>
      </c>
      <c r="X104" s="492">
        <v>0</v>
      </c>
      <c r="Y104" s="492">
        <v>0</v>
      </c>
      <c r="Z104" s="492">
        <f t="shared" si="113"/>
        <v>0</v>
      </c>
      <c r="AA104" s="492">
        <f t="shared" si="114"/>
        <v>0</v>
      </c>
      <c r="AB104" s="74">
        <f t="shared" si="115"/>
        <v>0</v>
      </c>
      <c r="AC104" s="74">
        <f t="shared" si="116"/>
        <v>0</v>
      </c>
      <c r="AD104" s="492">
        <v>0</v>
      </c>
      <c r="AE104" s="492">
        <v>0</v>
      </c>
      <c r="AF104" s="492">
        <f>SUM(AD104:AE104)</f>
        <v>0</v>
      </c>
      <c r="AG104" s="492">
        <f>AA104+AB104+AC104+AF104</f>
        <v>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 t="shared" si="119"/>
        <v>0</v>
      </c>
      <c r="AP104" s="493">
        <f t="shared" si="120"/>
        <v>0</v>
      </c>
      <c r="AQ104" s="664">
        <f t="shared" si="121"/>
        <v>0</v>
      </c>
      <c r="AR104" s="502">
        <f>I104+AG104</f>
        <v>2411349</v>
      </c>
      <c r="AS104" s="492">
        <f>J104+V104</f>
        <v>1764344</v>
      </c>
      <c r="AT104" s="492">
        <f t="shared" si="153"/>
        <v>0</v>
      </c>
      <c r="AU104" s="492">
        <f t="shared" si="154"/>
        <v>596348</v>
      </c>
      <c r="AV104" s="492">
        <f t="shared" si="154"/>
        <v>35287</v>
      </c>
      <c r="AW104" s="492">
        <f>N104+AF104</f>
        <v>15370</v>
      </c>
      <c r="AX104" s="493">
        <f>O104+AQ104</f>
        <v>5.56</v>
      </c>
      <c r="AY104" s="493">
        <f t="shared" si="155"/>
        <v>0</v>
      </c>
      <c r="AZ104" s="495">
        <f t="shared" si="155"/>
        <v>5.56</v>
      </c>
    </row>
    <row r="105" spans="1:52" s="106" customFormat="1" ht="14.1" customHeight="1" x14ac:dyDescent="0.2">
      <c r="A105" s="130">
        <v>15</v>
      </c>
      <c r="B105" s="107">
        <v>2438</v>
      </c>
      <c r="C105" s="108">
        <v>600079384</v>
      </c>
      <c r="D105" s="107">
        <v>72741911</v>
      </c>
      <c r="E105" s="107" t="s">
        <v>773</v>
      </c>
      <c r="F105" s="109"/>
      <c r="G105" s="110"/>
      <c r="H105" s="111"/>
      <c r="I105" s="525">
        <v>11964617</v>
      </c>
      <c r="J105" s="521">
        <v>8698747</v>
      </c>
      <c r="K105" s="521">
        <v>67600</v>
      </c>
      <c r="L105" s="521">
        <v>2963025</v>
      </c>
      <c r="M105" s="521">
        <v>173975</v>
      </c>
      <c r="N105" s="521">
        <v>61270</v>
      </c>
      <c r="O105" s="522">
        <v>21.5322</v>
      </c>
      <c r="P105" s="522">
        <v>13</v>
      </c>
      <c r="Q105" s="113">
        <v>8.5321999999999996</v>
      </c>
      <c r="R105" s="529">
        <f t="shared" ref="R105:AZ105" si="156">SUM(R102:R104)</f>
        <v>0</v>
      </c>
      <c r="S105" s="521">
        <f t="shared" si="156"/>
        <v>0</v>
      </c>
      <c r="T105" s="521">
        <f t="shared" si="156"/>
        <v>0</v>
      </c>
      <c r="U105" s="521">
        <f t="shared" si="156"/>
        <v>0</v>
      </c>
      <c r="V105" s="521">
        <f t="shared" si="156"/>
        <v>0</v>
      </c>
      <c r="W105" s="521">
        <f t="shared" si="156"/>
        <v>0</v>
      </c>
      <c r="X105" s="521">
        <f t="shared" si="156"/>
        <v>0</v>
      </c>
      <c r="Y105" s="521">
        <f t="shared" si="156"/>
        <v>0</v>
      </c>
      <c r="Z105" s="521">
        <f t="shared" si="156"/>
        <v>0</v>
      </c>
      <c r="AA105" s="521">
        <f t="shared" si="156"/>
        <v>0</v>
      </c>
      <c r="AB105" s="521">
        <f t="shared" si="156"/>
        <v>0</v>
      </c>
      <c r="AC105" s="521">
        <f t="shared" si="156"/>
        <v>0</v>
      </c>
      <c r="AD105" s="521">
        <f t="shared" si="156"/>
        <v>0</v>
      </c>
      <c r="AE105" s="521">
        <f t="shared" si="156"/>
        <v>0</v>
      </c>
      <c r="AF105" s="521">
        <f t="shared" si="156"/>
        <v>0</v>
      </c>
      <c r="AG105" s="521">
        <f t="shared" si="156"/>
        <v>0</v>
      </c>
      <c r="AH105" s="522">
        <f t="shared" si="156"/>
        <v>0</v>
      </c>
      <c r="AI105" s="522">
        <f t="shared" si="156"/>
        <v>0</v>
      </c>
      <c r="AJ105" s="522">
        <f t="shared" si="156"/>
        <v>0</v>
      </c>
      <c r="AK105" s="522">
        <f t="shared" ref="AK105:AL105" si="157">SUM(AK102:AK104)</f>
        <v>0</v>
      </c>
      <c r="AL105" s="522">
        <f t="shared" si="157"/>
        <v>0</v>
      </c>
      <c r="AM105" s="522">
        <f t="shared" si="156"/>
        <v>0</v>
      </c>
      <c r="AN105" s="522">
        <f t="shared" si="156"/>
        <v>0</v>
      </c>
      <c r="AO105" s="522">
        <f t="shared" si="156"/>
        <v>0</v>
      </c>
      <c r="AP105" s="522">
        <f t="shared" si="156"/>
        <v>0</v>
      </c>
      <c r="AQ105" s="527">
        <f t="shared" si="156"/>
        <v>0</v>
      </c>
      <c r="AR105" s="525">
        <f t="shared" si="156"/>
        <v>11964617</v>
      </c>
      <c r="AS105" s="521">
        <f t="shared" si="156"/>
        <v>8698747</v>
      </c>
      <c r="AT105" s="521">
        <f t="shared" si="156"/>
        <v>67600</v>
      </c>
      <c r="AU105" s="521">
        <f t="shared" si="156"/>
        <v>2963025</v>
      </c>
      <c r="AV105" s="521">
        <f t="shared" si="156"/>
        <v>173975</v>
      </c>
      <c r="AW105" s="521">
        <f t="shared" si="156"/>
        <v>61270</v>
      </c>
      <c r="AX105" s="522">
        <f t="shared" si="156"/>
        <v>21.5322</v>
      </c>
      <c r="AY105" s="522">
        <f t="shared" si="156"/>
        <v>13</v>
      </c>
      <c r="AZ105" s="113">
        <f t="shared" si="156"/>
        <v>8.5321999999999996</v>
      </c>
    </row>
    <row r="106" spans="1:52" s="106" customFormat="1" ht="14.1" customHeight="1" x14ac:dyDescent="0.2">
      <c r="A106" s="129">
        <v>16</v>
      </c>
      <c r="B106" s="84">
        <v>2315</v>
      </c>
      <c r="C106" s="103">
        <v>600080447</v>
      </c>
      <c r="D106" s="84">
        <v>46744819</v>
      </c>
      <c r="E106" s="84" t="s">
        <v>774</v>
      </c>
      <c r="F106" s="104">
        <v>3233</v>
      </c>
      <c r="G106" s="84" t="s">
        <v>319</v>
      </c>
      <c r="H106" s="105" t="s">
        <v>279</v>
      </c>
      <c r="I106" s="494">
        <v>2442950</v>
      </c>
      <c r="J106" s="489">
        <v>1720373</v>
      </c>
      <c r="K106" s="489">
        <v>78000</v>
      </c>
      <c r="L106" s="489">
        <v>607850</v>
      </c>
      <c r="M106" s="489">
        <v>34407</v>
      </c>
      <c r="N106" s="489">
        <v>2320</v>
      </c>
      <c r="O106" s="490">
        <v>3.67</v>
      </c>
      <c r="P106" s="491">
        <v>2.61</v>
      </c>
      <c r="Q106" s="658">
        <v>1.0599999999999998</v>
      </c>
      <c r="R106" s="501">
        <f t="shared" si="111"/>
        <v>0</v>
      </c>
      <c r="S106" s="492">
        <v>0</v>
      </c>
      <c r="T106" s="492">
        <v>0</v>
      </c>
      <c r="U106" s="492">
        <v>0</v>
      </c>
      <c r="V106" s="492">
        <f>SUM(R106:U106)</f>
        <v>0</v>
      </c>
      <c r="W106" s="492">
        <v>0</v>
      </c>
      <c r="X106" s="492">
        <v>0</v>
      </c>
      <c r="Y106" s="492">
        <v>0</v>
      </c>
      <c r="Z106" s="492">
        <f t="shared" si="113"/>
        <v>0</v>
      </c>
      <c r="AA106" s="492">
        <f t="shared" si="114"/>
        <v>0</v>
      </c>
      <c r="AB106" s="74">
        <f t="shared" si="115"/>
        <v>0</v>
      </c>
      <c r="AC106" s="74">
        <f t="shared" si="116"/>
        <v>0</v>
      </c>
      <c r="AD106" s="492">
        <v>0</v>
      </c>
      <c r="AE106" s="492">
        <v>13630</v>
      </c>
      <c r="AF106" s="492">
        <f>SUM(AD106:AE106)</f>
        <v>13630</v>
      </c>
      <c r="AG106" s="492">
        <f>AA106+AB106+AC106+AF106</f>
        <v>13630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119"/>
        <v>0</v>
      </c>
      <c r="AP106" s="493">
        <f t="shared" si="120"/>
        <v>0</v>
      </c>
      <c r="AQ106" s="664">
        <f t="shared" si="121"/>
        <v>0</v>
      </c>
      <c r="AR106" s="502">
        <f>I106+AG106</f>
        <v>2456580</v>
      </c>
      <c r="AS106" s="492">
        <f>J106+V106</f>
        <v>1720373</v>
      </c>
      <c r="AT106" s="492">
        <f>K106+Z106</f>
        <v>78000</v>
      </c>
      <c r="AU106" s="492">
        <f>L106+AB106</f>
        <v>607850</v>
      </c>
      <c r="AV106" s="492">
        <f>M106+AC106</f>
        <v>34407</v>
      </c>
      <c r="AW106" s="492">
        <f>N106+AF106</f>
        <v>15950</v>
      </c>
      <c r="AX106" s="493">
        <f>O106+AQ106</f>
        <v>3.67</v>
      </c>
      <c r="AY106" s="493">
        <f>P106+AO106</f>
        <v>2.61</v>
      </c>
      <c r="AZ106" s="495">
        <f>Q106+AP106</f>
        <v>1.0599999999999998</v>
      </c>
    </row>
    <row r="107" spans="1:52" s="106" customFormat="1" ht="14.1" customHeight="1" x14ac:dyDescent="0.2">
      <c r="A107" s="130">
        <v>16</v>
      </c>
      <c r="B107" s="107">
        <v>2315</v>
      </c>
      <c r="C107" s="108">
        <v>600080447</v>
      </c>
      <c r="D107" s="107">
        <v>46744819</v>
      </c>
      <c r="E107" s="107" t="s">
        <v>775</v>
      </c>
      <c r="F107" s="109"/>
      <c r="G107" s="110"/>
      <c r="H107" s="111"/>
      <c r="I107" s="525">
        <v>2442950</v>
      </c>
      <c r="J107" s="521">
        <v>1720373</v>
      </c>
      <c r="K107" s="521">
        <v>78000</v>
      </c>
      <c r="L107" s="521">
        <v>607850</v>
      </c>
      <c r="M107" s="521">
        <v>34407</v>
      </c>
      <c r="N107" s="521">
        <v>2320</v>
      </c>
      <c r="O107" s="522">
        <v>3.67</v>
      </c>
      <c r="P107" s="522">
        <v>2.61</v>
      </c>
      <c r="Q107" s="113">
        <v>1.0599999999999998</v>
      </c>
      <c r="R107" s="529">
        <f t="shared" ref="R107:AZ107" si="158">SUM(R106:R106)</f>
        <v>0</v>
      </c>
      <c r="S107" s="521">
        <f t="shared" si="158"/>
        <v>0</v>
      </c>
      <c r="T107" s="521">
        <f t="shared" si="158"/>
        <v>0</v>
      </c>
      <c r="U107" s="521">
        <f t="shared" si="158"/>
        <v>0</v>
      </c>
      <c r="V107" s="521">
        <f t="shared" si="158"/>
        <v>0</v>
      </c>
      <c r="W107" s="521">
        <f t="shared" si="158"/>
        <v>0</v>
      </c>
      <c r="X107" s="521">
        <f t="shared" si="158"/>
        <v>0</v>
      </c>
      <c r="Y107" s="521">
        <f t="shared" si="158"/>
        <v>0</v>
      </c>
      <c r="Z107" s="521">
        <f t="shared" si="158"/>
        <v>0</v>
      </c>
      <c r="AA107" s="521">
        <f t="shared" si="158"/>
        <v>0</v>
      </c>
      <c r="AB107" s="521">
        <f t="shared" si="158"/>
        <v>0</v>
      </c>
      <c r="AC107" s="521">
        <f t="shared" si="158"/>
        <v>0</v>
      </c>
      <c r="AD107" s="521">
        <f t="shared" si="158"/>
        <v>0</v>
      </c>
      <c r="AE107" s="521">
        <f t="shared" si="158"/>
        <v>13630</v>
      </c>
      <c r="AF107" s="521">
        <f t="shared" si="158"/>
        <v>13630</v>
      </c>
      <c r="AG107" s="521">
        <f t="shared" si="158"/>
        <v>13630</v>
      </c>
      <c r="AH107" s="522">
        <f t="shared" si="158"/>
        <v>0</v>
      </c>
      <c r="AI107" s="522">
        <f t="shared" si="158"/>
        <v>0</v>
      </c>
      <c r="AJ107" s="522">
        <f t="shared" si="158"/>
        <v>0</v>
      </c>
      <c r="AK107" s="522">
        <f t="shared" ref="AK107:AL107" si="159">SUM(AK106:AK106)</f>
        <v>0</v>
      </c>
      <c r="AL107" s="522">
        <f t="shared" si="159"/>
        <v>0</v>
      </c>
      <c r="AM107" s="522">
        <f t="shared" si="158"/>
        <v>0</v>
      </c>
      <c r="AN107" s="522">
        <f t="shared" si="158"/>
        <v>0</v>
      </c>
      <c r="AO107" s="522">
        <f t="shared" si="158"/>
        <v>0</v>
      </c>
      <c r="AP107" s="522">
        <f t="shared" si="158"/>
        <v>0</v>
      </c>
      <c r="AQ107" s="527">
        <f t="shared" si="158"/>
        <v>0</v>
      </c>
      <c r="AR107" s="525">
        <f t="shared" si="158"/>
        <v>2456580</v>
      </c>
      <c r="AS107" s="521">
        <f t="shared" si="158"/>
        <v>1720373</v>
      </c>
      <c r="AT107" s="521">
        <f t="shared" si="158"/>
        <v>78000</v>
      </c>
      <c r="AU107" s="521">
        <f t="shared" si="158"/>
        <v>607850</v>
      </c>
      <c r="AV107" s="521">
        <f t="shared" si="158"/>
        <v>34407</v>
      </c>
      <c r="AW107" s="521">
        <f t="shared" si="158"/>
        <v>15950</v>
      </c>
      <c r="AX107" s="522">
        <f t="shared" si="158"/>
        <v>3.67</v>
      </c>
      <c r="AY107" s="522">
        <f t="shared" si="158"/>
        <v>2.61</v>
      </c>
      <c r="AZ107" s="113">
        <f t="shared" si="158"/>
        <v>1.0599999999999998</v>
      </c>
    </row>
    <row r="108" spans="1:52" s="106" customFormat="1" ht="14.1" customHeight="1" x14ac:dyDescent="0.2">
      <c r="A108" s="129">
        <v>17</v>
      </c>
      <c r="B108" s="84">
        <v>2494</v>
      </c>
      <c r="C108" s="103">
        <v>600080315</v>
      </c>
      <c r="D108" s="84">
        <v>72741996</v>
      </c>
      <c r="E108" s="84" t="s">
        <v>776</v>
      </c>
      <c r="F108" s="104">
        <v>3113</v>
      </c>
      <c r="G108" s="84" t="s">
        <v>315</v>
      </c>
      <c r="H108" s="105" t="s">
        <v>278</v>
      </c>
      <c r="I108" s="494">
        <v>25574683</v>
      </c>
      <c r="J108" s="655">
        <v>18459789</v>
      </c>
      <c r="K108" s="655">
        <v>0</v>
      </c>
      <c r="L108" s="489">
        <v>6239408</v>
      </c>
      <c r="M108" s="489">
        <v>369196</v>
      </c>
      <c r="N108" s="655">
        <v>506290</v>
      </c>
      <c r="O108" s="490">
        <v>35.203600000000002</v>
      </c>
      <c r="P108" s="491">
        <v>26.894200000000001</v>
      </c>
      <c r="Q108" s="657">
        <v>8.3094000000000001</v>
      </c>
      <c r="R108" s="501">
        <f t="shared" si="111"/>
        <v>0</v>
      </c>
      <c r="S108" s="492">
        <v>0</v>
      </c>
      <c r="T108" s="492">
        <v>0</v>
      </c>
      <c r="U108" s="492">
        <v>0</v>
      </c>
      <c r="V108" s="492">
        <f>SUM(R108:U108)</f>
        <v>0</v>
      </c>
      <c r="W108" s="492">
        <v>0</v>
      </c>
      <c r="X108" s="492">
        <v>0</v>
      </c>
      <c r="Y108" s="492">
        <v>0</v>
      </c>
      <c r="Z108" s="492">
        <f t="shared" si="113"/>
        <v>0</v>
      </c>
      <c r="AA108" s="492">
        <f t="shared" si="114"/>
        <v>0</v>
      </c>
      <c r="AB108" s="74">
        <f t="shared" si="115"/>
        <v>0</v>
      </c>
      <c r="AC108" s="74">
        <f t="shared" si="116"/>
        <v>0</v>
      </c>
      <c r="AD108" s="492">
        <v>0</v>
      </c>
      <c r="AE108" s="492">
        <v>0</v>
      </c>
      <c r="AF108" s="492">
        <f>SUM(AD108:AE108)</f>
        <v>0</v>
      </c>
      <c r="AG108" s="492">
        <f>AA108+AB108+AC108+AF108</f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si="119"/>
        <v>0</v>
      </c>
      <c r="AP108" s="493">
        <f t="shared" si="120"/>
        <v>0</v>
      </c>
      <c r="AQ108" s="664">
        <f t="shared" si="121"/>
        <v>0</v>
      </c>
      <c r="AR108" s="502">
        <f>I108+AG108</f>
        <v>25574683</v>
      </c>
      <c r="AS108" s="492">
        <f>J108+V108</f>
        <v>18459789</v>
      </c>
      <c r="AT108" s="492">
        <f t="shared" ref="AT108:AT112" si="160">K108+Z108</f>
        <v>0</v>
      </c>
      <c r="AU108" s="492">
        <f t="shared" ref="AU108:AV112" si="161">L108+AB108</f>
        <v>6239408</v>
      </c>
      <c r="AV108" s="492">
        <f t="shared" si="161"/>
        <v>369196</v>
      </c>
      <c r="AW108" s="492">
        <f>N108+AF108</f>
        <v>506290</v>
      </c>
      <c r="AX108" s="493">
        <f>O108+AQ108</f>
        <v>35.203600000000002</v>
      </c>
      <c r="AY108" s="493">
        <f t="shared" ref="AY108:AZ112" si="162">P108+AO108</f>
        <v>26.894200000000001</v>
      </c>
      <c r="AZ108" s="495">
        <f t="shared" si="162"/>
        <v>8.3094000000000001</v>
      </c>
    </row>
    <row r="109" spans="1:52" s="106" customFormat="1" ht="14.1" customHeight="1" x14ac:dyDescent="0.2">
      <c r="A109" s="129">
        <v>17</v>
      </c>
      <c r="B109" s="84">
        <v>2494</v>
      </c>
      <c r="C109" s="103">
        <v>600080315</v>
      </c>
      <c r="D109" s="84">
        <v>72741996</v>
      </c>
      <c r="E109" s="84" t="s">
        <v>776</v>
      </c>
      <c r="F109" s="104">
        <v>3113</v>
      </c>
      <c r="G109" s="48" t="s">
        <v>314</v>
      </c>
      <c r="H109" s="105" t="s">
        <v>278</v>
      </c>
      <c r="I109" s="494">
        <v>834642</v>
      </c>
      <c r="J109" s="655">
        <v>614611</v>
      </c>
      <c r="K109" s="655">
        <v>0</v>
      </c>
      <c r="L109" s="489">
        <v>207739</v>
      </c>
      <c r="M109" s="489">
        <v>12292</v>
      </c>
      <c r="N109" s="489">
        <v>0</v>
      </c>
      <c r="O109" s="490">
        <v>1.5277000000000001</v>
      </c>
      <c r="P109" s="491">
        <v>1.5277000000000001</v>
      </c>
      <c r="Q109" s="657">
        <v>0</v>
      </c>
      <c r="R109" s="501">
        <f t="shared" si="111"/>
        <v>0</v>
      </c>
      <c r="S109" s="492">
        <v>0</v>
      </c>
      <c r="T109" s="492">
        <v>0</v>
      </c>
      <c r="U109" s="492">
        <v>0</v>
      </c>
      <c r="V109" s="492">
        <f>SUM(R109:U109)</f>
        <v>0</v>
      </c>
      <c r="W109" s="492">
        <v>0</v>
      </c>
      <c r="X109" s="492">
        <v>0</v>
      </c>
      <c r="Y109" s="492">
        <v>0</v>
      </c>
      <c r="Z109" s="492">
        <f t="shared" si="113"/>
        <v>0</v>
      </c>
      <c r="AA109" s="492">
        <f t="shared" si="114"/>
        <v>0</v>
      </c>
      <c r="AB109" s="74">
        <f t="shared" si="115"/>
        <v>0</v>
      </c>
      <c r="AC109" s="74">
        <f t="shared" si="116"/>
        <v>0</v>
      </c>
      <c r="AD109" s="492">
        <v>0</v>
      </c>
      <c r="AE109" s="492">
        <v>0</v>
      </c>
      <c r="AF109" s="492">
        <f>SUM(AD109:AE109)</f>
        <v>0</v>
      </c>
      <c r="AG109" s="492">
        <f>AA109+AB109+AC109+AF109</f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si="119"/>
        <v>0</v>
      </c>
      <c r="AP109" s="493">
        <f t="shared" si="120"/>
        <v>0</v>
      </c>
      <c r="AQ109" s="664">
        <f t="shared" si="121"/>
        <v>0</v>
      </c>
      <c r="AR109" s="502">
        <f>I109+AG109</f>
        <v>834642</v>
      </c>
      <c r="AS109" s="492">
        <f>J109+V109</f>
        <v>614611</v>
      </c>
      <c r="AT109" s="492">
        <f t="shared" si="160"/>
        <v>0</v>
      </c>
      <c r="AU109" s="492">
        <f t="shared" si="161"/>
        <v>207739</v>
      </c>
      <c r="AV109" s="492">
        <f t="shared" si="161"/>
        <v>12292</v>
      </c>
      <c r="AW109" s="492">
        <f>N109+AF109</f>
        <v>0</v>
      </c>
      <c r="AX109" s="493">
        <f>O109+AQ109</f>
        <v>1.5277000000000001</v>
      </c>
      <c r="AY109" s="493">
        <f t="shared" si="162"/>
        <v>1.5277000000000001</v>
      </c>
      <c r="AZ109" s="495">
        <f t="shared" si="162"/>
        <v>0</v>
      </c>
    </row>
    <row r="110" spans="1:52" s="106" customFormat="1" ht="14.1" customHeight="1" x14ac:dyDescent="0.2">
      <c r="A110" s="129">
        <v>17</v>
      </c>
      <c r="B110" s="112">
        <v>2494</v>
      </c>
      <c r="C110" s="103">
        <v>600080315</v>
      </c>
      <c r="D110" s="84">
        <v>72741996</v>
      </c>
      <c r="E110" s="112" t="s">
        <v>776</v>
      </c>
      <c r="F110" s="104">
        <v>3113</v>
      </c>
      <c r="G110" s="84" t="s">
        <v>313</v>
      </c>
      <c r="H110" s="105" t="s">
        <v>279</v>
      </c>
      <c r="I110" s="494">
        <v>3207382</v>
      </c>
      <c r="J110" s="489">
        <v>2361842</v>
      </c>
      <c r="K110" s="489">
        <v>0</v>
      </c>
      <c r="L110" s="489">
        <v>798303</v>
      </c>
      <c r="M110" s="489">
        <v>47237</v>
      </c>
      <c r="N110" s="489">
        <v>0</v>
      </c>
      <c r="O110" s="490">
        <v>6.72</v>
      </c>
      <c r="P110" s="491">
        <v>6.72</v>
      </c>
      <c r="Q110" s="658">
        <v>0</v>
      </c>
      <c r="R110" s="501">
        <f t="shared" si="111"/>
        <v>0</v>
      </c>
      <c r="S110" s="492">
        <v>0</v>
      </c>
      <c r="T110" s="492">
        <v>0</v>
      </c>
      <c r="U110" s="492">
        <v>0</v>
      </c>
      <c r="V110" s="492">
        <f>SUM(R110:U110)</f>
        <v>0</v>
      </c>
      <c r="W110" s="492">
        <v>0</v>
      </c>
      <c r="X110" s="492">
        <v>0</v>
      </c>
      <c r="Y110" s="492">
        <v>0</v>
      </c>
      <c r="Z110" s="492">
        <f t="shared" si="113"/>
        <v>0</v>
      </c>
      <c r="AA110" s="492">
        <f t="shared" si="114"/>
        <v>0</v>
      </c>
      <c r="AB110" s="74">
        <f t="shared" si="115"/>
        <v>0</v>
      </c>
      <c r="AC110" s="74">
        <f t="shared" si="116"/>
        <v>0</v>
      </c>
      <c r="AD110" s="492">
        <v>0</v>
      </c>
      <c r="AE110" s="492">
        <v>0</v>
      </c>
      <c r="AF110" s="492">
        <f>SUM(AD110:AE110)</f>
        <v>0</v>
      </c>
      <c r="AG110" s="492">
        <f>AA110+AB110+AC110+AF110</f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119"/>
        <v>0</v>
      </c>
      <c r="AP110" s="493">
        <f t="shared" si="120"/>
        <v>0</v>
      </c>
      <c r="AQ110" s="664">
        <f t="shared" si="121"/>
        <v>0</v>
      </c>
      <c r="AR110" s="502">
        <f>I110+AG110</f>
        <v>3207382</v>
      </c>
      <c r="AS110" s="492">
        <f>J110+V110</f>
        <v>2361842</v>
      </c>
      <c r="AT110" s="492">
        <f t="shared" si="160"/>
        <v>0</v>
      </c>
      <c r="AU110" s="492">
        <f t="shared" si="161"/>
        <v>798303</v>
      </c>
      <c r="AV110" s="492">
        <f t="shared" si="161"/>
        <v>47237</v>
      </c>
      <c r="AW110" s="492">
        <f>N110+AF110</f>
        <v>0</v>
      </c>
      <c r="AX110" s="493">
        <f>O110+AQ110</f>
        <v>6.72</v>
      </c>
      <c r="AY110" s="493">
        <f t="shared" si="162"/>
        <v>6.72</v>
      </c>
      <c r="AZ110" s="495">
        <f t="shared" si="162"/>
        <v>0</v>
      </c>
    </row>
    <row r="111" spans="1:52" s="106" customFormat="1" ht="14.1" customHeight="1" x14ac:dyDescent="0.2">
      <c r="A111" s="129">
        <v>17</v>
      </c>
      <c r="B111" s="84">
        <v>2494</v>
      </c>
      <c r="C111" s="103">
        <v>600080315</v>
      </c>
      <c r="D111" s="84">
        <v>72741996</v>
      </c>
      <c r="E111" s="84" t="s">
        <v>776</v>
      </c>
      <c r="F111" s="104">
        <v>3143</v>
      </c>
      <c r="G111" s="84" t="s">
        <v>629</v>
      </c>
      <c r="H111" s="105" t="s">
        <v>278</v>
      </c>
      <c r="I111" s="494">
        <v>1486937</v>
      </c>
      <c r="J111" s="656">
        <v>1094946</v>
      </c>
      <c r="K111" s="656">
        <v>0</v>
      </c>
      <c r="L111" s="489">
        <v>370092</v>
      </c>
      <c r="M111" s="489">
        <v>21899</v>
      </c>
      <c r="N111" s="489">
        <v>0</v>
      </c>
      <c r="O111" s="490">
        <v>2.286</v>
      </c>
      <c r="P111" s="14">
        <v>2.286</v>
      </c>
      <c r="Q111" s="658">
        <v>0</v>
      </c>
      <c r="R111" s="501">
        <f t="shared" si="111"/>
        <v>0</v>
      </c>
      <c r="S111" s="492">
        <v>0</v>
      </c>
      <c r="T111" s="492">
        <v>0</v>
      </c>
      <c r="U111" s="492">
        <v>0</v>
      </c>
      <c r="V111" s="492">
        <f>SUM(R111:U111)</f>
        <v>0</v>
      </c>
      <c r="W111" s="492">
        <v>0</v>
      </c>
      <c r="X111" s="492">
        <v>0</v>
      </c>
      <c r="Y111" s="492">
        <v>0</v>
      </c>
      <c r="Z111" s="492">
        <f t="shared" si="113"/>
        <v>0</v>
      </c>
      <c r="AA111" s="492">
        <f t="shared" si="114"/>
        <v>0</v>
      </c>
      <c r="AB111" s="74">
        <f t="shared" si="115"/>
        <v>0</v>
      </c>
      <c r="AC111" s="74">
        <f t="shared" si="116"/>
        <v>0</v>
      </c>
      <c r="AD111" s="492">
        <v>0</v>
      </c>
      <c r="AE111" s="492">
        <v>0</v>
      </c>
      <c r="AF111" s="492">
        <f>SUM(AD111:AE111)</f>
        <v>0</v>
      </c>
      <c r="AG111" s="492">
        <f>AA111+AB111+AC111+AF111</f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si="119"/>
        <v>0</v>
      </c>
      <c r="AP111" s="493">
        <f t="shared" si="120"/>
        <v>0</v>
      </c>
      <c r="AQ111" s="664">
        <f t="shared" si="121"/>
        <v>0</v>
      </c>
      <c r="AR111" s="502">
        <f>I111+AG111</f>
        <v>1486937</v>
      </c>
      <c r="AS111" s="492">
        <f>J111+V111</f>
        <v>1094946</v>
      </c>
      <c r="AT111" s="492">
        <f t="shared" si="160"/>
        <v>0</v>
      </c>
      <c r="AU111" s="492">
        <f t="shared" si="161"/>
        <v>370092</v>
      </c>
      <c r="AV111" s="492">
        <f t="shared" si="161"/>
        <v>21899</v>
      </c>
      <c r="AW111" s="492">
        <f>N111+AF111</f>
        <v>0</v>
      </c>
      <c r="AX111" s="493">
        <f>O111+AQ111</f>
        <v>2.286</v>
      </c>
      <c r="AY111" s="493">
        <f t="shared" si="162"/>
        <v>2.286</v>
      </c>
      <c r="AZ111" s="495">
        <f t="shared" si="162"/>
        <v>0</v>
      </c>
    </row>
    <row r="112" spans="1:52" s="106" customFormat="1" ht="14.1" customHeight="1" x14ac:dyDescent="0.2">
      <c r="A112" s="129">
        <v>17</v>
      </c>
      <c r="B112" s="84">
        <v>2494</v>
      </c>
      <c r="C112" s="103">
        <v>600080315</v>
      </c>
      <c r="D112" s="84">
        <v>72741996</v>
      </c>
      <c r="E112" s="84" t="s">
        <v>776</v>
      </c>
      <c r="F112" s="104">
        <v>3143</v>
      </c>
      <c r="G112" s="84" t="s">
        <v>630</v>
      </c>
      <c r="H112" s="105" t="s">
        <v>279</v>
      </c>
      <c r="I112" s="494">
        <v>49141</v>
      </c>
      <c r="J112" s="655">
        <v>34750</v>
      </c>
      <c r="K112" s="655">
        <v>0</v>
      </c>
      <c r="L112" s="489">
        <v>11746</v>
      </c>
      <c r="M112" s="489">
        <v>695</v>
      </c>
      <c r="N112" s="655">
        <v>1950</v>
      </c>
      <c r="O112" s="490">
        <v>0.14000000000000001</v>
      </c>
      <c r="P112" s="491">
        <v>0</v>
      </c>
      <c r="Q112" s="657">
        <v>0.14000000000000001</v>
      </c>
      <c r="R112" s="501">
        <f t="shared" si="111"/>
        <v>0</v>
      </c>
      <c r="S112" s="492">
        <v>0</v>
      </c>
      <c r="T112" s="492">
        <v>0</v>
      </c>
      <c r="U112" s="492">
        <v>0</v>
      </c>
      <c r="V112" s="492">
        <f>SUM(R112:U112)</f>
        <v>0</v>
      </c>
      <c r="W112" s="492">
        <v>0</v>
      </c>
      <c r="X112" s="492">
        <v>0</v>
      </c>
      <c r="Y112" s="492">
        <v>0</v>
      </c>
      <c r="Z112" s="492">
        <f t="shared" si="113"/>
        <v>0</v>
      </c>
      <c r="AA112" s="492">
        <f t="shared" si="114"/>
        <v>0</v>
      </c>
      <c r="AB112" s="74">
        <f t="shared" si="115"/>
        <v>0</v>
      </c>
      <c r="AC112" s="74">
        <f t="shared" si="116"/>
        <v>0</v>
      </c>
      <c r="AD112" s="492">
        <v>0</v>
      </c>
      <c r="AE112" s="492">
        <v>0</v>
      </c>
      <c r="AF112" s="492">
        <f>SUM(AD112:AE112)</f>
        <v>0</v>
      </c>
      <c r="AG112" s="492">
        <f>AA112+AB112+AC112+AF112</f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119"/>
        <v>0</v>
      </c>
      <c r="AP112" s="493">
        <f t="shared" si="120"/>
        <v>0</v>
      </c>
      <c r="AQ112" s="664">
        <f t="shared" si="121"/>
        <v>0</v>
      </c>
      <c r="AR112" s="502">
        <f>I112+AG112</f>
        <v>49141</v>
      </c>
      <c r="AS112" s="492">
        <f>J112+V112</f>
        <v>34750</v>
      </c>
      <c r="AT112" s="492">
        <f t="shared" si="160"/>
        <v>0</v>
      </c>
      <c r="AU112" s="492">
        <f t="shared" si="161"/>
        <v>11746</v>
      </c>
      <c r="AV112" s="492">
        <f t="shared" si="161"/>
        <v>695</v>
      </c>
      <c r="AW112" s="492">
        <f>N112+AF112</f>
        <v>1950</v>
      </c>
      <c r="AX112" s="493">
        <f>O112+AQ112</f>
        <v>0.14000000000000001</v>
      </c>
      <c r="AY112" s="493">
        <f t="shared" si="162"/>
        <v>0</v>
      </c>
      <c r="AZ112" s="495">
        <f t="shared" si="162"/>
        <v>0.14000000000000001</v>
      </c>
    </row>
    <row r="113" spans="1:52" s="106" customFormat="1" ht="14.1" customHeight="1" x14ac:dyDescent="0.2">
      <c r="A113" s="130">
        <v>17</v>
      </c>
      <c r="B113" s="107">
        <v>2494</v>
      </c>
      <c r="C113" s="108">
        <v>600080315</v>
      </c>
      <c r="D113" s="107">
        <v>72741996</v>
      </c>
      <c r="E113" s="107" t="s">
        <v>777</v>
      </c>
      <c r="F113" s="109"/>
      <c r="G113" s="110"/>
      <c r="H113" s="111"/>
      <c r="I113" s="525">
        <v>31152785</v>
      </c>
      <c r="J113" s="521">
        <v>22565938</v>
      </c>
      <c r="K113" s="521">
        <v>0</v>
      </c>
      <c r="L113" s="521">
        <v>7627288</v>
      </c>
      <c r="M113" s="521">
        <v>451319</v>
      </c>
      <c r="N113" s="521">
        <v>508240</v>
      </c>
      <c r="O113" s="522">
        <v>45.877300000000005</v>
      </c>
      <c r="P113" s="522">
        <v>37.427900000000001</v>
      </c>
      <c r="Q113" s="113">
        <v>8.4494000000000007</v>
      </c>
      <c r="R113" s="529">
        <f t="shared" ref="R113:AZ113" si="163">SUM(R108:R112)</f>
        <v>0</v>
      </c>
      <c r="S113" s="521">
        <f t="shared" si="163"/>
        <v>0</v>
      </c>
      <c r="T113" s="521">
        <f t="shared" si="163"/>
        <v>0</v>
      </c>
      <c r="U113" s="521">
        <f t="shared" si="163"/>
        <v>0</v>
      </c>
      <c r="V113" s="521">
        <f t="shared" si="163"/>
        <v>0</v>
      </c>
      <c r="W113" s="521">
        <f t="shared" si="163"/>
        <v>0</v>
      </c>
      <c r="X113" s="521">
        <f t="shared" si="163"/>
        <v>0</v>
      </c>
      <c r="Y113" s="521">
        <f t="shared" si="163"/>
        <v>0</v>
      </c>
      <c r="Z113" s="521">
        <f t="shared" si="163"/>
        <v>0</v>
      </c>
      <c r="AA113" s="521">
        <f t="shared" si="163"/>
        <v>0</v>
      </c>
      <c r="AB113" s="521">
        <f t="shared" si="163"/>
        <v>0</v>
      </c>
      <c r="AC113" s="521">
        <f t="shared" si="163"/>
        <v>0</v>
      </c>
      <c r="AD113" s="521">
        <f t="shared" si="163"/>
        <v>0</v>
      </c>
      <c r="AE113" s="521">
        <f t="shared" si="163"/>
        <v>0</v>
      </c>
      <c r="AF113" s="521">
        <f t="shared" si="163"/>
        <v>0</v>
      </c>
      <c r="AG113" s="521">
        <f t="shared" si="163"/>
        <v>0</v>
      </c>
      <c r="AH113" s="522">
        <f t="shared" si="163"/>
        <v>0</v>
      </c>
      <c r="AI113" s="522">
        <f t="shared" si="163"/>
        <v>0</v>
      </c>
      <c r="AJ113" s="522">
        <f t="shared" si="163"/>
        <v>0</v>
      </c>
      <c r="AK113" s="522">
        <f t="shared" ref="AK113:AL113" si="164">SUM(AK108:AK112)</f>
        <v>0</v>
      </c>
      <c r="AL113" s="522">
        <f t="shared" si="164"/>
        <v>0</v>
      </c>
      <c r="AM113" s="522">
        <f t="shared" si="163"/>
        <v>0</v>
      </c>
      <c r="AN113" s="522">
        <f t="shared" si="163"/>
        <v>0</v>
      </c>
      <c r="AO113" s="522">
        <f t="shared" si="163"/>
        <v>0</v>
      </c>
      <c r="AP113" s="522">
        <f t="shared" si="163"/>
        <v>0</v>
      </c>
      <c r="AQ113" s="527">
        <f t="shared" si="163"/>
        <v>0</v>
      </c>
      <c r="AR113" s="525">
        <f t="shared" si="163"/>
        <v>31152785</v>
      </c>
      <c r="AS113" s="521">
        <f t="shared" si="163"/>
        <v>22565938</v>
      </c>
      <c r="AT113" s="521">
        <f t="shared" si="163"/>
        <v>0</v>
      </c>
      <c r="AU113" s="521">
        <f t="shared" si="163"/>
        <v>7627288</v>
      </c>
      <c r="AV113" s="521">
        <f t="shared" si="163"/>
        <v>451319</v>
      </c>
      <c r="AW113" s="521">
        <f t="shared" si="163"/>
        <v>508240</v>
      </c>
      <c r="AX113" s="522">
        <f t="shared" si="163"/>
        <v>45.877300000000005</v>
      </c>
      <c r="AY113" s="522">
        <f t="shared" si="163"/>
        <v>37.427900000000001</v>
      </c>
      <c r="AZ113" s="113">
        <f t="shared" si="163"/>
        <v>8.4494000000000007</v>
      </c>
    </row>
    <row r="114" spans="1:52" s="106" customFormat="1" ht="14.1" customHeight="1" x14ac:dyDescent="0.2">
      <c r="A114" s="129">
        <v>18</v>
      </c>
      <c r="B114" s="84">
        <v>2301</v>
      </c>
      <c r="C114" s="103">
        <v>600080226</v>
      </c>
      <c r="D114" s="84">
        <v>72741830</v>
      </c>
      <c r="E114" s="84" t="s">
        <v>778</v>
      </c>
      <c r="F114" s="104">
        <v>3231</v>
      </c>
      <c r="G114" s="84" t="s">
        <v>317</v>
      </c>
      <c r="H114" s="105" t="s">
        <v>278</v>
      </c>
      <c r="I114" s="494">
        <v>4345916</v>
      </c>
      <c r="J114" s="489">
        <v>3189404</v>
      </c>
      <c r="K114" s="489">
        <v>0</v>
      </c>
      <c r="L114" s="489">
        <v>1078019</v>
      </c>
      <c r="M114" s="489">
        <v>63788</v>
      </c>
      <c r="N114" s="489">
        <v>14705</v>
      </c>
      <c r="O114" s="490">
        <v>5.9354000000000005</v>
      </c>
      <c r="P114" s="491">
        <v>5.2441000000000004</v>
      </c>
      <c r="Q114" s="658">
        <v>0.69130000000000003</v>
      </c>
      <c r="R114" s="501">
        <f t="shared" si="111"/>
        <v>0</v>
      </c>
      <c r="S114" s="492">
        <v>0</v>
      </c>
      <c r="T114" s="492">
        <v>0</v>
      </c>
      <c r="U114" s="492">
        <v>0</v>
      </c>
      <c r="V114" s="492">
        <f>SUM(R114:U114)</f>
        <v>0</v>
      </c>
      <c r="W114" s="492">
        <v>0</v>
      </c>
      <c r="X114" s="492">
        <v>0</v>
      </c>
      <c r="Y114" s="492">
        <v>0</v>
      </c>
      <c r="Z114" s="492">
        <f t="shared" si="113"/>
        <v>0</v>
      </c>
      <c r="AA114" s="492">
        <f t="shared" si="114"/>
        <v>0</v>
      </c>
      <c r="AB114" s="74">
        <f t="shared" si="115"/>
        <v>0</v>
      </c>
      <c r="AC114" s="74">
        <f t="shared" si="116"/>
        <v>0</v>
      </c>
      <c r="AD114" s="492">
        <v>0</v>
      </c>
      <c r="AE114" s="492">
        <v>0</v>
      </c>
      <c r="AF114" s="492">
        <f>SUM(AD114:AE114)</f>
        <v>0</v>
      </c>
      <c r="AG114" s="492">
        <f>AA114+AB114+AC114+AF114</f>
        <v>0</v>
      </c>
      <c r="AH114" s="493">
        <v>0</v>
      </c>
      <c r="AI114" s="493">
        <v>0</v>
      </c>
      <c r="AJ114" s="493">
        <v>0</v>
      </c>
      <c r="AK114" s="493">
        <v>0</v>
      </c>
      <c r="AL114" s="493">
        <v>0</v>
      </c>
      <c r="AM114" s="493">
        <v>0</v>
      </c>
      <c r="AN114" s="493">
        <v>0</v>
      </c>
      <c r="AO114" s="493">
        <f t="shared" si="119"/>
        <v>0</v>
      </c>
      <c r="AP114" s="493">
        <f t="shared" si="120"/>
        <v>0</v>
      </c>
      <c r="AQ114" s="664">
        <f t="shared" si="121"/>
        <v>0</v>
      </c>
      <c r="AR114" s="502">
        <f>I114+AG114</f>
        <v>4345916</v>
      </c>
      <c r="AS114" s="492">
        <f>J114+V114</f>
        <v>3189404</v>
      </c>
      <c r="AT114" s="492">
        <f>K114+Z114</f>
        <v>0</v>
      </c>
      <c r="AU114" s="492">
        <f>L114+AB114</f>
        <v>1078019</v>
      </c>
      <c r="AV114" s="492">
        <f>M114+AC114</f>
        <v>63788</v>
      </c>
      <c r="AW114" s="492">
        <f>N114+AF114</f>
        <v>14705</v>
      </c>
      <c r="AX114" s="493">
        <f>O114+AQ114</f>
        <v>5.9354000000000005</v>
      </c>
      <c r="AY114" s="493">
        <f>P114+AO114</f>
        <v>5.2441000000000004</v>
      </c>
      <c r="AZ114" s="495">
        <f>Q114+AP114</f>
        <v>0.69130000000000003</v>
      </c>
    </row>
    <row r="115" spans="1:52" s="106" customFormat="1" ht="14.1" customHeight="1" x14ac:dyDescent="0.2">
      <c r="A115" s="130">
        <v>18</v>
      </c>
      <c r="B115" s="107">
        <v>2301</v>
      </c>
      <c r="C115" s="108">
        <v>600080226</v>
      </c>
      <c r="D115" s="107">
        <v>72741830</v>
      </c>
      <c r="E115" s="107" t="s">
        <v>779</v>
      </c>
      <c r="F115" s="109"/>
      <c r="G115" s="110"/>
      <c r="H115" s="111"/>
      <c r="I115" s="526">
        <v>4345916</v>
      </c>
      <c r="J115" s="523">
        <v>3189404</v>
      </c>
      <c r="K115" s="523">
        <v>0</v>
      </c>
      <c r="L115" s="523">
        <v>1078019</v>
      </c>
      <c r="M115" s="523">
        <v>63788</v>
      </c>
      <c r="N115" s="523">
        <v>14705</v>
      </c>
      <c r="O115" s="524">
        <v>5.9354000000000005</v>
      </c>
      <c r="P115" s="524">
        <v>5.2441000000000004</v>
      </c>
      <c r="Q115" s="117">
        <v>0.69130000000000003</v>
      </c>
      <c r="R115" s="530">
        <f t="shared" ref="R115:AZ115" si="165">SUM(R114)</f>
        <v>0</v>
      </c>
      <c r="S115" s="523">
        <f t="shared" si="165"/>
        <v>0</v>
      </c>
      <c r="T115" s="523">
        <f t="shared" si="165"/>
        <v>0</v>
      </c>
      <c r="U115" s="523">
        <f t="shared" si="165"/>
        <v>0</v>
      </c>
      <c r="V115" s="523">
        <f t="shared" si="165"/>
        <v>0</v>
      </c>
      <c r="W115" s="523">
        <f t="shared" si="165"/>
        <v>0</v>
      </c>
      <c r="X115" s="523">
        <f t="shared" si="165"/>
        <v>0</v>
      </c>
      <c r="Y115" s="523">
        <f t="shared" si="165"/>
        <v>0</v>
      </c>
      <c r="Z115" s="523">
        <f t="shared" si="165"/>
        <v>0</v>
      </c>
      <c r="AA115" s="523">
        <f t="shared" si="165"/>
        <v>0</v>
      </c>
      <c r="AB115" s="523">
        <f t="shared" si="165"/>
        <v>0</v>
      </c>
      <c r="AC115" s="523">
        <f t="shared" si="165"/>
        <v>0</v>
      </c>
      <c r="AD115" s="523">
        <f t="shared" si="165"/>
        <v>0</v>
      </c>
      <c r="AE115" s="523">
        <f t="shared" si="165"/>
        <v>0</v>
      </c>
      <c r="AF115" s="523">
        <f t="shared" si="165"/>
        <v>0</v>
      </c>
      <c r="AG115" s="523">
        <f t="shared" si="165"/>
        <v>0</v>
      </c>
      <c r="AH115" s="524">
        <f t="shared" si="165"/>
        <v>0</v>
      </c>
      <c r="AI115" s="524">
        <f t="shared" si="165"/>
        <v>0</v>
      </c>
      <c r="AJ115" s="524">
        <f t="shared" si="165"/>
        <v>0</v>
      </c>
      <c r="AK115" s="524">
        <f t="shared" ref="AK115:AL115" si="166">SUM(AK114)</f>
        <v>0</v>
      </c>
      <c r="AL115" s="524">
        <f t="shared" si="166"/>
        <v>0</v>
      </c>
      <c r="AM115" s="524">
        <f t="shared" si="165"/>
        <v>0</v>
      </c>
      <c r="AN115" s="524">
        <f t="shared" si="165"/>
        <v>0</v>
      </c>
      <c r="AO115" s="524">
        <f t="shared" si="165"/>
        <v>0</v>
      </c>
      <c r="AP115" s="524">
        <f t="shared" si="165"/>
        <v>0</v>
      </c>
      <c r="AQ115" s="528">
        <f t="shared" si="165"/>
        <v>0</v>
      </c>
      <c r="AR115" s="526">
        <f t="shared" si="165"/>
        <v>4345916</v>
      </c>
      <c r="AS115" s="523">
        <f t="shared" si="165"/>
        <v>3189404</v>
      </c>
      <c r="AT115" s="523">
        <f t="shared" si="165"/>
        <v>0</v>
      </c>
      <c r="AU115" s="523">
        <f t="shared" si="165"/>
        <v>1078019</v>
      </c>
      <c r="AV115" s="523">
        <f t="shared" si="165"/>
        <v>63788</v>
      </c>
      <c r="AW115" s="523">
        <f t="shared" si="165"/>
        <v>14705</v>
      </c>
      <c r="AX115" s="524">
        <f t="shared" si="165"/>
        <v>5.9354000000000005</v>
      </c>
      <c r="AY115" s="524">
        <f t="shared" si="165"/>
        <v>5.2441000000000004</v>
      </c>
      <c r="AZ115" s="117">
        <f t="shared" si="165"/>
        <v>0.69130000000000003</v>
      </c>
    </row>
    <row r="116" spans="1:52" s="106" customFormat="1" ht="14.1" customHeight="1" x14ac:dyDescent="0.2">
      <c r="A116" s="129">
        <v>19</v>
      </c>
      <c r="B116" s="112">
        <v>2497</v>
      </c>
      <c r="C116" s="103">
        <v>600080064</v>
      </c>
      <c r="D116" s="84">
        <v>72744189</v>
      </c>
      <c r="E116" s="84" t="s">
        <v>780</v>
      </c>
      <c r="F116" s="104">
        <v>3111</v>
      </c>
      <c r="G116" s="84" t="s">
        <v>312</v>
      </c>
      <c r="H116" s="105" t="s">
        <v>278</v>
      </c>
      <c r="I116" s="494">
        <v>6497227</v>
      </c>
      <c r="J116" s="655">
        <v>4693082</v>
      </c>
      <c r="K116" s="655">
        <v>61750</v>
      </c>
      <c r="L116" s="489">
        <v>1607133</v>
      </c>
      <c r="M116" s="489">
        <v>93862</v>
      </c>
      <c r="N116" s="655">
        <v>41400</v>
      </c>
      <c r="O116" s="490">
        <v>9.9337</v>
      </c>
      <c r="P116" s="491">
        <v>7.89</v>
      </c>
      <c r="Q116" s="657">
        <v>2.0436999999999999</v>
      </c>
      <c r="R116" s="501">
        <f t="shared" si="111"/>
        <v>0</v>
      </c>
      <c r="S116" s="492">
        <v>0</v>
      </c>
      <c r="T116" s="492">
        <v>0</v>
      </c>
      <c r="U116" s="492">
        <v>0</v>
      </c>
      <c r="V116" s="492">
        <f t="shared" ref="V116:V123" si="167">SUM(R116:U116)</f>
        <v>0</v>
      </c>
      <c r="W116" s="492">
        <v>0</v>
      </c>
      <c r="X116" s="492">
        <v>0</v>
      </c>
      <c r="Y116" s="492">
        <v>0</v>
      </c>
      <c r="Z116" s="492">
        <f t="shared" si="113"/>
        <v>0</v>
      </c>
      <c r="AA116" s="492">
        <f t="shared" si="114"/>
        <v>0</v>
      </c>
      <c r="AB116" s="74">
        <f t="shared" si="115"/>
        <v>0</v>
      </c>
      <c r="AC116" s="74">
        <f t="shared" si="116"/>
        <v>0</v>
      </c>
      <c r="AD116" s="492">
        <v>0</v>
      </c>
      <c r="AE116" s="492">
        <v>0</v>
      </c>
      <c r="AF116" s="492">
        <f t="shared" ref="AF116:AF123" si="168">SUM(AD116:AE116)</f>
        <v>0</v>
      </c>
      <c r="AG116" s="492">
        <f t="shared" ref="AG116:AG123" si="169">AA116+AB116+AC116+AF116</f>
        <v>0</v>
      </c>
      <c r="AH116" s="493">
        <v>0</v>
      </c>
      <c r="AI116" s="493">
        <v>0</v>
      </c>
      <c r="AJ116" s="493">
        <v>0</v>
      </c>
      <c r="AK116" s="493">
        <v>0</v>
      </c>
      <c r="AL116" s="493">
        <v>0</v>
      </c>
      <c r="AM116" s="493">
        <v>0</v>
      </c>
      <c r="AN116" s="493">
        <v>0</v>
      </c>
      <c r="AO116" s="493">
        <f t="shared" si="119"/>
        <v>0</v>
      </c>
      <c r="AP116" s="493">
        <f t="shared" si="120"/>
        <v>0</v>
      </c>
      <c r="AQ116" s="664">
        <f t="shared" si="121"/>
        <v>0</v>
      </c>
      <c r="AR116" s="502">
        <f t="shared" ref="AR116:AR123" si="170">I116+AG116</f>
        <v>6497227</v>
      </c>
      <c r="AS116" s="492">
        <f t="shared" ref="AS116:AS123" si="171">J116+V116</f>
        <v>4693082</v>
      </c>
      <c r="AT116" s="492">
        <f t="shared" ref="AT116:AT123" si="172">K116+Z116</f>
        <v>61750</v>
      </c>
      <c r="AU116" s="492">
        <f t="shared" ref="AU116:AV123" si="173">L116+AB116</f>
        <v>1607133</v>
      </c>
      <c r="AV116" s="492">
        <f t="shared" si="173"/>
        <v>93862</v>
      </c>
      <c r="AW116" s="492">
        <f t="shared" ref="AW116:AW123" si="174">N116+AF116</f>
        <v>41400</v>
      </c>
      <c r="AX116" s="493">
        <f t="shared" ref="AX116:AX123" si="175">O116+AQ116</f>
        <v>9.9337</v>
      </c>
      <c r="AY116" s="493">
        <f t="shared" ref="AY116:AZ123" si="176">P116+AO116</f>
        <v>7.89</v>
      </c>
      <c r="AZ116" s="495">
        <f t="shared" si="176"/>
        <v>2.0436999999999999</v>
      </c>
    </row>
    <row r="117" spans="1:52" s="106" customFormat="1" ht="14.1" customHeight="1" x14ac:dyDescent="0.2">
      <c r="A117" s="129">
        <v>19</v>
      </c>
      <c r="B117" s="84">
        <v>2497</v>
      </c>
      <c r="C117" s="103">
        <v>600080064</v>
      </c>
      <c r="D117" s="84">
        <v>72744189</v>
      </c>
      <c r="E117" s="84" t="s">
        <v>780</v>
      </c>
      <c r="F117" s="104">
        <v>3113</v>
      </c>
      <c r="G117" s="84" t="s">
        <v>315</v>
      </c>
      <c r="H117" s="105" t="s">
        <v>278</v>
      </c>
      <c r="I117" s="494">
        <v>20254300</v>
      </c>
      <c r="J117" s="655">
        <v>14582078</v>
      </c>
      <c r="K117" s="655">
        <v>68250</v>
      </c>
      <c r="L117" s="489">
        <v>4951811</v>
      </c>
      <c r="M117" s="489">
        <v>291641</v>
      </c>
      <c r="N117" s="655">
        <v>360520</v>
      </c>
      <c r="O117" s="490">
        <v>26.753900000000002</v>
      </c>
      <c r="P117" s="491">
        <v>19.728300000000001</v>
      </c>
      <c r="Q117" s="657">
        <v>7.0255999999999998</v>
      </c>
      <c r="R117" s="501">
        <f t="shared" si="111"/>
        <v>0</v>
      </c>
      <c r="S117" s="492">
        <v>0</v>
      </c>
      <c r="T117" s="492">
        <v>0</v>
      </c>
      <c r="U117" s="492">
        <v>0</v>
      </c>
      <c r="V117" s="492">
        <f t="shared" si="167"/>
        <v>0</v>
      </c>
      <c r="W117" s="492">
        <v>0</v>
      </c>
      <c r="X117" s="492">
        <v>0</v>
      </c>
      <c r="Y117" s="492">
        <v>0</v>
      </c>
      <c r="Z117" s="492">
        <f t="shared" si="113"/>
        <v>0</v>
      </c>
      <c r="AA117" s="492">
        <f t="shared" si="114"/>
        <v>0</v>
      </c>
      <c r="AB117" s="74">
        <f t="shared" si="115"/>
        <v>0</v>
      </c>
      <c r="AC117" s="74">
        <f t="shared" si="116"/>
        <v>0</v>
      </c>
      <c r="AD117" s="492">
        <v>0</v>
      </c>
      <c r="AE117" s="492">
        <v>0</v>
      </c>
      <c r="AF117" s="492">
        <f t="shared" si="168"/>
        <v>0</v>
      </c>
      <c r="AG117" s="492">
        <f t="shared" si="169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si="119"/>
        <v>0</v>
      </c>
      <c r="AP117" s="493">
        <f t="shared" si="120"/>
        <v>0</v>
      </c>
      <c r="AQ117" s="664">
        <f t="shared" si="121"/>
        <v>0</v>
      </c>
      <c r="AR117" s="502">
        <f t="shared" si="170"/>
        <v>20254300</v>
      </c>
      <c r="AS117" s="492">
        <f t="shared" si="171"/>
        <v>14582078</v>
      </c>
      <c r="AT117" s="492">
        <f t="shared" si="172"/>
        <v>68250</v>
      </c>
      <c r="AU117" s="492">
        <f t="shared" si="173"/>
        <v>4951811</v>
      </c>
      <c r="AV117" s="492">
        <f t="shared" si="173"/>
        <v>291641</v>
      </c>
      <c r="AW117" s="492">
        <f t="shared" si="174"/>
        <v>360520</v>
      </c>
      <c r="AX117" s="493">
        <f t="shared" si="175"/>
        <v>26.753900000000002</v>
      </c>
      <c r="AY117" s="493">
        <f t="shared" si="176"/>
        <v>19.728300000000001</v>
      </c>
      <c r="AZ117" s="495">
        <f t="shared" si="176"/>
        <v>7.0255999999999998</v>
      </c>
    </row>
    <row r="118" spans="1:52" s="106" customFormat="1" ht="14.1" customHeight="1" x14ac:dyDescent="0.2">
      <c r="A118" s="129">
        <v>19</v>
      </c>
      <c r="B118" s="84">
        <v>2497</v>
      </c>
      <c r="C118" s="103">
        <v>600080064</v>
      </c>
      <c r="D118" s="84">
        <v>72744189</v>
      </c>
      <c r="E118" s="84" t="s">
        <v>780</v>
      </c>
      <c r="F118" s="104">
        <v>3113</v>
      </c>
      <c r="G118" s="48" t="s">
        <v>314</v>
      </c>
      <c r="H118" s="105" t="s">
        <v>278</v>
      </c>
      <c r="I118" s="494">
        <v>2052734</v>
      </c>
      <c r="J118" s="489">
        <v>1511586</v>
      </c>
      <c r="K118" s="489">
        <v>0</v>
      </c>
      <c r="L118" s="489">
        <v>510916</v>
      </c>
      <c r="M118" s="489">
        <v>30232</v>
      </c>
      <c r="N118" s="489">
        <v>0</v>
      </c>
      <c r="O118" s="490">
        <v>3.7223000000000002</v>
      </c>
      <c r="P118" s="491">
        <v>3.7223000000000002</v>
      </c>
      <c r="Q118" s="658">
        <v>0</v>
      </c>
      <c r="R118" s="501">
        <f t="shared" si="111"/>
        <v>0</v>
      </c>
      <c r="S118" s="492">
        <v>0</v>
      </c>
      <c r="T118" s="492">
        <v>0</v>
      </c>
      <c r="U118" s="492">
        <v>0</v>
      </c>
      <c r="V118" s="492">
        <f t="shared" si="167"/>
        <v>0</v>
      </c>
      <c r="W118" s="492">
        <v>0</v>
      </c>
      <c r="X118" s="492">
        <v>0</v>
      </c>
      <c r="Y118" s="492">
        <v>0</v>
      </c>
      <c r="Z118" s="492">
        <f t="shared" si="113"/>
        <v>0</v>
      </c>
      <c r="AA118" s="492">
        <f t="shared" si="114"/>
        <v>0</v>
      </c>
      <c r="AB118" s="74">
        <f t="shared" si="115"/>
        <v>0</v>
      </c>
      <c r="AC118" s="74">
        <f t="shared" si="116"/>
        <v>0</v>
      </c>
      <c r="AD118" s="492">
        <v>0</v>
      </c>
      <c r="AE118" s="492">
        <v>0</v>
      </c>
      <c r="AF118" s="492">
        <f t="shared" si="168"/>
        <v>0</v>
      </c>
      <c r="AG118" s="492">
        <f t="shared" si="169"/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 t="shared" si="119"/>
        <v>0</v>
      </c>
      <c r="AP118" s="493">
        <f t="shared" si="120"/>
        <v>0</v>
      </c>
      <c r="AQ118" s="664">
        <f t="shared" si="121"/>
        <v>0</v>
      </c>
      <c r="AR118" s="502">
        <f t="shared" si="170"/>
        <v>2052734</v>
      </c>
      <c r="AS118" s="492">
        <f t="shared" si="171"/>
        <v>1511586</v>
      </c>
      <c r="AT118" s="492">
        <f t="shared" si="172"/>
        <v>0</v>
      </c>
      <c r="AU118" s="492">
        <f t="shared" si="173"/>
        <v>510916</v>
      </c>
      <c r="AV118" s="492">
        <f t="shared" si="173"/>
        <v>30232</v>
      </c>
      <c r="AW118" s="492">
        <f t="shared" si="174"/>
        <v>0</v>
      </c>
      <c r="AX118" s="493">
        <f t="shared" si="175"/>
        <v>3.7223000000000002</v>
      </c>
      <c r="AY118" s="493">
        <f t="shared" si="176"/>
        <v>3.7223000000000002</v>
      </c>
      <c r="AZ118" s="495">
        <f t="shared" si="176"/>
        <v>0</v>
      </c>
    </row>
    <row r="119" spans="1:52" s="106" customFormat="1" ht="14.1" customHeight="1" x14ac:dyDescent="0.2">
      <c r="A119" s="129">
        <v>19</v>
      </c>
      <c r="B119" s="112">
        <v>2497</v>
      </c>
      <c r="C119" s="103">
        <v>600080064</v>
      </c>
      <c r="D119" s="84">
        <v>72744189</v>
      </c>
      <c r="E119" s="112" t="s">
        <v>780</v>
      </c>
      <c r="F119" s="104">
        <v>3113</v>
      </c>
      <c r="G119" s="84" t="s">
        <v>313</v>
      </c>
      <c r="H119" s="105" t="s">
        <v>279</v>
      </c>
      <c r="I119" s="494">
        <v>5045952</v>
      </c>
      <c r="J119" s="489">
        <v>3609317</v>
      </c>
      <c r="K119" s="489">
        <v>140000</v>
      </c>
      <c r="L119" s="489">
        <v>1219949</v>
      </c>
      <c r="M119" s="489">
        <v>72186</v>
      </c>
      <c r="N119" s="489">
        <v>4500</v>
      </c>
      <c r="O119" s="490">
        <v>10.210000000000001</v>
      </c>
      <c r="P119" s="491">
        <v>10.210000000000001</v>
      </c>
      <c r="Q119" s="658">
        <v>0</v>
      </c>
      <c r="R119" s="501">
        <f t="shared" si="111"/>
        <v>0</v>
      </c>
      <c r="S119" s="492">
        <v>0</v>
      </c>
      <c r="T119" s="492">
        <v>0</v>
      </c>
      <c r="U119" s="492">
        <v>0</v>
      </c>
      <c r="V119" s="492">
        <f t="shared" si="167"/>
        <v>0</v>
      </c>
      <c r="W119" s="492">
        <v>0</v>
      </c>
      <c r="X119" s="492">
        <v>0</v>
      </c>
      <c r="Y119" s="492">
        <v>0</v>
      </c>
      <c r="Z119" s="492">
        <f t="shared" si="113"/>
        <v>0</v>
      </c>
      <c r="AA119" s="492">
        <f t="shared" si="114"/>
        <v>0</v>
      </c>
      <c r="AB119" s="74">
        <f t="shared" si="115"/>
        <v>0</v>
      </c>
      <c r="AC119" s="74">
        <f t="shared" si="116"/>
        <v>0</v>
      </c>
      <c r="AD119" s="492">
        <v>0</v>
      </c>
      <c r="AE119" s="492">
        <v>0</v>
      </c>
      <c r="AF119" s="492">
        <f t="shared" si="168"/>
        <v>0</v>
      </c>
      <c r="AG119" s="492">
        <f t="shared" si="169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si="119"/>
        <v>0</v>
      </c>
      <c r="AP119" s="493">
        <f t="shared" si="120"/>
        <v>0</v>
      </c>
      <c r="AQ119" s="664">
        <f t="shared" si="121"/>
        <v>0</v>
      </c>
      <c r="AR119" s="502">
        <f t="shared" si="170"/>
        <v>5045952</v>
      </c>
      <c r="AS119" s="492">
        <f t="shared" si="171"/>
        <v>3609317</v>
      </c>
      <c r="AT119" s="492">
        <f t="shared" si="172"/>
        <v>140000</v>
      </c>
      <c r="AU119" s="492">
        <f t="shared" si="173"/>
        <v>1219949</v>
      </c>
      <c r="AV119" s="492">
        <f t="shared" si="173"/>
        <v>72186</v>
      </c>
      <c r="AW119" s="492">
        <f t="shared" si="174"/>
        <v>4500</v>
      </c>
      <c r="AX119" s="493">
        <f t="shared" si="175"/>
        <v>10.210000000000001</v>
      </c>
      <c r="AY119" s="493">
        <f t="shared" si="176"/>
        <v>10.210000000000001</v>
      </c>
      <c r="AZ119" s="495">
        <f t="shared" si="176"/>
        <v>0</v>
      </c>
    </row>
    <row r="120" spans="1:52" s="106" customFormat="1" ht="14.1" customHeight="1" x14ac:dyDescent="0.2">
      <c r="A120" s="129">
        <v>19</v>
      </c>
      <c r="B120" s="84">
        <v>2497</v>
      </c>
      <c r="C120" s="103">
        <v>600080064</v>
      </c>
      <c r="D120" s="84">
        <v>72744189</v>
      </c>
      <c r="E120" s="84" t="s">
        <v>780</v>
      </c>
      <c r="F120" s="104">
        <v>3141</v>
      </c>
      <c r="G120" s="84" t="s">
        <v>316</v>
      </c>
      <c r="H120" s="105" t="s">
        <v>279</v>
      </c>
      <c r="I120" s="494">
        <v>2401285</v>
      </c>
      <c r="J120" s="655">
        <v>1738669</v>
      </c>
      <c r="K120" s="655">
        <v>16250</v>
      </c>
      <c r="L120" s="489">
        <v>593163</v>
      </c>
      <c r="M120" s="489">
        <v>34773</v>
      </c>
      <c r="N120" s="655">
        <v>18430</v>
      </c>
      <c r="O120" s="490">
        <v>5.52</v>
      </c>
      <c r="P120" s="491">
        <v>0</v>
      </c>
      <c r="Q120" s="657">
        <v>5.52</v>
      </c>
      <c r="R120" s="501">
        <f t="shared" si="111"/>
        <v>0</v>
      </c>
      <c r="S120" s="492">
        <v>0</v>
      </c>
      <c r="T120" s="492">
        <v>0</v>
      </c>
      <c r="U120" s="492">
        <v>0</v>
      </c>
      <c r="V120" s="492">
        <f t="shared" si="167"/>
        <v>0</v>
      </c>
      <c r="W120" s="492">
        <v>0</v>
      </c>
      <c r="X120" s="492">
        <v>0</v>
      </c>
      <c r="Y120" s="492">
        <v>0</v>
      </c>
      <c r="Z120" s="492">
        <f t="shared" si="113"/>
        <v>0</v>
      </c>
      <c r="AA120" s="492">
        <f t="shared" si="114"/>
        <v>0</v>
      </c>
      <c r="AB120" s="74">
        <f t="shared" si="115"/>
        <v>0</v>
      </c>
      <c r="AC120" s="74">
        <f t="shared" si="116"/>
        <v>0</v>
      </c>
      <c r="AD120" s="492">
        <v>0</v>
      </c>
      <c r="AE120" s="492">
        <v>0</v>
      </c>
      <c r="AF120" s="492">
        <f t="shared" si="168"/>
        <v>0</v>
      </c>
      <c r="AG120" s="492">
        <f t="shared" si="169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si="119"/>
        <v>0</v>
      </c>
      <c r="AP120" s="493">
        <f t="shared" si="120"/>
        <v>0</v>
      </c>
      <c r="AQ120" s="664">
        <f t="shared" si="121"/>
        <v>0</v>
      </c>
      <c r="AR120" s="502">
        <f t="shared" si="170"/>
        <v>2401285</v>
      </c>
      <c r="AS120" s="492">
        <f t="shared" si="171"/>
        <v>1738669</v>
      </c>
      <c r="AT120" s="492">
        <f t="shared" si="172"/>
        <v>16250</v>
      </c>
      <c r="AU120" s="492">
        <f t="shared" si="173"/>
        <v>593163</v>
      </c>
      <c r="AV120" s="492">
        <f t="shared" si="173"/>
        <v>34773</v>
      </c>
      <c r="AW120" s="492">
        <f t="shared" si="174"/>
        <v>18430</v>
      </c>
      <c r="AX120" s="493">
        <f t="shared" si="175"/>
        <v>5.52</v>
      </c>
      <c r="AY120" s="493">
        <f t="shared" si="176"/>
        <v>0</v>
      </c>
      <c r="AZ120" s="495">
        <f t="shared" si="176"/>
        <v>5.52</v>
      </c>
    </row>
    <row r="121" spans="1:52" s="106" customFormat="1" ht="14.1" customHeight="1" x14ac:dyDescent="0.2">
      <c r="A121" s="129">
        <v>19</v>
      </c>
      <c r="B121" s="84">
        <v>2497</v>
      </c>
      <c r="C121" s="103">
        <v>600080064</v>
      </c>
      <c r="D121" s="84">
        <v>72744189</v>
      </c>
      <c r="E121" s="84" t="s">
        <v>780</v>
      </c>
      <c r="F121" s="104">
        <v>3143</v>
      </c>
      <c r="G121" s="84" t="s">
        <v>629</v>
      </c>
      <c r="H121" s="105" t="s">
        <v>278</v>
      </c>
      <c r="I121" s="494">
        <v>1069481</v>
      </c>
      <c r="J121" s="656">
        <v>771530</v>
      </c>
      <c r="K121" s="656">
        <v>16250</v>
      </c>
      <c r="L121" s="489">
        <v>266270</v>
      </c>
      <c r="M121" s="489">
        <v>15431</v>
      </c>
      <c r="N121" s="489">
        <v>0</v>
      </c>
      <c r="O121" s="490">
        <v>1.76</v>
      </c>
      <c r="P121" s="14">
        <v>1.76</v>
      </c>
      <c r="Q121" s="658">
        <v>0</v>
      </c>
      <c r="R121" s="501">
        <f t="shared" si="111"/>
        <v>0</v>
      </c>
      <c r="S121" s="492">
        <v>0</v>
      </c>
      <c r="T121" s="492">
        <v>0</v>
      </c>
      <c r="U121" s="492">
        <v>0</v>
      </c>
      <c r="V121" s="492">
        <f t="shared" si="167"/>
        <v>0</v>
      </c>
      <c r="W121" s="492">
        <v>0</v>
      </c>
      <c r="X121" s="492">
        <v>0</v>
      </c>
      <c r="Y121" s="492">
        <v>0</v>
      </c>
      <c r="Z121" s="492">
        <f t="shared" si="113"/>
        <v>0</v>
      </c>
      <c r="AA121" s="492">
        <f t="shared" si="114"/>
        <v>0</v>
      </c>
      <c r="AB121" s="74">
        <f t="shared" si="115"/>
        <v>0</v>
      </c>
      <c r="AC121" s="74">
        <f t="shared" si="116"/>
        <v>0</v>
      </c>
      <c r="AD121" s="492">
        <v>0</v>
      </c>
      <c r="AE121" s="492">
        <v>0</v>
      </c>
      <c r="AF121" s="492">
        <f t="shared" si="168"/>
        <v>0</v>
      </c>
      <c r="AG121" s="492">
        <f t="shared" si="169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19"/>
        <v>0</v>
      </c>
      <c r="AP121" s="493">
        <f t="shared" si="120"/>
        <v>0</v>
      </c>
      <c r="AQ121" s="664">
        <f t="shared" si="121"/>
        <v>0</v>
      </c>
      <c r="AR121" s="502">
        <f t="shared" si="170"/>
        <v>1069481</v>
      </c>
      <c r="AS121" s="492">
        <f t="shared" si="171"/>
        <v>771530</v>
      </c>
      <c r="AT121" s="492">
        <f t="shared" si="172"/>
        <v>16250</v>
      </c>
      <c r="AU121" s="492">
        <f t="shared" si="173"/>
        <v>266270</v>
      </c>
      <c r="AV121" s="492">
        <f t="shared" si="173"/>
        <v>15431</v>
      </c>
      <c r="AW121" s="492">
        <f t="shared" si="174"/>
        <v>0</v>
      </c>
      <c r="AX121" s="493">
        <f t="shared" si="175"/>
        <v>1.76</v>
      </c>
      <c r="AY121" s="493">
        <f t="shared" si="176"/>
        <v>1.76</v>
      </c>
      <c r="AZ121" s="495">
        <f t="shared" si="176"/>
        <v>0</v>
      </c>
    </row>
    <row r="122" spans="1:52" s="106" customFormat="1" ht="14.1" customHeight="1" x14ac:dyDescent="0.2">
      <c r="A122" s="129">
        <v>19</v>
      </c>
      <c r="B122" s="84">
        <v>2497</v>
      </c>
      <c r="C122" s="103">
        <v>600080064</v>
      </c>
      <c r="D122" s="84">
        <v>72744189</v>
      </c>
      <c r="E122" s="84" t="s">
        <v>780</v>
      </c>
      <c r="F122" s="104">
        <v>3143</v>
      </c>
      <c r="G122" s="84" t="s">
        <v>630</v>
      </c>
      <c r="H122" s="105" t="s">
        <v>279</v>
      </c>
      <c r="I122" s="494">
        <v>43092</v>
      </c>
      <c r="J122" s="655">
        <v>30473</v>
      </c>
      <c r="K122" s="655">
        <v>0</v>
      </c>
      <c r="L122" s="489">
        <v>10300</v>
      </c>
      <c r="M122" s="489">
        <v>609</v>
      </c>
      <c r="N122" s="655">
        <v>1710</v>
      </c>
      <c r="O122" s="490">
        <v>0.12</v>
      </c>
      <c r="P122" s="491">
        <v>0</v>
      </c>
      <c r="Q122" s="657">
        <v>0.12</v>
      </c>
      <c r="R122" s="501">
        <f t="shared" si="111"/>
        <v>0</v>
      </c>
      <c r="S122" s="492">
        <v>0</v>
      </c>
      <c r="T122" s="492">
        <v>0</v>
      </c>
      <c r="U122" s="492">
        <v>0</v>
      </c>
      <c r="V122" s="492">
        <f t="shared" si="167"/>
        <v>0</v>
      </c>
      <c r="W122" s="492">
        <v>0</v>
      </c>
      <c r="X122" s="492">
        <v>0</v>
      </c>
      <c r="Y122" s="492">
        <v>0</v>
      </c>
      <c r="Z122" s="492">
        <f t="shared" si="113"/>
        <v>0</v>
      </c>
      <c r="AA122" s="492">
        <f t="shared" si="114"/>
        <v>0</v>
      </c>
      <c r="AB122" s="74">
        <f t="shared" si="115"/>
        <v>0</v>
      </c>
      <c r="AC122" s="74">
        <f t="shared" si="116"/>
        <v>0</v>
      </c>
      <c r="AD122" s="492">
        <v>0</v>
      </c>
      <c r="AE122" s="492">
        <v>0</v>
      </c>
      <c r="AF122" s="492">
        <f t="shared" si="168"/>
        <v>0</v>
      </c>
      <c r="AG122" s="492">
        <f t="shared" si="169"/>
        <v>0</v>
      </c>
      <c r="AH122" s="493">
        <v>0</v>
      </c>
      <c r="AI122" s="493">
        <v>0</v>
      </c>
      <c r="AJ122" s="493">
        <v>0</v>
      </c>
      <c r="AK122" s="493">
        <v>0</v>
      </c>
      <c r="AL122" s="493">
        <v>0</v>
      </c>
      <c r="AM122" s="493">
        <v>0</v>
      </c>
      <c r="AN122" s="493">
        <v>0</v>
      </c>
      <c r="AO122" s="493">
        <f t="shared" si="119"/>
        <v>0</v>
      </c>
      <c r="AP122" s="493">
        <f t="shared" si="120"/>
        <v>0</v>
      </c>
      <c r="AQ122" s="664">
        <f t="shared" si="121"/>
        <v>0</v>
      </c>
      <c r="AR122" s="502">
        <f t="shared" si="170"/>
        <v>43092</v>
      </c>
      <c r="AS122" s="492">
        <f t="shared" si="171"/>
        <v>30473</v>
      </c>
      <c r="AT122" s="492">
        <f t="shared" si="172"/>
        <v>0</v>
      </c>
      <c r="AU122" s="492">
        <f t="shared" si="173"/>
        <v>10300</v>
      </c>
      <c r="AV122" s="492">
        <f t="shared" si="173"/>
        <v>609</v>
      </c>
      <c r="AW122" s="492">
        <f t="shared" si="174"/>
        <v>1710</v>
      </c>
      <c r="AX122" s="493">
        <f t="shared" si="175"/>
        <v>0.12</v>
      </c>
      <c r="AY122" s="493">
        <f t="shared" si="176"/>
        <v>0</v>
      </c>
      <c r="AZ122" s="495">
        <f t="shared" si="176"/>
        <v>0.12</v>
      </c>
    </row>
    <row r="123" spans="1:52" s="106" customFormat="1" ht="14.1" customHeight="1" x14ac:dyDescent="0.2">
      <c r="A123" s="129">
        <v>19</v>
      </c>
      <c r="B123" s="84">
        <v>2497</v>
      </c>
      <c r="C123" s="103">
        <v>600080064</v>
      </c>
      <c r="D123" s="84">
        <v>72744189</v>
      </c>
      <c r="E123" s="84" t="s">
        <v>780</v>
      </c>
      <c r="F123" s="104">
        <v>3143</v>
      </c>
      <c r="G123" s="84" t="s">
        <v>318</v>
      </c>
      <c r="H123" s="105" t="s">
        <v>279</v>
      </c>
      <c r="I123" s="494">
        <v>389108</v>
      </c>
      <c r="J123" s="655">
        <v>279699</v>
      </c>
      <c r="K123" s="655">
        <v>6500</v>
      </c>
      <c r="L123" s="489">
        <v>96735</v>
      </c>
      <c r="M123" s="489">
        <v>5594</v>
      </c>
      <c r="N123" s="655">
        <v>580</v>
      </c>
      <c r="O123" s="490">
        <v>0.6100000000000001</v>
      </c>
      <c r="P123" s="491">
        <v>0.55000000000000004</v>
      </c>
      <c r="Q123" s="657">
        <v>0.06</v>
      </c>
      <c r="R123" s="501">
        <f t="shared" si="111"/>
        <v>0</v>
      </c>
      <c r="S123" s="492">
        <v>0</v>
      </c>
      <c r="T123" s="492">
        <v>0</v>
      </c>
      <c r="U123" s="492">
        <v>0</v>
      </c>
      <c r="V123" s="492">
        <f t="shared" si="167"/>
        <v>0</v>
      </c>
      <c r="W123" s="492">
        <v>0</v>
      </c>
      <c r="X123" s="492">
        <v>0</v>
      </c>
      <c r="Y123" s="492">
        <v>0</v>
      </c>
      <c r="Z123" s="492">
        <f t="shared" si="113"/>
        <v>0</v>
      </c>
      <c r="AA123" s="492">
        <f t="shared" si="114"/>
        <v>0</v>
      </c>
      <c r="AB123" s="74">
        <f t="shared" si="115"/>
        <v>0</v>
      </c>
      <c r="AC123" s="74">
        <f t="shared" si="116"/>
        <v>0</v>
      </c>
      <c r="AD123" s="492">
        <v>0</v>
      </c>
      <c r="AE123" s="492">
        <v>0</v>
      </c>
      <c r="AF123" s="492">
        <f t="shared" si="168"/>
        <v>0</v>
      </c>
      <c r="AG123" s="492">
        <f t="shared" si="169"/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 t="shared" si="119"/>
        <v>0</v>
      </c>
      <c r="AP123" s="493">
        <f t="shared" si="120"/>
        <v>0</v>
      </c>
      <c r="AQ123" s="664">
        <f t="shared" si="121"/>
        <v>0</v>
      </c>
      <c r="AR123" s="502">
        <f t="shared" si="170"/>
        <v>389108</v>
      </c>
      <c r="AS123" s="492">
        <f t="shared" si="171"/>
        <v>279699</v>
      </c>
      <c r="AT123" s="492">
        <f t="shared" si="172"/>
        <v>6500</v>
      </c>
      <c r="AU123" s="492">
        <f t="shared" si="173"/>
        <v>96735</v>
      </c>
      <c r="AV123" s="492">
        <f t="shared" si="173"/>
        <v>5594</v>
      </c>
      <c r="AW123" s="492">
        <f t="shared" si="174"/>
        <v>580</v>
      </c>
      <c r="AX123" s="493">
        <f t="shared" si="175"/>
        <v>0.6100000000000001</v>
      </c>
      <c r="AY123" s="493">
        <f t="shared" si="176"/>
        <v>0.55000000000000004</v>
      </c>
      <c r="AZ123" s="495">
        <f t="shared" si="176"/>
        <v>0.06</v>
      </c>
    </row>
    <row r="124" spans="1:52" s="106" customFormat="1" ht="14.1" customHeight="1" x14ac:dyDescent="0.2">
      <c r="A124" s="130">
        <v>19</v>
      </c>
      <c r="B124" s="107">
        <v>2497</v>
      </c>
      <c r="C124" s="108">
        <v>600080064</v>
      </c>
      <c r="D124" s="107">
        <v>72744189</v>
      </c>
      <c r="E124" s="107" t="s">
        <v>781</v>
      </c>
      <c r="F124" s="109"/>
      <c r="G124" s="110"/>
      <c r="H124" s="111"/>
      <c r="I124" s="525">
        <v>37753179</v>
      </c>
      <c r="J124" s="521">
        <v>27216434</v>
      </c>
      <c r="K124" s="521">
        <v>309000</v>
      </c>
      <c r="L124" s="521">
        <v>9256277</v>
      </c>
      <c r="M124" s="521">
        <v>544328</v>
      </c>
      <c r="N124" s="521">
        <v>427140</v>
      </c>
      <c r="O124" s="522">
        <v>58.629899999999992</v>
      </c>
      <c r="P124" s="522">
        <v>43.860599999999998</v>
      </c>
      <c r="Q124" s="113">
        <v>14.769299999999999</v>
      </c>
      <c r="R124" s="529">
        <f t="shared" ref="R124:AZ124" si="177">SUM(R116:R123)</f>
        <v>0</v>
      </c>
      <c r="S124" s="521">
        <f t="shared" si="177"/>
        <v>0</v>
      </c>
      <c r="T124" s="521">
        <f t="shared" si="177"/>
        <v>0</v>
      </c>
      <c r="U124" s="521">
        <f t="shared" si="177"/>
        <v>0</v>
      </c>
      <c r="V124" s="521">
        <f t="shared" si="177"/>
        <v>0</v>
      </c>
      <c r="W124" s="521">
        <f t="shared" si="177"/>
        <v>0</v>
      </c>
      <c r="X124" s="521">
        <f t="shared" si="177"/>
        <v>0</v>
      </c>
      <c r="Y124" s="521">
        <f t="shared" si="177"/>
        <v>0</v>
      </c>
      <c r="Z124" s="521">
        <f t="shared" si="177"/>
        <v>0</v>
      </c>
      <c r="AA124" s="521">
        <f t="shared" si="177"/>
        <v>0</v>
      </c>
      <c r="AB124" s="521">
        <f t="shared" si="177"/>
        <v>0</v>
      </c>
      <c r="AC124" s="521">
        <f t="shared" si="177"/>
        <v>0</v>
      </c>
      <c r="AD124" s="521">
        <f t="shared" si="177"/>
        <v>0</v>
      </c>
      <c r="AE124" s="521">
        <f t="shared" si="177"/>
        <v>0</v>
      </c>
      <c r="AF124" s="521">
        <f t="shared" si="177"/>
        <v>0</v>
      </c>
      <c r="AG124" s="521">
        <f t="shared" si="177"/>
        <v>0</v>
      </c>
      <c r="AH124" s="522">
        <f t="shared" si="177"/>
        <v>0</v>
      </c>
      <c r="AI124" s="522">
        <f t="shared" si="177"/>
        <v>0</v>
      </c>
      <c r="AJ124" s="522">
        <f t="shared" si="177"/>
        <v>0</v>
      </c>
      <c r="AK124" s="522">
        <f t="shared" ref="AK124:AL124" si="178">SUM(AK116:AK123)</f>
        <v>0</v>
      </c>
      <c r="AL124" s="522">
        <f t="shared" si="178"/>
        <v>0</v>
      </c>
      <c r="AM124" s="522">
        <f t="shared" si="177"/>
        <v>0</v>
      </c>
      <c r="AN124" s="522">
        <f t="shared" si="177"/>
        <v>0</v>
      </c>
      <c r="AO124" s="522">
        <f t="shared" si="177"/>
        <v>0</v>
      </c>
      <c r="AP124" s="522">
        <f t="shared" si="177"/>
        <v>0</v>
      </c>
      <c r="AQ124" s="527">
        <f t="shared" si="177"/>
        <v>0</v>
      </c>
      <c r="AR124" s="525">
        <f t="shared" si="177"/>
        <v>37753179</v>
      </c>
      <c r="AS124" s="521">
        <f t="shared" si="177"/>
        <v>27216434</v>
      </c>
      <c r="AT124" s="521">
        <f t="shared" si="177"/>
        <v>309000</v>
      </c>
      <c r="AU124" s="521">
        <f t="shared" si="177"/>
        <v>9256277</v>
      </c>
      <c r="AV124" s="521">
        <f t="shared" si="177"/>
        <v>544328</v>
      </c>
      <c r="AW124" s="521">
        <f t="shared" si="177"/>
        <v>427140</v>
      </c>
      <c r="AX124" s="522">
        <f t="shared" si="177"/>
        <v>58.629899999999992</v>
      </c>
      <c r="AY124" s="522">
        <f t="shared" si="177"/>
        <v>43.860599999999998</v>
      </c>
      <c r="AZ124" s="113">
        <f t="shared" si="177"/>
        <v>14.769299999999999</v>
      </c>
    </row>
    <row r="125" spans="1:52" s="106" customFormat="1" ht="14.1" customHeight="1" x14ac:dyDescent="0.2">
      <c r="A125" s="129">
        <v>20</v>
      </c>
      <c r="B125" s="112">
        <v>2446</v>
      </c>
      <c r="C125" s="103">
        <v>600080129</v>
      </c>
      <c r="D125" s="84">
        <v>72743522</v>
      </c>
      <c r="E125" s="84" t="s">
        <v>782</v>
      </c>
      <c r="F125" s="104">
        <v>3111</v>
      </c>
      <c r="G125" s="84" t="s">
        <v>312</v>
      </c>
      <c r="H125" s="105" t="s">
        <v>278</v>
      </c>
      <c r="I125" s="494">
        <v>2335665</v>
      </c>
      <c r="J125" s="655">
        <v>1700271</v>
      </c>
      <c r="K125" s="655">
        <v>6500</v>
      </c>
      <c r="L125" s="489">
        <v>576889</v>
      </c>
      <c r="M125" s="489">
        <v>34005</v>
      </c>
      <c r="N125" s="655">
        <v>18000</v>
      </c>
      <c r="O125" s="490">
        <v>3.9218000000000002</v>
      </c>
      <c r="P125" s="491">
        <v>3</v>
      </c>
      <c r="Q125" s="657">
        <v>0.92179999999999995</v>
      </c>
      <c r="R125" s="501">
        <f t="shared" si="111"/>
        <v>0</v>
      </c>
      <c r="S125" s="492">
        <v>0</v>
      </c>
      <c r="T125" s="492">
        <v>0</v>
      </c>
      <c r="U125" s="492">
        <v>0</v>
      </c>
      <c r="V125" s="492">
        <f>SUM(R125:U125)</f>
        <v>0</v>
      </c>
      <c r="W125" s="492">
        <v>0</v>
      </c>
      <c r="X125" s="492">
        <v>0</v>
      </c>
      <c r="Y125" s="492">
        <v>0</v>
      </c>
      <c r="Z125" s="492">
        <f t="shared" si="113"/>
        <v>0</v>
      </c>
      <c r="AA125" s="492">
        <f t="shared" si="114"/>
        <v>0</v>
      </c>
      <c r="AB125" s="74">
        <f t="shared" si="115"/>
        <v>0</v>
      </c>
      <c r="AC125" s="74">
        <f t="shared" si="116"/>
        <v>0</v>
      </c>
      <c r="AD125" s="492">
        <v>0</v>
      </c>
      <c r="AE125" s="492">
        <v>0</v>
      </c>
      <c r="AF125" s="492">
        <f>SUM(AD125:AE125)</f>
        <v>0</v>
      </c>
      <c r="AG125" s="492">
        <f>AA125+AB125+AC125+AF125</f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 t="shared" si="119"/>
        <v>0</v>
      </c>
      <c r="AP125" s="493">
        <f t="shared" si="120"/>
        <v>0</v>
      </c>
      <c r="AQ125" s="664">
        <f t="shared" si="121"/>
        <v>0</v>
      </c>
      <c r="AR125" s="502">
        <f>I125+AG125</f>
        <v>2335665</v>
      </c>
      <c r="AS125" s="492">
        <f>J125+V125</f>
        <v>1700271</v>
      </c>
      <c r="AT125" s="492">
        <f t="shared" ref="AT125:AT129" si="179">K125+Z125</f>
        <v>6500</v>
      </c>
      <c r="AU125" s="492">
        <f t="shared" ref="AU125:AV129" si="180">L125+AB125</f>
        <v>576889</v>
      </c>
      <c r="AV125" s="492">
        <f t="shared" si="180"/>
        <v>34005</v>
      </c>
      <c r="AW125" s="492">
        <f>N125+AF125</f>
        <v>18000</v>
      </c>
      <c r="AX125" s="493">
        <f>O125+AQ125</f>
        <v>3.9218000000000002</v>
      </c>
      <c r="AY125" s="493">
        <f t="shared" ref="AY125:AZ129" si="181">P125+AO125</f>
        <v>3</v>
      </c>
      <c r="AZ125" s="495">
        <f t="shared" si="181"/>
        <v>0.92179999999999995</v>
      </c>
    </row>
    <row r="126" spans="1:52" s="106" customFormat="1" ht="14.1" customHeight="1" x14ac:dyDescent="0.2">
      <c r="A126" s="129">
        <v>20</v>
      </c>
      <c r="B126" s="114">
        <v>2446</v>
      </c>
      <c r="C126" s="103">
        <v>600080129</v>
      </c>
      <c r="D126" s="84">
        <v>72743522</v>
      </c>
      <c r="E126" s="114" t="s">
        <v>782</v>
      </c>
      <c r="F126" s="115">
        <v>3117</v>
      </c>
      <c r="G126" s="114" t="s">
        <v>330</v>
      </c>
      <c r="H126" s="105" t="s">
        <v>278</v>
      </c>
      <c r="I126" s="494">
        <v>5790091</v>
      </c>
      <c r="J126" s="655">
        <v>4172703</v>
      </c>
      <c r="K126" s="655">
        <v>19500</v>
      </c>
      <c r="L126" s="489">
        <v>1416964</v>
      </c>
      <c r="M126" s="489">
        <v>83454</v>
      </c>
      <c r="N126" s="655">
        <v>97470</v>
      </c>
      <c r="O126" s="490">
        <v>8.3839000000000006</v>
      </c>
      <c r="P126" s="491">
        <v>5.7270000000000003</v>
      </c>
      <c r="Q126" s="657">
        <v>2.6568999999999998</v>
      </c>
      <c r="R126" s="501">
        <f t="shared" si="111"/>
        <v>0</v>
      </c>
      <c r="S126" s="492">
        <v>0</v>
      </c>
      <c r="T126" s="492">
        <v>0</v>
      </c>
      <c r="U126" s="492">
        <v>0</v>
      </c>
      <c r="V126" s="492">
        <f>SUM(R126:U126)</f>
        <v>0</v>
      </c>
      <c r="W126" s="492">
        <v>0</v>
      </c>
      <c r="X126" s="492">
        <v>0</v>
      </c>
      <c r="Y126" s="492">
        <v>0</v>
      </c>
      <c r="Z126" s="492">
        <f t="shared" si="113"/>
        <v>0</v>
      </c>
      <c r="AA126" s="492">
        <f t="shared" si="114"/>
        <v>0</v>
      </c>
      <c r="AB126" s="74">
        <f t="shared" si="115"/>
        <v>0</v>
      </c>
      <c r="AC126" s="74">
        <f t="shared" si="116"/>
        <v>0</v>
      </c>
      <c r="AD126" s="492">
        <v>0</v>
      </c>
      <c r="AE126" s="492">
        <v>0</v>
      </c>
      <c r="AF126" s="492">
        <f>SUM(AD126:AE126)</f>
        <v>0</v>
      </c>
      <c r="AG126" s="492">
        <f>AA126+AB126+AC126+AF126</f>
        <v>0</v>
      </c>
      <c r="AH126" s="493">
        <v>0</v>
      </c>
      <c r="AI126" s="493">
        <v>0</v>
      </c>
      <c r="AJ126" s="493">
        <v>0</v>
      </c>
      <c r="AK126" s="493">
        <v>0</v>
      </c>
      <c r="AL126" s="493">
        <v>0</v>
      </c>
      <c r="AM126" s="493">
        <v>0</v>
      </c>
      <c r="AN126" s="493">
        <v>0</v>
      </c>
      <c r="AO126" s="493">
        <f t="shared" si="119"/>
        <v>0</v>
      </c>
      <c r="AP126" s="493">
        <f t="shared" si="120"/>
        <v>0</v>
      </c>
      <c r="AQ126" s="664">
        <f t="shared" si="121"/>
        <v>0</v>
      </c>
      <c r="AR126" s="502">
        <f>I126+AG126</f>
        <v>5790091</v>
      </c>
      <c r="AS126" s="492">
        <f>J126+V126</f>
        <v>4172703</v>
      </c>
      <c r="AT126" s="492">
        <f t="shared" si="179"/>
        <v>19500</v>
      </c>
      <c r="AU126" s="492">
        <f t="shared" si="180"/>
        <v>1416964</v>
      </c>
      <c r="AV126" s="492">
        <f t="shared" si="180"/>
        <v>83454</v>
      </c>
      <c r="AW126" s="492">
        <f>N126+AF126</f>
        <v>97470</v>
      </c>
      <c r="AX126" s="493">
        <f>O126+AQ126</f>
        <v>8.3839000000000006</v>
      </c>
      <c r="AY126" s="493">
        <f t="shared" si="181"/>
        <v>5.7270000000000003</v>
      </c>
      <c r="AZ126" s="495">
        <f t="shared" si="181"/>
        <v>2.6568999999999998</v>
      </c>
    </row>
    <row r="127" spans="1:52" s="106" customFormat="1" ht="14.1" customHeight="1" x14ac:dyDescent="0.2">
      <c r="A127" s="129">
        <v>20</v>
      </c>
      <c r="B127" s="112">
        <v>2446</v>
      </c>
      <c r="C127" s="103">
        <v>600080129</v>
      </c>
      <c r="D127" s="84">
        <v>72743522</v>
      </c>
      <c r="E127" s="112" t="s">
        <v>782</v>
      </c>
      <c r="F127" s="104">
        <v>3117</v>
      </c>
      <c r="G127" s="84" t="s">
        <v>313</v>
      </c>
      <c r="H127" s="105" t="s">
        <v>279</v>
      </c>
      <c r="I127" s="494">
        <v>1432539</v>
      </c>
      <c r="J127" s="489">
        <v>1053048</v>
      </c>
      <c r="K127" s="489">
        <v>0</v>
      </c>
      <c r="L127" s="489">
        <v>355930</v>
      </c>
      <c r="M127" s="489">
        <v>21061</v>
      </c>
      <c r="N127" s="489">
        <v>2500</v>
      </c>
      <c r="O127" s="490">
        <v>2.94</v>
      </c>
      <c r="P127" s="491">
        <v>2.94</v>
      </c>
      <c r="Q127" s="658">
        <v>0</v>
      </c>
      <c r="R127" s="501">
        <f t="shared" si="111"/>
        <v>0</v>
      </c>
      <c r="S127" s="492">
        <v>0</v>
      </c>
      <c r="T127" s="492">
        <v>0</v>
      </c>
      <c r="U127" s="492">
        <v>0</v>
      </c>
      <c r="V127" s="492">
        <f>SUM(R127:U127)</f>
        <v>0</v>
      </c>
      <c r="W127" s="492">
        <v>0</v>
      </c>
      <c r="X127" s="492">
        <v>0</v>
      </c>
      <c r="Y127" s="492">
        <v>0</v>
      </c>
      <c r="Z127" s="492">
        <f t="shared" si="113"/>
        <v>0</v>
      </c>
      <c r="AA127" s="492">
        <f t="shared" si="114"/>
        <v>0</v>
      </c>
      <c r="AB127" s="74">
        <f t="shared" si="115"/>
        <v>0</v>
      </c>
      <c r="AC127" s="74">
        <f t="shared" si="116"/>
        <v>0</v>
      </c>
      <c r="AD127" s="492">
        <v>0</v>
      </c>
      <c r="AE127" s="492">
        <v>0</v>
      </c>
      <c r="AF127" s="492">
        <f>SUM(AD127:AE127)</f>
        <v>0</v>
      </c>
      <c r="AG127" s="492">
        <f>AA127+AB127+AC127+AF127</f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 t="shared" si="119"/>
        <v>0</v>
      </c>
      <c r="AP127" s="493">
        <f t="shared" si="120"/>
        <v>0</v>
      </c>
      <c r="AQ127" s="664">
        <f t="shared" si="121"/>
        <v>0</v>
      </c>
      <c r="AR127" s="502">
        <f>I127+AG127</f>
        <v>1432539</v>
      </c>
      <c r="AS127" s="492">
        <f>J127+V127</f>
        <v>1053048</v>
      </c>
      <c r="AT127" s="492">
        <f t="shared" si="179"/>
        <v>0</v>
      </c>
      <c r="AU127" s="492">
        <f t="shared" si="180"/>
        <v>355930</v>
      </c>
      <c r="AV127" s="492">
        <f t="shared" si="180"/>
        <v>21061</v>
      </c>
      <c r="AW127" s="492">
        <f>N127+AF127</f>
        <v>2500</v>
      </c>
      <c r="AX127" s="493">
        <f>O127+AQ127</f>
        <v>2.94</v>
      </c>
      <c r="AY127" s="493">
        <f t="shared" si="181"/>
        <v>2.94</v>
      </c>
      <c r="AZ127" s="495">
        <f t="shared" si="181"/>
        <v>0</v>
      </c>
    </row>
    <row r="128" spans="1:52" s="106" customFormat="1" ht="14.1" customHeight="1" x14ac:dyDescent="0.2">
      <c r="A128" s="129">
        <v>20</v>
      </c>
      <c r="B128" s="84">
        <v>2446</v>
      </c>
      <c r="C128" s="103">
        <v>600080129</v>
      </c>
      <c r="D128" s="84">
        <v>72743522</v>
      </c>
      <c r="E128" s="84" t="s">
        <v>782</v>
      </c>
      <c r="F128" s="104">
        <v>3143</v>
      </c>
      <c r="G128" s="84" t="s">
        <v>629</v>
      </c>
      <c r="H128" s="105" t="s">
        <v>278</v>
      </c>
      <c r="I128" s="494">
        <v>814775</v>
      </c>
      <c r="J128" s="656">
        <v>599981</v>
      </c>
      <c r="K128" s="656">
        <v>0</v>
      </c>
      <c r="L128" s="489">
        <v>202794</v>
      </c>
      <c r="M128" s="489">
        <v>12000</v>
      </c>
      <c r="N128" s="489">
        <v>0</v>
      </c>
      <c r="O128" s="490">
        <v>1.3280000000000001</v>
      </c>
      <c r="P128" s="14">
        <v>1.3280000000000001</v>
      </c>
      <c r="Q128" s="658">
        <v>0</v>
      </c>
      <c r="R128" s="501">
        <f t="shared" si="111"/>
        <v>0</v>
      </c>
      <c r="S128" s="492">
        <v>0</v>
      </c>
      <c r="T128" s="492">
        <v>0</v>
      </c>
      <c r="U128" s="492">
        <v>0</v>
      </c>
      <c r="V128" s="492">
        <f>SUM(R128:U128)</f>
        <v>0</v>
      </c>
      <c r="W128" s="492">
        <v>0</v>
      </c>
      <c r="X128" s="492">
        <v>0</v>
      </c>
      <c r="Y128" s="492">
        <v>0</v>
      </c>
      <c r="Z128" s="492">
        <f t="shared" si="113"/>
        <v>0</v>
      </c>
      <c r="AA128" s="492">
        <f t="shared" si="114"/>
        <v>0</v>
      </c>
      <c r="AB128" s="74">
        <f t="shared" si="115"/>
        <v>0</v>
      </c>
      <c r="AC128" s="74">
        <f t="shared" si="116"/>
        <v>0</v>
      </c>
      <c r="AD128" s="492">
        <v>0</v>
      </c>
      <c r="AE128" s="492">
        <v>0</v>
      </c>
      <c r="AF128" s="492">
        <f>SUM(AD128:AE128)</f>
        <v>0</v>
      </c>
      <c r="AG128" s="492">
        <f>AA128+AB128+AC128+AF128</f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 t="shared" si="119"/>
        <v>0</v>
      </c>
      <c r="AP128" s="493">
        <f t="shared" si="120"/>
        <v>0</v>
      </c>
      <c r="AQ128" s="664">
        <f t="shared" si="121"/>
        <v>0</v>
      </c>
      <c r="AR128" s="502">
        <f>I128+AG128</f>
        <v>814775</v>
      </c>
      <c r="AS128" s="492">
        <f>J128+V128</f>
        <v>599981</v>
      </c>
      <c r="AT128" s="492">
        <f t="shared" si="179"/>
        <v>0</v>
      </c>
      <c r="AU128" s="492">
        <f t="shared" si="180"/>
        <v>202794</v>
      </c>
      <c r="AV128" s="492">
        <f t="shared" si="180"/>
        <v>12000</v>
      </c>
      <c r="AW128" s="492">
        <f>N128+AF128</f>
        <v>0</v>
      </c>
      <c r="AX128" s="493">
        <f>O128+AQ128</f>
        <v>1.3280000000000001</v>
      </c>
      <c r="AY128" s="493">
        <f t="shared" si="181"/>
        <v>1.3280000000000001</v>
      </c>
      <c r="AZ128" s="495">
        <f t="shared" si="181"/>
        <v>0</v>
      </c>
    </row>
    <row r="129" spans="1:52" s="106" customFormat="1" ht="14.1" customHeight="1" x14ac:dyDescent="0.2">
      <c r="A129" s="129">
        <v>20</v>
      </c>
      <c r="B129" s="84">
        <v>2446</v>
      </c>
      <c r="C129" s="103">
        <v>600080129</v>
      </c>
      <c r="D129" s="84">
        <v>72743522</v>
      </c>
      <c r="E129" s="84" t="s">
        <v>782</v>
      </c>
      <c r="F129" s="104">
        <v>3143</v>
      </c>
      <c r="G129" s="84" t="s">
        <v>630</v>
      </c>
      <c r="H129" s="105" t="s">
        <v>279</v>
      </c>
      <c r="I129" s="494">
        <v>24948</v>
      </c>
      <c r="J129" s="655">
        <v>17642</v>
      </c>
      <c r="K129" s="655">
        <v>0</v>
      </c>
      <c r="L129" s="489">
        <v>5963</v>
      </c>
      <c r="M129" s="489">
        <v>353</v>
      </c>
      <c r="N129" s="655">
        <v>990</v>
      </c>
      <c r="O129" s="490">
        <v>7.0000000000000007E-2</v>
      </c>
      <c r="P129" s="491">
        <v>0</v>
      </c>
      <c r="Q129" s="657">
        <v>7.0000000000000007E-2</v>
      </c>
      <c r="R129" s="501">
        <f t="shared" si="111"/>
        <v>0</v>
      </c>
      <c r="S129" s="492">
        <v>0</v>
      </c>
      <c r="T129" s="492">
        <v>0</v>
      </c>
      <c r="U129" s="492">
        <v>0</v>
      </c>
      <c r="V129" s="492">
        <f>SUM(R129:U129)</f>
        <v>0</v>
      </c>
      <c r="W129" s="492">
        <v>0</v>
      </c>
      <c r="X129" s="492">
        <v>0</v>
      </c>
      <c r="Y129" s="492">
        <v>0</v>
      </c>
      <c r="Z129" s="492">
        <f t="shared" si="113"/>
        <v>0</v>
      </c>
      <c r="AA129" s="492">
        <f t="shared" si="114"/>
        <v>0</v>
      </c>
      <c r="AB129" s="74">
        <f t="shared" si="115"/>
        <v>0</v>
      </c>
      <c r="AC129" s="74">
        <f t="shared" si="116"/>
        <v>0</v>
      </c>
      <c r="AD129" s="492">
        <v>0</v>
      </c>
      <c r="AE129" s="492">
        <v>0</v>
      </c>
      <c r="AF129" s="492">
        <f>SUM(AD129:AE129)</f>
        <v>0</v>
      </c>
      <c r="AG129" s="492">
        <f>AA129+AB129+AC129+AF129</f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 t="shared" si="119"/>
        <v>0</v>
      </c>
      <c r="AP129" s="493">
        <f t="shared" si="120"/>
        <v>0</v>
      </c>
      <c r="AQ129" s="664">
        <f t="shared" si="121"/>
        <v>0</v>
      </c>
      <c r="AR129" s="502">
        <f>I129+AG129</f>
        <v>24948</v>
      </c>
      <c r="AS129" s="492">
        <f>J129+V129</f>
        <v>17642</v>
      </c>
      <c r="AT129" s="492">
        <f t="shared" si="179"/>
        <v>0</v>
      </c>
      <c r="AU129" s="492">
        <f t="shared" si="180"/>
        <v>5963</v>
      </c>
      <c r="AV129" s="492">
        <f t="shared" si="180"/>
        <v>353</v>
      </c>
      <c r="AW129" s="492">
        <f>N129+AF129</f>
        <v>990</v>
      </c>
      <c r="AX129" s="493">
        <f>O129+AQ129</f>
        <v>7.0000000000000007E-2</v>
      </c>
      <c r="AY129" s="493">
        <f t="shared" si="181"/>
        <v>0</v>
      </c>
      <c r="AZ129" s="495">
        <f t="shared" si="181"/>
        <v>7.0000000000000007E-2</v>
      </c>
    </row>
    <row r="130" spans="1:52" s="106" customFormat="1" ht="14.1" customHeight="1" thickBot="1" x14ac:dyDescent="0.25">
      <c r="A130" s="131">
        <v>20</v>
      </c>
      <c r="B130" s="118">
        <v>2446</v>
      </c>
      <c r="C130" s="119">
        <v>600080129</v>
      </c>
      <c r="D130" s="118">
        <v>72743522</v>
      </c>
      <c r="E130" s="118" t="s">
        <v>783</v>
      </c>
      <c r="F130" s="120"/>
      <c r="G130" s="121"/>
      <c r="H130" s="122"/>
      <c r="I130" s="682">
        <v>10398018</v>
      </c>
      <c r="J130" s="531">
        <v>7543645</v>
      </c>
      <c r="K130" s="531">
        <v>26000</v>
      </c>
      <c r="L130" s="531">
        <v>2558540</v>
      </c>
      <c r="M130" s="531">
        <v>150873</v>
      </c>
      <c r="N130" s="531">
        <v>118960</v>
      </c>
      <c r="O130" s="532">
        <v>16.643700000000003</v>
      </c>
      <c r="P130" s="532">
        <v>12.994999999999999</v>
      </c>
      <c r="Q130" s="683">
        <v>3.6486999999999994</v>
      </c>
      <c r="R130" s="534">
        <f t="shared" ref="R130:AZ130" si="182">SUM(R125:R129)</f>
        <v>0</v>
      </c>
      <c r="S130" s="531">
        <f t="shared" si="182"/>
        <v>0</v>
      </c>
      <c r="T130" s="531">
        <f t="shared" si="182"/>
        <v>0</v>
      </c>
      <c r="U130" s="531">
        <f t="shared" si="182"/>
        <v>0</v>
      </c>
      <c r="V130" s="531">
        <f t="shared" si="182"/>
        <v>0</v>
      </c>
      <c r="W130" s="531">
        <f t="shared" si="182"/>
        <v>0</v>
      </c>
      <c r="X130" s="531">
        <f t="shared" si="182"/>
        <v>0</v>
      </c>
      <c r="Y130" s="531">
        <f t="shared" si="182"/>
        <v>0</v>
      </c>
      <c r="Z130" s="531">
        <f t="shared" si="182"/>
        <v>0</v>
      </c>
      <c r="AA130" s="531">
        <f t="shared" si="182"/>
        <v>0</v>
      </c>
      <c r="AB130" s="531">
        <f t="shared" si="182"/>
        <v>0</v>
      </c>
      <c r="AC130" s="531">
        <f t="shared" si="182"/>
        <v>0</v>
      </c>
      <c r="AD130" s="531">
        <f t="shared" si="182"/>
        <v>0</v>
      </c>
      <c r="AE130" s="531">
        <f t="shared" si="182"/>
        <v>0</v>
      </c>
      <c r="AF130" s="531">
        <f t="shared" si="182"/>
        <v>0</v>
      </c>
      <c r="AG130" s="531">
        <f t="shared" si="182"/>
        <v>0</v>
      </c>
      <c r="AH130" s="532">
        <f t="shared" si="182"/>
        <v>0</v>
      </c>
      <c r="AI130" s="532">
        <f t="shared" si="182"/>
        <v>0</v>
      </c>
      <c r="AJ130" s="532">
        <f t="shared" si="182"/>
        <v>0</v>
      </c>
      <c r="AK130" s="532">
        <f t="shared" ref="AK130:AL130" si="183">SUM(AK125:AK129)</f>
        <v>0</v>
      </c>
      <c r="AL130" s="532">
        <f t="shared" si="183"/>
        <v>0</v>
      </c>
      <c r="AM130" s="532">
        <f t="shared" si="182"/>
        <v>0</v>
      </c>
      <c r="AN130" s="661">
        <f t="shared" si="182"/>
        <v>0</v>
      </c>
      <c r="AO130" s="661">
        <f t="shared" si="182"/>
        <v>0</v>
      </c>
      <c r="AP130" s="661">
        <f t="shared" si="182"/>
        <v>0</v>
      </c>
      <c r="AQ130" s="533">
        <f t="shared" si="182"/>
        <v>0</v>
      </c>
      <c r="AR130" s="659">
        <f t="shared" si="182"/>
        <v>10398018</v>
      </c>
      <c r="AS130" s="660">
        <f t="shared" si="182"/>
        <v>7543645</v>
      </c>
      <c r="AT130" s="660">
        <f t="shared" si="182"/>
        <v>26000</v>
      </c>
      <c r="AU130" s="660">
        <f t="shared" si="182"/>
        <v>2558540</v>
      </c>
      <c r="AV130" s="660">
        <f t="shared" si="182"/>
        <v>150873</v>
      </c>
      <c r="AW130" s="660">
        <f t="shared" si="182"/>
        <v>118960</v>
      </c>
      <c r="AX130" s="661">
        <f t="shared" si="182"/>
        <v>16.643700000000003</v>
      </c>
      <c r="AY130" s="661">
        <f t="shared" si="182"/>
        <v>12.994999999999999</v>
      </c>
      <c r="AZ130" s="662">
        <f t="shared" si="182"/>
        <v>3.6486999999999994</v>
      </c>
    </row>
    <row r="131" spans="1:52" s="106" customFormat="1" ht="14.1" customHeight="1" thickBot="1" x14ac:dyDescent="0.25">
      <c r="A131" s="272"/>
      <c r="B131" s="273"/>
      <c r="C131" s="273"/>
      <c r="D131" s="273"/>
      <c r="E131" s="273" t="s">
        <v>784</v>
      </c>
      <c r="F131" s="273"/>
      <c r="G131" s="273"/>
      <c r="H131" s="274"/>
      <c r="I131" s="535">
        <f t="shared" ref="I131:AZ131" si="184">I130+I124+I115+I113+I107+I105+I101+I95+I91+I84+I77+I70+I63+I56+I49+I42+I35+I28+I19+I13</f>
        <v>332803389</v>
      </c>
      <c r="J131" s="536">
        <f t="shared" si="184"/>
        <v>240667641</v>
      </c>
      <c r="K131" s="536">
        <f t="shared" si="184"/>
        <v>1403210</v>
      </c>
      <c r="L131" s="536">
        <f t="shared" si="184"/>
        <v>81772629</v>
      </c>
      <c r="M131" s="536">
        <f t="shared" si="184"/>
        <v>4813355</v>
      </c>
      <c r="N131" s="536">
        <f t="shared" si="184"/>
        <v>4146554</v>
      </c>
      <c r="O131" s="537">
        <f t="shared" si="184"/>
        <v>515.00559999999996</v>
      </c>
      <c r="P131" s="537">
        <f t="shared" si="184"/>
        <v>374.2577</v>
      </c>
      <c r="Q131" s="538">
        <f t="shared" si="184"/>
        <v>140.74790000000002</v>
      </c>
      <c r="R131" s="681">
        <f t="shared" si="184"/>
        <v>0</v>
      </c>
      <c r="S131" s="536">
        <f t="shared" si="184"/>
        <v>226456</v>
      </c>
      <c r="T131" s="536">
        <f t="shared" si="184"/>
        <v>0</v>
      </c>
      <c r="U131" s="536">
        <f t="shared" si="184"/>
        <v>-1079250</v>
      </c>
      <c r="V131" s="536">
        <f t="shared" si="184"/>
        <v>-852794</v>
      </c>
      <c r="W131" s="536">
        <f t="shared" si="184"/>
        <v>0</v>
      </c>
      <c r="X131" s="536">
        <f t="shared" si="184"/>
        <v>0</v>
      </c>
      <c r="Y131" s="536">
        <f t="shared" si="184"/>
        <v>0</v>
      </c>
      <c r="Z131" s="536">
        <f t="shared" si="184"/>
        <v>0</v>
      </c>
      <c r="AA131" s="536">
        <f t="shared" si="184"/>
        <v>-852794</v>
      </c>
      <c r="AB131" s="536">
        <f t="shared" si="184"/>
        <v>-288244</v>
      </c>
      <c r="AC131" s="536">
        <f t="shared" si="184"/>
        <v>-17057</v>
      </c>
      <c r="AD131" s="536">
        <f t="shared" si="184"/>
        <v>1750</v>
      </c>
      <c r="AE131" s="536">
        <f t="shared" si="184"/>
        <v>25239</v>
      </c>
      <c r="AF131" s="536">
        <f t="shared" si="184"/>
        <v>26989</v>
      </c>
      <c r="AG131" s="536">
        <f t="shared" si="184"/>
        <v>-1131106</v>
      </c>
      <c r="AH131" s="537">
        <f t="shared" si="184"/>
        <v>0</v>
      </c>
      <c r="AI131" s="537">
        <f t="shared" si="184"/>
        <v>0</v>
      </c>
      <c r="AJ131" s="537">
        <f t="shared" si="184"/>
        <v>0.66999999999999993</v>
      </c>
      <c r="AK131" s="537">
        <f t="shared" ref="AK131:AL131" si="185">AK130+AK124+AK115+AK113+AK107+AK105+AK101+AK95+AK91+AK84+AK77+AK70+AK63+AK56+AK49+AK42+AK35+AK28+AK19+AK13</f>
        <v>0</v>
      </c>
      <c r="AL131" s="537">
        <f t="shared" si="185"/>
        <v>0</v>
      </c>
      <c r="AM131" s="537">
        <f t="shared" si="184"/>
        <v>-1.79</v>
      </c>
      <c r="AN131" s="654">
        <f t="shared" si="184"/>
        <v>-0.25</v>
      </c>
      <c r="AO131" s="654">
        <f t="shared" si="184"/>
        <v>-1.1200000000000001</v>
      </c>
      <c r="AP131" s="654">
        <f t="shared" si="184"/>
        <v>-0.25</v>
      </c>
      <c r="AQ131" s="538">
        <f t="shared" si="184"/>
        <v>-1.37</v>
      </c>
      <c r="AR131" s="665">
        <f t="shared" si="184"/>
        <v>331672283</v>
      </c>
      <c r="AS131" s="653">
        <f t="shared" si="184"/>
        <v>239814847</v>
      </c>
      <c r="AT131" s="653">
        <f t="shared" si="184"/>
        <v>1403210</v>
      </c>
      <c r="AU131" s="653">
        <f t="shared" si="184"/>
        <v>81484385</v>
      </c>
      <c r="AV131" s="653">
        <f t="shared" si="184"/>
        <v>4796298</v>
      </c>
      <c r="AW131" s="653">
        <f t="shared" si="184"/>
        <v>4173543</v>
      </c>
      <c r="AX131" s="654">
        <f t="shared" si="184"/>
        <v>513.63559999999995</v>
      </c>
      <c r="AY131" s="654">
        <f t="shared" si="184"/>
        <v>373.1377</v>
      </c>
      <c r="AZ131" s="666">
        <f t="shared" si="184"/>
        <v>140.49790000000002</v>
      </c>
    </row>
    <row r="132" spans="1:52" s="106" customFormat="1" ht="14.1" customHeight="1" x14ac:dyDescent="0.2">
      <c r="A132" s="124"/>
      <c r="E132" s="123"/>
      <c r="F132" s="123"/>
      <c r="G132" s="123"/>
      <c r="H132" s="123"/>
      <c r="I132" s="507">
        <f>SUM(J131:N131)</f>
        <v>332803389</v>
      </c>
      <c r="J132" s="507"/>
      <c r="K132" s="507"/>
      <c r="L132" s="507"/>
      <c r="M132" s="507"/>
      <c r="N132" s="507"/>
      <c r="O132" s="508">
        <f>SUM(P131:Q131)</f>
        <v>515.00559999999996</v>
      </c>
      <c r="P132" s="508"/>
      <c r="Q132" s="508"/>
      <c r="R132" s="507">
        <f>W131</f>
        <v>0</v>
      </c>
      <c r="S132" s="508"/>
      <c r="T132" s="508"/>
      <c r="U132" s="508"/>
      <c r="V132" s="516">
        <f>SUM(R131:U131)</f>
        <v>-852794</v>
      </c>
      <c r="W132" s="516">
        <f>R131</f>
        <v>0</v>
      </c>
      <c r="X132" s="517"/>
      <c r="Y132" s="517"/>
      <c r="Z132" s="516">
        <f>SUM(W131:Y131)</f>
        <v>0</v>
      </c>
      <c r="AA132" s="516">
        <f>V131+Z131</f>
        <v>-852794</v>
      </c>
      <c r="AB132" s="518"/>
      <c r="AC132" s="518"/>
      <c r="AD132" s="517"/>
      <c r="AE132" s="517"/>
      <c r="AF132" s="516">
        <f>SUM(AD131:AE131)</f>
        <v>26989</v>
      </c>
      <c r="AG132" s="516">
        <f>AA131+AB131+AC131+AF131</f>
        <v>-1131106</v>
      </c>
      <c r="AH132" s="519"/>
      <c r="AI132" s="519"/>
      <c r="AJ132" s="519"/>
      <c r="AK132" s="519"/>
      <c r="AL132" s="519"/>
      <c r="AM132" s="519"/>
      <c r="AN132" s="519"/>
      <c r="AO132" s="520">
        <f>AH131+AJ131+AK131+AM131</f>
        <v>-1.1200000000000001</v>
      </c>
      <c r="AP132" s="520">
        <f>AI131+AL131+AN131</f>
        <v>-0.25</v>
      </c>
      <c r="AQ132" s="520">
        <f>SUM(AO131:AP131)</f>
        <v>-1.37</v>
      </c>
      <c r="AR132" s="507">
        <f>SUM(AS131:AW131)</f>
        <v>331672283</v>
      </c>
      <c r="AS132" s="59"/>
      <c r="AT132" s="59"/>
      <c r="AU132" s="59"/>
      <c r="AV132" s="59"/>
      <c r="AW132" s="59"/>
      <c r="AX132" s="508">
        <f>SUM(AY131:AZ131)</f>
        <v>513.63560000000007</v>
      </c>
      <c r="AY132" s="97"/>
      <c r="AZ132" s="97"/>
    </row>
    <row r="133" spans="1:52" customFormat="1" ht="13.5" thickBot="1" x14ac:dyDescent="0.25">
      <c r="D133" s="27"/>
      <c r="E133" s="28"/>
      <c r="F133" s="27"/>
      <c r="G133" s="46"/>
      <c r="H133" s="28"/>
      <c r="I133" s="95">
        <f>SUM(J134:N134)</f>
        <v>332803389</v>
      </c>
      <c r="J133" s="57"/>
      <c r="K133" s="57"/>
      <c r="L133" s="515"/>
      <c r="M133" s="515"/>
      <c r="N133" s="57"/>
      <c r="O133" s="96">
        <f>SUM(P134:Q134)</f>
        <v>515.00559999999996</v>
      </c>
      <c r="P133" s="187"/>
      <c r="Q133" s="187"/>
      <c r="R133" s="508"/>
      <c r="S133" s="508"/>
      <c r="T133" s="508"/>
      <c r="U133" s="508"/>
      <c r="V133" s="516">
        <f>SUM(R134:U134)</f>
        <v>-852794</v>
      </c>
      <c r="W133" s="517"/>
      <c r="X133" s="517"/>
      <c r="Y133" s="517"/>
      <c r="Z133" s="516">
        <f>SUM(W134:Y134)</f>
        <v>0</v>
      </c>
      <c r="AA133" s="516">
        <f>V134+Z134</f>
        <v>-852794</v>
      </c>
      <c r="AB133" s="518"/>
      <c r="AC133" s="518"/>
      <c r="AD133" s="517"/>
      <c r="AE133" s="517"/>
      <c r="AF133" s="516">
        <f>SUM(AD134:AE134)</f>
        <v>26989</v>
      </c>
      <c r="AG133" s="516">
        <f>AA134+AB134+AC134+AF134</f>
        <v>-1131106</v>
      </c>
      <c r="AH133" s="519"/>
      <c r="AI133" s="519"/>
      <c r="AJ133" s="519"/>
      <c r="AK133" s="519"/>
      <c r="AL133" s="519"/>
      <c r="AM133" s="519"/>
      <c r="AN133" s="519"/>
      <c r="AO133" s="715">
        <f>AH134+AJ134+AK134+AM134</f>
        <v>-1.1200000000000001</v>
      </c>
      <c r="AP133" s="715">
        <f>AI134+AL134+AN134</f>
        <v>-0.25</v>
      </c>
      <c r="AQ133" s="520">
        <f>SUM(AO134:AP134)</f>
        <v>-1.37</v>
      </c>
      <c r="AR133" s="507">
        <f>SUM(AS134:AW134)</f>
        <v>331672283</v>
      </c>
      <c r="AS133" s="59"/>
      <c r="AT133" s="59"/>
      <c r="AU133" s="59"/>
      <c r="AV133" s="59"/>
      <c r="AW133" s="59"/>
      <c r="AX133" s="508">
        <f>SUM(AY134:AZ134)</f>
        <v>513.63560000000007</v>
      </c>
      <c r="AY133" s="97"/>
      <c r="AZ133" s="97"/>
    </row>
    <row r="134" spans="1:52" customFormat="1" ht="13.5" thickBot="1" x14ac:dyDescent="0.25">
      <c r="D134" s="27"/>
      <c r="E134" s="28"/>
      <c r="F134" s="27"/>
      <c r="G134" s="46"/>
      <c r="H134" s="539" t="s">
        <v>0</v>
      </c>
      <c r="I134" s="150">
        <f t="shared" ref="I134:AZ134" si="186">SUM(I135:I144)</f>
        <v>332803389</v>
      </c>
      <c r="J134" s="38">
        <f t="shared" si="186"/>
        <v>240667641</v>
      </c>
      <c r="K134" s="38">
        <f t="shared" ref="K134" si="187">SUM(K135:K144)</f>
        <v>1403210</v>
      </c>
      <c r="L134" s="38">
        <f t="shared" si="186"/>
        <v>81772629</v>
      </c>
      <c r="M134" s="38">
        <f t="shared" si="186"/>
        <v>4813355</v>
      </c>
      <c r="N134" s="38">
        <f t="shared" si="186"/>
        <v>4146554</v>
      </c>
      <c r="O134" s="39">
        <f t="shared" si="186"/>
        <v>515.00559999999996</v>
      </c>
      <c r="P134" s="39">
        <f t="shared" si="186"/>
        <v>374.2577</v>
      </c>
      <c r="Q134" s="159">
        <f t="shared" si="186"/>
        <v>140.74790000000002</v>
      </c>
      <c r="R134" s="150">
        <f t="shared" si="186"/>
        <v>0</v>
      </c>
      <c r="S134" s="38">
        <f t="shared" si="186"/>
        <v>226456</v>
      </c>
      <c r="T134" s="38">
        <f t="shared" si="186"/>
        <v>0</v>
      </c>
      <c r="U134" s="38">
        <f t="shared" si="186"/>
        <v>-1079250</v>
      </c>
      <c r="V134" s="38">
        <f t="shared" si="186"/>
        <v>-852794</v>
      </c>
      <c r="W134" s="38">
        <f t="shared" si="186"/>
        <v>0</v>
      </c>
      <c r="X134" s="38">
        <f t="shared" si="186"/>
        <v>0</v>
      </c>
      <c r="Y134" s="38">
        <f t="shared" si="186"/>
        <v>0</v>
      </c>
      <c r="Z134" s="38">
        <f t="shared" si="186"/>
        <v>0</v>
      </c>
      <c r="AA134" s="38">
        <f t="shared" si="186"/>
        <v>-852794</v>
      </c>
      <c r="AB134" s="38">
        <f t="shared" si="186"/>
        <v>-288244</v>
      </c>
      <c r="AC134" s="38">
        <f t="shared" si="186"/>
        <v>-17057</v>
      </c>
      <c r="AD134" s="38">
        <f t="shared" si="186"/>
        <v>1750</v>
      </c>
      <c r="AE134" s="38">
        <f t="shared" si="186"/>
        <v>25239</v>
      </c>
      <c r="AF134" s="38">
        <f t="shared" si="186"/>
        <v>26989</v>
      </c>
      <c r="AG134" s="38">
        <f t="shared" si="186"/>
        <v>-1131106</v>
      </c>
      <c r="AH134" s="39">
        <f t="shared" si="186"/>
        <v>0</v>
      </c>
      <c r="AI134" s="39">
        <f t="shared" si="186"/>
        <v>0</v>
      </c>
      <c r="AJ134" s="39">
        <f t="shared" si="186"/>
        <v>0.66999999999999993</v>
      </c>
      <c r="AK134" s="39">
        <f t="shared" ref="AK134:AL134" si="188">SUM(AK135:AK144)</f>
        <v>0</v>
      </c>
      <c r="AL134" s="39">
        <f t="shared" si="188"/>
        <v>0</v>
      </c>
      <c r="AM134" s="39">
        <f t="shared" si="186"/>
        <v>-1.79</v>
      </c>
      <c r="AN134" s="39">
        <f t="shared" si="186"/>
        <v>-0.25</v>
      </c>
      <c r="AO134" s="714">
        <f t="shared" si="186"/>
        <v>-1.1200000000000001</v>
      </c>
      <c r="AP134" s="714">
        <f t="shared" si="186"/>
        <v>-0.25</v>
      </c>
      <c r="AQ134" s="40">
        <f t="shared" si="186"/>
        <v>-1.37</v>
      </c>
      <c r="AR134" s="160">
        <f t="shared" si="186"/>
        <v>331672283</v>
      </c>
      <c r="AS134" s="38">
        <f t="shared" si="186"/>
        <v>239814847</v>
      </c>
      <c r="AT134" s="38">
        <f t="shared" si="186"/>
        <v>1403210</v>
      </c>
      <c r="AU134" s="38">
        <f t="shared" si="186"/>
        <v>81484385</v>
      </c>
      <c r="AV134" s="38">
        <f t="shared" si="186"/>
        <v>4796298</v>
      </c>
      <c r="AW134" s="38">
        <f t="shared" si="186"/>
        <v>4173543</v>
      </c>
      <c r="AX134" s="39">
        <f t="shared" si="186"/>
        <v>513.63560000000007</v>
      </c>
      <c r="AY134" s="39">
        <f t="shared" si="186"/>
        <v>373.1377</v>
      </c>
      <c r="AZ134" s="40">
        <f t="shared" si="186"/>
        <v>140.49790000000002</v>
      </c>
    </row>
    <row r="135" spans="1:52" customFormat="1" ht="12.75" x14ac:dyDescent="0.2">
      <c r="D135" s="27"/>
      <c r="E135" s="28"/>
      <c r="F135" s="27"/>
      <c r="G135" s="46"/>
      <c r="H135" s="540">
        <v>3111</v>
      </c>
      <c r="I135" s="35">
        <f t="shared" ref="I135:S135" si="189">SUMIF($F$12:$F$423,"=3111",I$12:I$423)</f>
        <v>61314345</v>
      </c>
      <c r="J135" s="157">
        <f t="shared" si="189"/>
        <v>44484521</v>
      </c>
      <c r="K135" s="157">
        <f t="shared" si="189"/>
        <v>396760</v>
      </c>
      <c r="L135" s="157">
        <f t="shared" si="189"/>
        <v>15169873</v>
      </c>
      <c r="M135" s="157">
        <f t="shared" si="189"/>
        <v>889691</v>
      </c>
      <c r="N135" s="157">
        <f t="shared" si="189"/>
        <v>373500</v>
      </c>
      <c r="O135" s="158">
        <f t="shared" si="189"/>
        <v>98.452500000000015</v>
      </c>
      <c r="P135" s="158">
        <f t="shared" si="189"/>
        <v>79.237100000000012</v>
      </c>
      <c r="Q135" s="504">
        <f t="shared" si="189"/>
        <v>19.215400000000002</v>
      </c>
      <c r="R135" s="35">
        <f t="shared" si="189"/>
        <v>0</v>
      </c>
      <c r="S135" s="157">
        <f t="shared" si="189"/>
        <v>0</v>
      </c>
      <c r="T135" s="157">
        <f t="shared" ref="T135:AD135" si="190">SUMIF($F$12:$F$423,"=3111",T$12:T$423)</f>
        <v>0</v>
      </c>
      <c r="U135" s="157">
        <f t="shared" si="190"/>
        <v>-31928</v>
      </c>
      <c r="V135" s="157">
        <f t="shared" si="190"/>
        <v>-31928</v>
      </c>
      <c r="W135" s="157">
        <f t="shared" si="190"/>
        <v>0</v>
      </c>
      <c r="X135" s="157">
        <f t="shared" si="190"/>
        <v>0</v>
      </c>
      <c r="Y135" s="157">
        <f t="shared" si="190"/>
        <v>0</v>
      </c>
      <c r="Z135" s="157">
        <f t="shared" si="190"/>
        <v>0</v>
      </c>
      <c r="AA135" s="157">
        <f t="shared" si="190"/>
        <v>-31928</v>
      </c>
      <c r="AB135" s="157">
        <f t="shared" si="190"/>
        <v>-10792</v>
      </c>
      <c r="AC135" s="157">
        <f t="shared" si="190"/>
        <v>-639</v>
      </c>
      <c r="AD135" s="157">
        <f t="shared" si="190"/>
        <v>0</v>
      </c>
      <c r="AE135" s="157">
        <f t="shared" ref="AE135:AL135" si="191">SUMIF($F$12:$F$423,"=3111",AE$12:AE$423)</f>
        <v>0</v>
      </c>
      <c r="AF135" s="157">
        <f t="shared" si="191"/>
        <v>0</v>
      </c>
      <c r="AG135" s="157">
        <f t="shared" si="191"/>
        <v>-43359</v>
      </c>
      <c r="AH135" s="158">
        <f t="shared" si="191"/>
        <v>0</v>
      </c>
      <c r="AI135" s="158">
        <f t="shared" si="191"/>
        <v>0</v>
      </c>
      <c r="AJ135" s="158">
        <f t="shared" si="191"/>
        <v>0</v>
      </c>
      <c r="AK135" s="158">
        <f t="shared" si="191"/>
        <v>0</v>
      </c>
      <c r="AL135" s="158">
        <f t="shared" si="191"/>
        <v>0</v>
      </c>
      <c r="AM135" s="158">
        <f t="shared" ref="AM135:AZ135" si="192">SUMIF($F$12:$F$423,"=3111",AM$12:AM$423)</f>
        <v>0</v>
      </c>
      <c r="AN135" s="158">
        <f t="shared" si="192"/>
        <v>0</v>
      </c>
      <c r="AO135" s="158">
        <f t="shared" si="192"/>
        <v>0</v>
      </c>
      <c r="AP135" s="158">
        <f t="shared" si="192"/>
        <v>0</v>
      </c>
      <c r="AQ135" s="263">
        <f t="shared" si="192"/>
        <v>0</v>
      </c>
      <c r="AR135" s="36">
        <f t="shared" si="192"/>
        <v>61270986</v>
      </c>
      <c r="AS135" s="157">
        <f t="shared" si="192"/>
        <v>44452593</v>
      </c>
      <c r="AT135" s="157">
        <f t="shared" si="192"/>
        <v>396760</v>
      </c>
      <c r="AU135" s="157">
        <f t="shared" si="192"/>
        <v>15159081</v>
      </c>
      <c r="AV135" s="157">
        <f t="shared" si="192"/>
        <v>889052</v>
      </c>
      <c r="AW135" s="157">
        <f t="shared" si="192"/>
        <v>373500</v>
      </c>
      <c r="AX135" s="158">
        <f t="shared" si="192"/>
        <v>98.452500000000015</v>
      </c>
      <c r="AY135" s="158">
        <f t="shared" si="192"/>
        <v>79.237100000000012</v>
      </c>
      <c r="AZ135" s="263">
        <f t="shared" si="192"/>
        <v>19.215400000000002</v>
      </c>
    </row>
    <row r="136" spans="1:52" customFormat="1" ht="12.75" x14ac:dyDescent="0.2">
      <c r="D136" s="27"/>
      <c r="E136" s="28"/>
      <c r="F136" s="27"/>
      <c r="G136" s="46"/>
      <c r="H136" s="2">
        <v>3113</v>
      </c>
      <c r="I136" s="29">
        <f t="shared" ref="I136:S136" si="193">SUMIF($F$12:$F$423,"=3113",I$12:I$423)</f>
        <v>158758786</v>
      </c>
      <c r="J136" s="30">
        <f t="shared" si="193"/>
        <v>114425737</v>
      </c>
      <c r="K136" s="30">
        <f t="shared" si="193"/>
        <v>435750</v>
      </c>
      <c r="L136" s="30">
        <f t="shared" si="193"/>
        <v>38775863</v>
      </c>
      <c r="M136" s="30">
        <f t="shared" si="193"/>
        <v>2288516</v>
      </c>
      <c r="N136" s="30">
        <f t="shared" si="193"/>
        <v>2832920</v>
      </c>
      <c r="O136" s="31">
        <f t="shared" si="193"/>
        <v>227.99009999999998</v>
      </c>
      <c r="P136" s="31">
        <f t="shared" si="193"/>
        <v>184.26179999999999</v>
      </c>
      <c r="Q136" s="505">
        <f t="shared" si="193"/>
        <v>43.728299999999997</v>
      </c>
      <c r="R136" s="29">
        <f t="shared" si="193"/>
        <v>0</v>
      </c>
      <c r="S136" s="30">
        <f t="shared" si="193"/>
        <v>0</v>
      </c>
      <c r="T136" s="30">
        <f t="shared" ref="T136:AD136" si="194">SUMIF($F$12:$F$423,"=3113",T$12:T$423)</f>
        <v>0</v>
      </c>
      <c r="U136" s="30">
        <f t="shared" si="194"/>
        <v>-646747</v>
      </c>
      <c r="V136" s="30">
        <f t="shared" si="194"/>
        <v>-646747</v>
      </c>
      <c r="W136" s="30">
        <f t="shared" si="194"/>
        <v>0</v>
      </c>
      <c r="X136" s="30">
        <f t="shared" si="194"/>
        <v>0</v>
      </c>
      <c r="Y136" s="30">
        <f t="shared" si="194"/>
        <v>0</v>
      </c>
      <c r="Z136" s="30">
        <f t="shared" si="194"/>
        <v>0</v>
      </c>
      <c r="AA136" s="30">
        <f t="shared" si="194"/>
        <v>-646747</v>
      </c>
      <c r="AB136" s="30">
        <f t="shared" si="194"/>
        <v>-218600</v>
      </c>
      <c r="AC136" s="30">
        <f t="shared" si="194"/>
        <v>-12935</v>
      </c>
      <c r="AD136" s="30">
        <f t="shared" si="194"/>
        <v>500</v>
      </c>
      <c r="AE136" s="30">
        <f t="shared" ref="AE136:AL136" si="195">SUMIF($F$12:$F$423,"=3113",AE$12:AE$423)</f>
        <v>0</v>
      </c>
      <c r="AF136" s="30">
        <f t="shared" si="195"/>
        <v>500</v>
      </c>
      <c r="AG136" s="30">
        <f t="shared" si="195"/>
        <v>-877782</v>
      </c>
      <c r="AH136" s="31">
        <f t="shared" si="195"/>
        <v>0</v>
      </c>
      <c r="AI136" s="31">
        <f t="shared" si="195"/>
        <v>0</v>
      </c>
      <c r="AJ136" s="31">
        <f t="shared" si="195"/>
        <v>0</v>
      </c>
      <c r="AK136" s="31">
        <f t="shared" si="195"/>
        <v>0</v>
      </c>
      <c r="AL136" s="31">
        <f t="shared" si="195"/>
        <v>0</v>
      </c>
      <c r="AM136" s="31">
        <f t="shared" ref="AM136:AZ136" si="196">SUMIF($F$12:$F$423,"=3113",AM$12:AM$423)</f>
        <v>-0.91</v>
      </c>
      <c r="AN136" s="31">
        <f t="shared" si="196"/>
        <v>-0.25</v>
      </c>
      <c r="AO136" s="31">
        <f t="shared" si="196"/>
        <v>-0.91</v>
      </c>
      <c r="AP136" s="31">
        <f t="shared" si="196"/>
        <v>-0.25</v>
      </c>
      <c r="AQ136" s="264">
        <f t="shared" si="196"/>
        <v>-1.1600000000000001</v>
      </c>
      <c r="AR136" s="43">
        <f t="shared" si="196"/>
        <v>157881004</v>
      </c>
      <c r="AS136" s="30">
        <f t="shared" si="196"/>
        <v>113778990</v>
      </c>
      <c r="AT136" s="30">
        <f t="shared" si="196"/>
        <v>435750</v>
      </c>
      <c r="AU136" s="30">
        <f t="shared" si="196"/>
        <v>38557263</v>
      </c>
      <c r="AV136" s="30">
        <f t="shared" si="196"/>
        <v>2275581</v>
      </c>
      <c r="AW136" s="30">
        <f t="shared" si="196"/>
        <v>2833420</v>
      </c>
      <c r="AX136" s="31">
        <f t="shared" si="196"/>
        <v>226.83009999999996</v>
      </c>
      <c r="AY136" s="31">
        <f t="shared" si="196"/>
        <v>183.3518</v>
      </c>
      <c r="AZ136" s="264">
        <f t="shared" si="196"/>
        <v>43.478299999999997</v>
      </c>
    </row>
    <row r="137" spans="1:52" customFormat="1" ht="12.75" x14ac:dyDescent="0.2">
      <c r="D137" s="27"/>
      <c r="E137" s="28"/>
      <c r="F137" s="27"/>
      <c r="G137" s="46"/>
      <c r="H137" s="2">
        <v>3114</v>
      </c>
      <c r="I137" s="29">
        <f t="shared" ref="I137:S137" si="197">SUMIF($F$12:$F$423,"=3114",I$12:I$423)</f>
        <v>13639342</v>
      </c>
      <c r="J137" s="30">
        <f t="shared" si="197"/>
        <v>9908019</v>
      </c>
      <c r="K137" s="30">
        <f t="shared" si="197"/>
        <v>39650</v>
      </c>
      <c r="L137" s="30">
        <f t="shared" si="197"/>
        <v>3362313</v>
      </c>
      <c r="M137" s="30">
        <f t="shared" si="197"/>
        <v>198160</v>
      </c>
      <c r="N137" s="30">
        <f t="shared" si="197"/>
        <v>131200</v>
      </c>
      <c r="O137" s="31">
        <f t="shared" si="197"/>
        <v>19.1526</v>
      </c>
      <c r="P137" s="31">
        <f t="shared" si="197"/>
        <v>15.074300000000001</v>
      </c>
      <c r="Q137" s="505">
        <f t="shared" si="197"/>
        <v>4.0782999999999996</v>
      </c>
      <c r="R137" s="29">
        <f t="shared" si="197"/>
        <v>0</v>
      </c>
      <c r="S137" s="30">
        <f t="shared" si="197"/>
        <v>0</v>
      </c>
      <c r="T137" s="30">
        <f t="shared" ref="T137:AD137" si="198">SUMIF($F$12:$F$423,"=3114",T$12:T$423)</f>
        <v>0</v>
      </c>
      <c r="U137" s="30">
        <f t="shared" si="198"/>
        <v>0</v>
      </c>
      <c r="V137" s="30">
        <f t="shared" si="198"/>
        <v>0</v>
      </c>
      <c r="W137" s="30">
        <f t="shared" si="198"/>
        <v>0</v>
      </c>
      <c r="X137" s="30">
        <f t="shared" si="198"/>
        <v>0</v>
      </c>
      <c r="Y137" s="30">
        <f t="shared" si="198"/>
        <v>0</v>
      </c>
      <c r="Z137" s="30">
        <f t="shared" si="198"/>
        <v>0</v>
      </c>
      <c r="AA137" s="30">
        <f t="shared" si="198"/>
        <v>0</v>
      </c>
      <c r="AB137" s="30">
        <f t="shared" si="198"/>
        <v>0</v>
      </c>
      <c r="AC137" s="30">
        <f t="shared" si="198"/>
        <v>0</v>
      </c>
      <c r="AD137" s="30">
        <f t="shared" si="198"/>
        <v>0</v>
      </c>
      <c r="AE137" s="30">
        <f t="shared" ref="AE137:AL137" si="199">SUMIF($F$12:$F$423,"=3114",AE$12:AE$423)</f>
        <v>0</v>
      </c>
      <c r="AF137" s="30">
        <f t="shared" si="199"/>
        <v>0</v>
      </c>
      <c r="AG137" s="30">
        <f t="shared" si="199"/>
        <v>0</v>
      </c>
      <c r="AH137" s="31">
        <f t="shared" si="199"/>
        <v>0</v>
      </c>
      <c r="AI137" s="31">
        <f t="shared" si="199"/>
        <v>0</v>
      </c>
      <c r="AJ137" s="31">
        <f t="shared" si="199"/>
        <v>0</v>
      </c>
      <c r="AK137" s="31">
        <f t="shared" si="199"/>
        <v>0</v>
      </c>
      <c r="AL137" s="31">
        <f t="shared" si="199"/>
        <v>0</v>
      </c>
      <c r="AM137" s="31">
        <f t="shared" ref="AM137:AZ137" si="200">SUMIF($F$12:$F$423,"=3114",AM$12:AM$423)</f>
        <v>0</v>
      </c>
      <c r="AN137" s="31">
        <f t="shared" si="200"/>
        <v>0</v>
      </c>
      <c r="AO137" s="31">
        <f t="shared" si="200"/>
        <v>0</v>
      </c>
      <c r="AP137" s="31">
        <f t="shared" si="200"/>
        <v>0</v>
      </c>
      <c r="AQ137" s="264">
        <f t="shared" si="200"/>
        <v>0</v>
      </c>
      <c r="AR137" s="43">
        <f t="shared" si="200"/>
        <v>13639342</v>
      </c>
      <c r="AS137" s="30">
        <f t="shared" si="200"/>
        <v>9908019</v>
      </c>
      <c r="AT137" s="30">
        <f t="shared" si="200"/>
        <v>39650</v>
      </c>
      <c r="AU137" s="30">
        <f t="shared" si="200"/>
        <v>3362313</v>
      </c>
      <c r="AV137" s="30">
        <f t="shared" si="200"/>
        <v>198160</v>
      </c>
      <c r="AW137" s="30">
        <f t="shared" si="200"/>
        <v>131200</v>
      </c>
      <c r="AX137" s="31">
        <f t="shared" si="200"/>
        <v>19.1526</v>
      </c>
      <c r="AY137" s="31">
        <f t="shared" si="200"/>
        <v>15.074300000000001</v>
      </c>
      <c r="AZ137" s="264">
        <f t="shared" si="200"/>
        <v>4.0782999999999996</v>
      </c>
    </row>
    <row r="138" spans="1:52" customFormat="1" ht="12.75" x14ac:dyDescent="0.2">
      <c r="D138" s="27"/>
      <c r="E138" s="28"/>
      <c r="F138" s="27"/>
      <c r="G138" s="46"/>
      <c r="H138" s="2">
        <v>3117</v>
      </c>
      <c r="I138" s="29">
        <f t="shared" ref="I138:S138" si="201">SUMIF($F$12:$F$423,"=3117",I$12:I$423)</f>
        <v>41863185</v>
      </c>
      <c r="J138" s="30">
        <f t="shared" si="201"/>
        <v>30260684</v>
      </c>
      <c r="K138" s="30">
        <f t="shared" si="201"/>
        <v>134550</v>
      </c>
      <c r="L138" s="30">
        <f t="shared" si="201"/>
        <v>10273588</v>
      </c>
      <c r="M138" s="30">
        <f t="shared" si="201"/>
        <v>605213</v>
      </c>
      <c r="N138" s="30">
        <f t="shared" si="201"/>
        <v>589150</v>
      </c>
      <c r="O138" s="31">
        <f t="shared" si="201"/>
        <v>65.696600000000004</v>
      </c>
      <c r="P138" s="31">
        <f t="shared" si="201"/>
        <v>50.085299999999989</v>
      </c>
      <c r="Q138" s="505">
        <f t="shared" si="201"/>
        <v>15.6113</v>
      </c>
      <c r="R138" s="29">
        <f t="shared" si="201"/>
        <v>0</v>
      </c>
      <c r="S138" s="30">
        <f t="shared" si="201"/>
        <v>226456</v>
      </c>
      <c r="T138" s="30">
        <f t="shared" ref="T138:AD138" si="202">SUMIF($F$12:$F$423,"=3117",T$12:T$423)</f>
        <v>0</v>
      </c>
      <c r="U138" s="30">
        <f t="shared" si="202"/>
        <v>-400575</v>
      </c>
      <c r="V138" s="30">
        <f t="shared" si="202"/>
        <v>-174119</v>
      </c>
      <c r="W138" s="30">
        <f t="shared" si="202"/>
        <v>0</v>
      </c>
      <c r="X138" s="30">
        <f t="shared" si="202"/>
        <v>0</v>
      </c>
      <c r="Y138" s="30">
        <f t="shared" si="202"/>
        <v>0</v>
      </c>
      <c r="Z138" s="30">
        <f t="shared" si="202"/>
        <v>0</v>
      </c>
      <c r="AA138" s="30">
        <f t="shared" si="202"/>
        <v>-174119</v>
      </c>
      <c r="AB138" s="30">
        <f t="shared" si="202"/>
        <v>-58852</v>
      </c>
      <c r="AC138" s="30">
        <f t="shared" si="202"/>
        <v>-3483</v>
      </c>
      <c r="AD138" s="30">
        <f t="shared" si="202"/>
        <v>1250</v>
      </c>
      <c r="AE138" s="30">
        <f t="shared" ref="AE138:AL138" si="203">SUMIF($F$12:$F$423,"=3117",AE$12:AE$423)</f>
        <v>0</v>
      </c>
      <c r="AF138" s="30">
        <f t="shared" si="203"/>
        <v>1250</v>
      </c>
      <c r="AG138" s="30">
        <f t="shared" si="203"/>
        <v>-235204</v>
      </c>
      <c r="AH138" s="31">
        <f t="shared" si="203"/>
        <v>0</v>
      </c>
      <c r="AI138" s="31">
        <f t="shared" si="203"/>
        <v>0</v>
      </c>
      <c r="AJ138" s="31">
        <f t="shared" si="203"/>
        <v>0.66999999999999993</v>
      </c>
      <c r="AK138" s="31">
        <f t="shared" si="203"/>
        <v>0</v>
      </c>
      <c r="AL138" s="31">
        <f t="shared" si="203"/>
        <v>0</v>
      </c>
      <c r="AM138" s="31">
        <f t="shared" ref="AM138:AZ138" si="204">SUMIF($F$12:$F$423,"=3117",AM$12:AM$423)</f>
        <v>-0.88</v>
      </c>
      <c r="AN138" s="31">
        <f t="shared" si="204"/>
        <v>0</v>
      </c>
      <c r="AO138" s="31">
        <f t="shared" si="204"/>
        <v>-0.21000000000000008</v>
      </c>
      <c r="AP138" s="31">
        <f t="shared" si="204"/>
        <v>0</v>
      </c>
      <c r="AQ138" s="264">
        <f t="shared" si="204"/>
        <v>-0.21000000000000008</v>
      </c>
      <c r="AR138" s="43">
        <f t="shared" si="204"/>
        <v>41627981</v>
      </c>
      <c r="AS138" s="30">
        <f t="shared" si="204"/>
        <v>30086565</v>
      </c>
      <c r="AT138" s="30">
        <f t="shared" si="204"/>
        <v>134550</v>
      </c>
      <c r="AU138" s="30">
        <f t="shared" si="204"/>
        <v>10214736</v>
      </c>
      <c r="AV138" s="30">
        <f t="shared" si="204"/>
        <v>601730</v>
      </c>
      <c r="AW138" s="30">
        <f t="shared" si="204"/>
        <v>590400</v>
      </c>
      <c r="AX138" s="31">
        <f t="shared" si="204"/>
        <v>65.486599999999996</v>
      </c>
      <c r="AY138" s="31">
        <f t="shared" si="204"/>
        <v>49.875299999999996</v>
      </c>
      <c r="AZ138" s="264">
        <f t="shared" si="204"/>
        <v>15.6113</v>
      </c>
    </row>
    <row r="139" spans="1:52" customFormat="1" x14ac:dyDescent="0.25">
      <c r="D139" s="27"/>
      <c r="E139" s="28"/>
      <c r="F139" s="100"/>
      <c r="G139" s="46"/>
      <c r="H139" s="2">
        <v>3122</v>
      </c>
      <c r="I139" s="29">
        <f t="shared" ref="I139:S139" si="205">SUMIF($F$12:$F$423,"=3122",I$12:I$423)</f>
        <v>0</v>
      </c>
      <c r="J139" s="30">
        <f t="shared" si="205"/>
        <v>0</v>
      </c>
      <c r="K139" s="30">
        <f t="shared" si="205"/>
        <v>0</v>
      </c>
      <c r="L139" s="30">
        <f t="shared" si="205"/>
        <v>0</v>
      </c>
      <c r="M139" s="30">
        <f t="shared" si="205"/>
        <v>0</v>
      </c>
      <c r="N139" s="30">
        <f t="shared" si="205"/>
        <v>0</v>
      </c>
      <c r="O139" s="31">
        <f t="shared" si="205"/>
        <v>0</v>
      </c>
      <c r="P139" s="31">
        <f t="shared" si="205"/>
        <v>0</v>
      </c>
      <c r="Q139" s="505">
        <f t="shared" si="205"/>
        <v>0</v>
      </c>
      <c r="R139" s="29">
        <f t="shared" si="205"/>
        <v>0</v>
      </c>
      <c r="S139" s="30">
        <f t="shared" si="205"/>
        <v>0</v>
      </c>
      <c r="T139" s="30">
        <f t="shared" ref="T139:AD139" si="206">SUMIF($F$12:$F$423,"=3122",T$12:T$423)</f>
        <v>0</v>
      </c>
      <c r="U139" s="30">
        <f t="shared" si="206"/>
        <v>0</v>
      </c>
      <c r="V139" s="30">
        <f t="shared" si="206"/>
        <v>0</v>
      </c>
      <c r="W139" s="30">
        <f t="shared" si="206"/>
        <v>0</v>
      </c>
      <c r="X139" s="30">
        <f t="shared" si="206"/>
        <v>0</v>
      </c>
      <c r="Y139" s="30">
        <f t="shared" si="206"/>
        <v>0</v>
      </c>
      <c r="Z139" s="30">
        <f t="shared" si="206"/>
        <v>0</v>
      </c>
      <c r="AA139" s="30">
        <f t="shared" si="206"/>
        <v>0</v>
      </c>
      <c r="AB139" s="30">
        <f t="shared" si="206"/>
        <v>0</v>
      </c>
      <c r="AC139" s="30">
        <f t="shared" si="206"/>
        <v>0</v>
      </c>
      <c r="AD139" s="30">
        <f t="shared" si="206"/>
        <v>0</v>
      </c>
      <c r="AE139" s="30">
        <f t="shared" ref="AE139:AL139" si="207">SUMIF($F$12:$F$423,"=3122",AE$12:AE$423)</f>
        <v>0</v>
      </c>
      <c r="AF139" s="30">
        <f t="shared" si="207"/>
        <v>0</v>
      </c>
      <c r="AG139" s="30">
        <f t="shared" si="207"/>
        <v>0</v>
      </c>
      <c r="AH139" s="31">
        <f t="shared" si="207"/>
        <v>0</v>
      </c>
      <c r="AI139" s="31">
        <f t="shared" si="207"/>
        <v>0</v>
      </c>
      <c r="AJ139" s="31">
        <f t="shared" si="207"/>
        <v>0</v>
      </c>
      <c r="AK139" s="31">
        <f t="shared" si="207"/>
        <v>0</v>
      </c>
      <c r="AL139" s="31">
        <f t="shared" si="207"/>
        <v>0</v>
      </c>
      <c r="AM139" s="31">
        <f t="shared" ref="AM139:AZ139" si="208">SUMIF($F$12:$F$423,"=3122",AM$12:AM$423)</f>
        <v>0</v>
      </c>
      <c r="AN139" s="31">
        <f t="shared" si="208"/>
        <v>0</v>
      </c>
      <c r="AO139" s="31">
        <f t="shared" si="208"/>
        <v>0</v>
      </c>
      <c r="AP139" s="31">
        <f t="shared" si="208"/>
        <v>0</v>
      </c>
      <c r="AQ139" s="264">
        <f t="shared" si="208"/>
        <v>0</v>
      </c>
      <c r="AR139" s="43">
        <f t="shared" si="208"/>
        <v>0</v>
      </c>
      <c r="AS139" s="30">
        <f t="shared" si="208"/>
        <v>0</v>
      </c>
      <c r="AT139" s="30">
        <f t="shared" si="208"/>
        <v>0</v>
      </c>
      <c r="AU139" s="30">
        <f t="shared" si="208"/>
        <v>0</v>
      </c>
      <c r="AV139" s="30">
        <f t="shared" si="208"/>
        <v>0</v>
      </c>
      <c r="AW139" s="30">
        <f t="shared" si="208"/>
        <v>0</v>
      </c>
      <c r="AX139" s="31">
        <f t="shared" si="208"/>
        <v>0</v>
      </c>
      <c r="AY139" s="31">
        <f t="shared" si="208"/>
        <v>0</v>
      </c>
      <c r="AZ139" s="264">
        <f t="shared" si="208"/>
        <v>0</v>
      </c>
    </row>
    <row r="140" spans="1:52" customFormat="1" ht="12.75" x14ac:dyDescent="0.2">
      <c r="C140" s="9"/>
      <c r="D140" s="27"/>
      <c r="E140" s="28"/>
      <c r="F140" s="27"/>
      <c r="G140" s="46"/>
      <c r="H140" s="2">
        <v>3124</v>
      </c>
      <c r="I140" s="29">
        <f t="shared" ref="I140:S140" si="209">SUMIF($F$12:$F$423,"=3124",I$12:I$423)</f>
        <v>0</v>
      </c>
      <c r="J140" s="30">
        <f t="shared" si="209"/>
        <v>0</v>
      </c>
      <c r="K140" s="30">
        <f t="shared" si="209"/>
        <v>0</v>
      </c>
      <c r="L140" s="30">
        <f t="shared" si="209"/>
        <v>0</v>
      </c>
      <c r="M140" s="30">
        <f t="shared" si="209"/>
        <v>0</v>
      </c>
      <c r="N140" s="30">
        <f t="shared" si="209"/>
        <v>0</v>
      </c>
      <c r="O140" s="31">
        <f t="shared" si="209"/>
        <v>0</v>
      </c>
      <c r="P140" s="31">
        <f t="shared" si="209"/>
        <v>0</v>
      </c>
      <c r="Q140" s="505">
        <f t="shared" si="209"/>
        <v>0</v>
      </c>
      <c r="R140" s="29">
        <f t="shared" si="209"/>
        <v>0</v>
      </c>
      <c r="S140" s="30">
        <f t="shared" si="209"/>
        <v>0</v>
      </c>
      <c r="T140" s="30">
        <f t="shared" ref="T140:AD140" si="210">SUMIF($F$12:$F$423,"=3124",T$12:T$423)</f>
        <v>0</v>
      </c>
      <c r="U140" s="30">
        <f t="shared" si="210"/>
        <v>0</v>
      </c>
      <c r="V140" s="30">
        <f t="shared" si="210"/>
        <v>0</v>
      </c>
      <c r="W140" s="30">
        <f t="shared" si="210"/>
        <v>0</v>
      </c>
      <c r="X140" s="30">
        <f t="shared" si="210"/>
        <v>0</v>
      </c>
      <c r="Y140" s="30">
        <f t="shared" si="210"/>
        <v>0</v>
      </c>
      <c r="Z140" s="30">
        <f t="shared" si="210"/>
        <v>0</v>
      </c>
      <c r="AA140" s="30">
        <f t="shared" si="210"/>
        <v>0</v>
      </c>
      <c r="AB140" s="30">
        <f t="shared" si="210"/>
        <v>0</v>
      </c>
      <c r="AC140" s="30">
        <f t="shared" si="210"/>
        <v>0</v>
      </c>
      <c r="AD140" s="30">
        <f t="shared" si="210"/>
        <v>0</v>
      </c>
      <c r="AE140" s="30">
        <f t="shared" ref="AE140:AL140" si="211">SUMIF($F$12:$F$423,"=3124",AE$12:AE$423)</f>
        <v>0</v>
      </c>
      <c r="AF140" s="30">
        <f t="shared" si="211"/>
        <v>0</v>
      </c>
      <c r="AG140" s="30">
        <f t="shared" si="211"/>
        <v>0</v>
      </c>
      <c r="AH140" s="31">
        <f t="shared" si="211"/>
        <v>0</v>
      </c>
      <c r="AI140" s="31">
        <f t="shared" si="211"/>
        <v>0</v>
      </c>
      <c r="AJ140" s="31">
        <f t="shared" si="211"/>
        <v>0</v>
      </c>
      <c r="AK140" s="31">
        <f t="shared" si="211"/>
        <v>0</v>
      </c>
      <c r="AL140" s="31">
        <f t="shared" si="211"/>
        <v>0</v>
      </c>
      <c r="AM140" s="31">
        <f t="shared" ref="AM140:AZ140" si="212">SUMIF($F$12:$F$423,"=3124",AM$12:AM$423)</f>
        <v>0</v>
      </c>
      <c r="AN140" s="31">
        <f t="shared" si="212"/>
        <v>0</v>
      </c>
      <c r="AO140" s="31">
        <f t="shared" si="212"/>
        <v>0</v>
      </c>
      <c r="AP140" s="31">
        <f t="shared" si="212"/>
        <v>0</v>
      </c>
      <c r="AQ140" s="264">
        <f t="shared" si="212"/>
        <v>0</v>
      </c>
      <c r="AR140" s="43">
        <f t="shared" si="212"/>
        <v>0</v>
      </c>
      <c r="AS140" s="30">
        <f t="shared" si="212"/>
        <v>0</v>
      </c>
      <c r="AT140" s="30">
        <f t="shared" si="212"/>
        <v>0</v>
      </c>
      <c r="AU140" s="30">
        <f t="shared" si="212"/>
        <v>0</v>
      </c>
      <c r="AV140" s="30">
        <f t="shared" si="212"/>
        <v>0</v>
      </c>
      <c r="AW140" s="30">
        <f t="shared" si="212"/>
        <v>0</v>
      </c>
      <c r="AX140" s="31">
        <f t="shared" si="212"/>
        <v>0</v>
      </c>
      <c r="AY140" s="31">
        <f t="shared" si="212"/>
        <v>0</v>
      </c>
      <c r="AZ140" s="264">
        <f t="shared" si="212"/>
        <v>0</v>
      </c>
    </row>
    <row r="141" spans="1:52" customFormat="1" ht="12.75" x14ac:dyDescent="0.2">
      <c r="D141" s="27"/>
      <c r="E141" s="28"/>
      <c r="F141" s="28"/>
      <c r="G141" s="46"/>
      <c r="H141" s="2">
        <v>3141</v>
      </c>
      <c r="I141" s="29">
        <f t="shared" ref="I141:S141" si="213">SUMIF($F$12:$F$423,"=3141",I$12:I$423)</f>
        <v>22849418</v>
      </c>
      <c r="J141" s="30">
        <f t="shared" si="213"/>
        <v>16607371</v>
      </c>
      <c r="K141" s="30">
        <f t="shared" si="213"/>
        <v>108550</v>
      </c>
      <c r="L141" s="30">
        <f t="shared" si="213"/>
        <v>5649980</v>
      </c>
      <c r="M141" s="30">
        <f t="shared" si="213"/>
        <v>332149</v>
      </c>
      <c r="N141" s="30">
        <f t="shared" si="213"/>
        <v>151368</v>
      </c>
      <c r="O141" s="31">
        <f t="shared" si="213"/>
        <v>52.55</v>
      </c>
      <c r="P141" s="31">
        <f t="shared" si="213"/>
        <v>0</v>
      </c>
      <c r="Q141" s="505">
        <f t="shared" si="213"/>
        <v>52.55</v>
      </c>
      <c r="R141" s="29">
        <f t="shared" si="213"/>
        <v>0</v>
      </c>
      <c r="S141" s="30">
        <f t="shared" si="213"/>
        <v>0</v>
      </c>
      <c r="T141" s="30">
        <f t="shared" ref="T141:AD141" si="214">SUMIF($F$12:$F$423,"=3141",T$12:T$423)</f>
        <v>0</v>
      </c>
      <c r="U141" s="30">
        <f t="shared" si="214"/>
        <v>0</v>
      </c>
      <c r="V141" s="30">
        <f t="shared" si="214"/>
        <v>0</v>
      </c>
      <c r="W141" s="30">
        <f t="shared" si="214"/>
        <v>0</v>
      </c>
      <c r="X141" s="30">
        <f t="shared" si="214"/>
        <v>0</v>
      </c>
      <c r="Y141" s="30">
        <f t="shared" si="214"/>
        <v>0</v>
      </c>
      <c r="Z141" s="30">
        <f t="shared" si="214"/>
        <v>0</v>
      </c>
      <c r="AA141" s="30">
        <f t="shared" si="214"/>
        <v>0</v>
      </c>
      <c r="AB141" s="30">
        <f t="shared" si="214"/>
        <v>0</v>
      </c>
      <c r="AC141" s="30">
        <f t="shared" si="214"/>
        <v>0</v>
      </c>
      <c r="AD141" s="30">
        <f t="shared" si="214"/>
        <v>0</v>
      </c>
      <c r="AE141" s="30">
        <f t="shared" ref="AE141:AL141" si="215">SUMIF($F$12:$F$423,"=3141",AE$12:AE$423)</f>
        <v>0</v>
      </c>
      <c r="AF141" s="30">
        <f t="shared" si="215"/>
        <v>0</v>
      </c>
      <c r="AG141" s="30">
        <f t="shared" si="215"/>
        <v>0</v>
      </c>
      <c r="AH141" s="31">
        <f t="shared" si="215"/>
        <v>0</v>
      </c>
      <c r="AI141" s="31">
        <f t="shared" si="215"/>
        <v>0</v>
      </c>
      <c r="AJ141" s="31">
        <f t="shared" si="215"/>
        <v>0</v>
      </c>
      <c r="AK141" s="31">
        <f t="shared" si="215"/>
        <v>0</v>
      </c>
      <c r="AL141" s="31">
        <f t="shared" si="215"/>
        <v>0</v>
      </c>
      <c r="AM141" s="31">
        <f t="shared" ref="AM141:AZ141" si="216">SUMIF($F$12:$F$423,"=3141",AM$12:AM$423)</f>
        <v>0</v>
      </c>
      <c r="AN141" s="31">
        <f t="shared" si="216"/>
        <v>0</v>
      </c>
      <c r="AO141" s="31">
        <f t="shared" si="216"/>
        <v>0</v>
      </c>
      <c r="AP141" s="31">
        <f t="shared" si="216"/>
        <v>0</v>
      </c>
      <c r="AQ141" s="264">
        <f t="shared" si="216"/>
        <v>0</v>
      </c>
      <c r="AR141" s="43">
        <f t="shared" si="216"/>
        <v>22849418</v>
      </c>
      <c r="AS141" s="30">
        <f t="shared" si="216"/>
        <v>16607371</v>
      </c>
      <c r="AT141" s="30">
        <f t="shared" si="216"/>
        <v>108550</v>
      </c>
      <c r="AU141" s="30">
        <f t="shared" si="216"/>
        <v>5649980</v>
      </c>
      <c r="AV141" s="30">
        <f t="shared" si="216"/>
        <v>332149</v>
      </c>
      <c r="AW141" s="30">
        <f t="shared" si="216"/>
        <v>151368</v>
      </c>
      <c r="AX141" s="31">
        <f t="shared" si="216"/>
        <v>52.55</v>
      </c>
      <c r="AY141" s="31">
        <f t="shared" si="216"/>
        <v>0</v>
      </c>
      <c r="AZ141" s="264">
        <f t="shared" si="216"/>
        <v>52.55</v>
      </c>
    </row>
    <row r="142" spans="1:52" customFormat="1" ht="12.75" x14ac:dyDescent="0.2">
      <c r="C142" s="9"/>
      <c r="D142" s="27"/>
      <c r="E142" s="28"/>
      <c r="F142" s="27"/>
      <c r="G142" s="46"/>
      <c r="H142" s="2">
        <v>3143</v>
      </c>
      <c r="I142" s="29">
        <f t="shared" ref="I142:S142" si="217">SUMIF($F$12:$F$423,"=3143",I$12:I$423)</f>
        <v>17003809</v>
      </c>
      <c r="J142" s="30">
        <f t="shared" si="217"/>
        <v>12404398</v>
      </c>
      <c r="K142" s="30">
        <f t="shared" si="217"/>
        <v>102050</v>
      </c>
      <c r="L142" s="30">
        <f t="shared" si="217"/>
        <v>4227182</v>
      </c>
      <c r="M142" s="30">
        <f t="shared" si="217"/>
        <v>248089</v>
      </c>
      <c r="N142" s="30">
        <f t="shared" si="217"/>
        <v>22090</v>
      </c>
      <c r="O142" s="31">
        <f t="shared" si="217"/>
        <v>26.776500000000013</v>
      </c>
      <c r="P142" s="31">
        <f t="shared" si="217"/>
        <v>25.216500000000007</v>
      </c>
      <c r="Q142" s="505">
        <f t="shared" si="217"/>
        <v>1.5600000000000003</v>
      </c>
      <c r="R142" s="29">
        <f t="shared" si="217"/>
        <v>0</v>
      </c>
      <c r="S142" s="30">
        <f t="shared" si="217"/>
        <v>0</v>
      </c>
      <c r="T142" s="30">
        <f t="shared" ref="T142:AD142" si="218">SUMIF($F$12:$F$423,"=3143",T$12:T$423)</f>
        <v>0</v>
      </c>
      <c r="U142" s="30">
        <f t="shared" si="218"/>
        <v>0</v>
      </c>
      <c r="V142" s="30">
        <f t="shared" si="218"/>
        <v>0</v>
      </c>
      <c r="W142" s="30">
        <f t="shared" si="218"/>
        <v>0</v>
      </c>
      <c r="X142" s="30">
        <f t="shared" si="218"/>
        <v>0</v>
      </c>
      <c r="Y142" s="30">
        <f t="shared" si="218"/>
        <v>0</v>
      </c>
      <c r="Z142" s="30">
        <f t="shared" si="218"/>
        <v>0</v>
      </c>
      <c r="AA142" s="30">
        <f t="shared" si="218"/>
        <v>0</v>
      </c>
      <c r="AB142" s="30">
        <f t="shared" si="218"/>
        <v>0</v>
      </c>
      <c r="AC142" s="30">
        <f t="shared" si="218"/>
        <v>0</v>
      </c>
      <c r="AD142" s="30">
        <f t="shared" si="218"/>
        <v>0</v>
      </c>
      <c r="AE142" s="30">
        <f t="shared" ref="AE142:AL142" si="219">SUMIF($F$12:$F$423,"=3143",AE$12:AE$423)</f>
        <v>0</v>
      </c>
      <c r="AF142" s="30">
        <f t="shared" si="219"/>
        <v>0</v>
      </c>
      <c r="AG142" s="30">
        <f t="shared" si="219"/>
        <v>0</v>
      </c>
      <c r="AH142" s="31">
        <f t="shared" si="219"/>
        <v>0</v>
      </c>
      <c r="AI142" s="31">
        <f t="shared" si="219"/>
        <v>0</v>
      </c>
      <c r="AJ142" s="31">
        <f t="shared" si="219"/>
        <v>0</v>
      </c>
      <c r="AK142" s="31">
        <f t="shared" si="219"/>
        <v>0</v>
      </c>
      <c r="AL142" s="31">
        <f t="shared" si="219"/>
        <v>0</v>
      </c>
      <c r="AM142" s="31">
        <f t="shared" ref="AM142:AZ142" si="220">SUMIF($F$12:$F$423,"=3143",AM$12:AM$423)</f>
        <v>0</v>
      </c>
      <c r="AN142" s="31">
        <f t="shared" si="220"/>
        <v>0</v>
      </c>
      <c r="AO142" s="31">
        <f t="shared" si="220"/>
        <v>0</v>
      </c>
      <c r="AP142" s="31">
        <f t="shared" si="220"/>
        <v>0</v>
      </c>
      <c r="AQ142" s="264">
        <f t="shared" si="220"/>
        <v>0</v>
      </c>
      <c r="AR142" s="43">
        <f t="shared" si="220"/>
        <v>17003809</v>
      </c>
      <c r="AS142" s="30">
        <f t="shared" si="220"/>
        <v>12404398</v>
      </c>
      <c r="AT142" s="30">
        <f t="shared" si="220"/>
        <v>102050</v>
      </c>
      <c r="AU142" s="30">
        <f t="shared" si="220"/>
        <v>4227182</v>
      </c>
      <c r="AV142" s="30">
        <f t="shared" si="220"/>
        <v>248089</v>
      </c>
      <c r="AW142" s="30">
        <f t="shared" si="220"/>
        <v>22090</v>
      </c>
      <c r="AX142" s="31">
        <f t="shared" si="220"/>
        <v>26.776500000000013</v>
      </c>
      <c r="AY142" s="31">
        <f t="shared" si="220"/>
        <v>25.216500000000007</v>
      </c>
      <c r="AZ142" s="264">
        <f t="shared" si="220"/>
        <v>1.5600000000000003</v>
      </c>
    </row>
    <row r="143" spans="1:52" customFormat="1" ht="12.75" x14ac:dyDescent="0.2">
      <c r="D143" s="27"/>
      <c r="E143" s="28"/>
      <c r="F143" s="27"/>
      <c r="G143" s="46"/>
      <c r="H143" s="2">
        <v>3231</v>
      </c>
      <c r="I143" s="29">
        <f t="shared" ref="I143:S143" si="221">SUMIF($F$12:$F$423,"=3231",I$12:I$423)</f>
        <v>12785821</v>
      </c>
      <c r="J143" s="30">
        <f t="shared" si="221"/>
        <v>9288171</v>
      </c>
      <c r="K143" s="30">
        <f t="shared" si="221"/>
        <v>97500</v>
      </c>
      <c r="L143" s="30">
        <f t="shared" si="221"/>
        <v>3172357</v>
      </c>
      <c r="M143" s="30">
        <f t="shared" si="221"/>
        <v>185763</v>
      </c>
      <c r="N143" s="30">
        <f t="shared" si="221"/>
        <v>42030</v>
      </c>
      <c r="O143" s="31">
        <f t="shared" si="221"/>
        <v>17.377300000000002</v>
      </c>
      <c r="P143" s="31">
        <f t="shared" si="221"/>
        <v>15.392700000000001</v>
      </c>
      <c r="Q143" s="505">
        <f t="shared" si="221"/>
        <v>1.9845999999999999</v>
      </c>
      <c r="R143" s="29">
        <f t="shared" si="221"/>
        <v>0</v>
      </c>
      <c r="S143" s="30">
        <f t="shared" si="221"/>
        <v>0</v>
      </c>
      <c r="T143" s="30">
        <f t="shared" ref="T143:AD143" si="222">SUMIF($F$12:$F$423,"=3231",T$12:T$423)</f>
        <v>0</v>
      </c>
      <c r="U143" s="30">
        <f t="shared" si="222"/>
        <v>0</v>
      </c>
      <c r="V143" s="30">
        <f t="shared" si="222"/>
        <v>0</v>
      </c>
      <c r="W143" s="30">
        <f t="shared" si="222"/>
        <v>0</v>
      </c>
      <c r="X143" s="30">
        <f t="shared" si="222"/>
        <v>0</v>
      </c>
      <c r="Y143" s="30">
        <f t="shared" si="222"/>
        <v>0</v>
      </c>
      <c r="Z143" s="30">
        <f t="shared" si="222"/>
        <v>0</v>
      </c>
      <c r="AA143" s="30">
        <f t="shared" si="222"/>
        <v>0</v>
      </c>
      <c r="AB143" s="30">
        <f t="shared" si="222"/>
        <v>0</v>
      </c>
      <c r="AC143" s="30">
        <f t="shared" si="222"/>
        <v>0</v>
      </c>
      <c r="AD143" s="30">
        <f t="shared" si="222"/>
        <v>0</v>
      </c>
      <c r="AE143" s="30">
        <f t="shared" ref="AE143:AL143" si="223">SUMIF($F$12:$F$423,"=3231",AE$12:AE$423)</f>
        <v>0</v>
      </c>
      <c r="AF143" s="30">
        <f t="shared" si="223"/>
        <v>0</v>
      </c>
      <c r="AG143" s="30">
        <f t="shared" si="223"/>
        <v>0</v>
      </c>
      <c r="AH143" s="31">
        <f t="shared" si="223"/>
        <v>0</v>
      </c>
      <c r="AI143" s="31">
        <f t="shared" si="223"/>
        <v>0</v>
      </c>
      <c r="AJ143" s="31">
        <f t="shared" si="223"/>
        <v>0</v>
      </c>
      <c r="AK143" s="31">
        <f t="shared" si="223"/>
        <v>0</v>
      </c>
      <c r="AL143" s="31">
        <f t="shared" si="223"/>
        <v>0</v>
      </c>
      <c r="AM143" s="31">
        <f t="shared" ref="AM143:AZ143" si="224">SUMIF($F$12:$F$423,"=3231",AM$12:AM$423)</f>
        <v>0</v>
      </c>
      <c r="AN143" s="31">
        <f t="shared" si="224"/>
        <v>0</v>
      </c>
      <c r="AO143" s="31">
        <f t="shared" si="224"/>
        <v>0</v>
      </c>
      <c r="AP143" s="31">
        <f t="shared" si="224"/>
        <v>0</v>
      </c>
      <c r="AQ143" s="264">
        <f t="shared" si="224"/>
        <v>0</v>
      </c>
      <c r="AR143" s="43">
        <f t="shared" si="224"/>
        <v>12785821</v>
      </c>
      <c r="AS143" s="30">
        <f t="shared" si="224"/>
        <v>9288171</v>
      </c>
      <c r="AT143" s="30">
        <f t="shared" si="224"/>
        <v>97500</v>
      </c>
      <c r="AU143" s="30">
        <f t="shared" si="224"/>
        <v>3172357</v>
      </c>
      <c r="AV143" s="30">
        <f t="shared" si="224"/>
        <v>185763</v>
      </c>
      <c r="AW143" s="30">
        <f t="shared" si="224"/>
        <v>42030</v>
      </c>
      <c r="AX143" s="31">
        <f t="shared" si="224"/>
        <v>17.377300000000002</v>
      </c>
      <c r="AY143" s="31">
        <f t="shared" si="224"/>
        <v>15.392700000000001</v>
      </c>
      <c r="AZ143" s="264">
        <f t="shared" si="224"/>
        <v>1.9845999999999999</v>
      </c>
    </row>
    <row r="144" spans="1:52" customFormat="1" ht="13.5" thickBot="1" x14ac:dyDescent="0.25">
      <c r="D144" s="27"/>
      <c r="E144" s="28"/>
      <c r="F144" s="27"/>
      <c r="G144" s="46"/>
      <c r="H144" s="162">
        <v>3233</v>
      </c>
      <c r="I144" s="32">
        <f t="shared" ref="I144:S144" si="225">SUMIF($F$12:$F$423,"=3233",I$12:I$423)</f>
        <v>4588683</v>
      </c>
      <c r="J144" s="33">
        <f t="shared" si="225"/>
        <v>3288740</v>
      </c>
      <c r="K144" s="33">
        <f t="shared" si="225"/>
        <v>88400</v>
      </c>
      <c r="L144" s="33">
        <f t="shared" si="225"/>
        <v>1141473</v>
      </c>
      <c r="M144" s="33">
        <f t="shared" si="225"/>
        <v>65774</v>
      </c>
      <c r="N144" s="33">
        <f t="shared" si="225"/>
        <v>4296</v>
      </c>
      <c r="O144" s="156">
        <f t="shared" si="225"/>
        <v>7.01</v>
      </c>
      <c r="P144" s="156">
        <f t="shared" si="225"/>
        <v>4.99</v>
      </c>
      <c r="Q144" s="506">
        <f t="shared" si="225"/>
        <v>2.0199999999999996</v>
      </c>
      <c r="R144" s="32">
        <f t="shared" si="225"/>
        <v>0</v>
      </c>
      <c r="S144" s="33">
        <f t="shared" si="225"/>
        <v>0</v>
      </c>
      <c r="T144" s="33">
        <f t="shared" ref="T144:AD144" si="226">SUMIF($F$12:$F$423,"=3233",T$12:T$423)</f>
        <v>0</v>
      </c>
      <c r="U144" s="33">
        <f t="shared" si="226"/>
        <v>0</v>
      </c>
      <c r="V144" s="33">
        <f t="shared" si="226"/>
        <v>0</v>
      </c>
      <c r="W144" s="33">
        <f t="shared" si="226"/>
        <v>0</v>
      </c>
      <c r="X144" s="33">
        <f t="shared" si="226"/>
        <v>0</v>
      </c>
      <c r="Y144" s="33">
        <f t="shared" si="226"/>
        <v>0</v>
      </c>
      <c r="Z144" s="33">
        <f t="shared" si="226"/>
        <v>0</v>
      </c>
      <c r="AA144" s="33">
        <f t="shared" si="226"/>
        <v>0</v>
      </c>
      <c r="AB144" s="33">
        <f t="shared" si="226"/>
        <v>0</v>
      </c>
      <c r="AC144" s="33">
        <f t="shared" si="226"/>
        <v>0</v>
      </c>
      <c r="AD144" s="33">
        <f t="shared" si="226"/>
        <v>0</v>
      </c>
      <c r="AE144" s="33">
        <f t="shared" ref="AE144:AL144" si="227">SUMIF($F$12:$F$423,"=3233",AE$12:AE$423)</f>
        <v>25239</v>
      </c>
      <c r="AF144" s="33">
        <f t="shared" si="227"/>
        <v>25239</v>
      </c>
      <c r="AG144" s="33">
        <f t="shared" si="227"/>
        <v>25239</v>
      </c>
      <c r="AH144" s="156">
        <f t="shared" si="227"/>
        <v>0</v>
      </c>
      <c r="AI144" s="156">
        <f t="shared" si="227"/>
        <v>0</v>
      </c>
      <c r="AJ144" s="156">
        <f t="shared" si="227"/>
        <v>0</v>
      </c>
      <c r="AK144" s="156">
        <f t="shared" si="227"/>
        <v>0</v>
      </c>
      <c r="AL144" s="156">
        <f t="shared" si="227"/>
        <v>0</v>
      </c>
      <c r="AM144" s="156">
        <f t="shared" ref="AM144:AZ144" si="228">SUMIF($F$12:$F$423,"=3233",AM$12:AM$423)</f>
        <v>0</v>
      </c>
      <c r="AN144" s="156">
        <f t="shared" si="228"/>
        <v>0</v>
      </c>
      <c r="AO144" s="156">
        <f t="shared" si="228"/>
        <v>0</v>
      </c>
      <c r="AP144" s="156">
        <f t="shared" si="228"/>
        <v>0</v>
      </c>
      <c r="AQ144" s="265">
        <f t="shared" si="228"/>
        <v>0</v>
      </c>
      <c r="AR144" s="161">
        <f t="shared" si="228"/>
        <v>4613922</v>
      </c>
      <c r="AS144" s="33">
        <f t="shared" si="228"/>
        <v>3288740</v>
      </c>
      <c r="AT144" s="33">
        <f t="shared" si="228"/>
        <v>88400</v>
      </c>
      <c r="AU144" s="33">
        <f t="shared" si="228"/>
        <v>1141473</v>
      </c>
      <c r="AV144" s="33">
        <f t="shared" si="228"/>
        <v>65774</v>
      </c>
      <c r="AW144" s="33">
        <f t="shared" si="228"/>
        <v>29535</v>
      </c>
      <c r="AX144" s="156">
        <f t="shared" si="228"/>
        <v>7.01</v>
      </c>
      <c r="AY144" s="156">
        <f t="shared" si="228"/>
        <v>4.99</v>
      </c>
      <c r="AZ144" s="265">
        <f t="shared" si="228"/>
        <v>2.0199999999999996</v>
      </c>
    </row>
    <row r="146" spans="1:52" s="60" customFormat="1" x14ac:dyDescent="0.25">
      <c r="A146" s="100"/>
      <c r="B146" s="99"/>
      <c r="C146" s="99"/>
      <c r="D146" s="99"/>
      <c r="E146" s="100"/>
      <c r="F146" s="123"/>
      <c r="G146" s="100"/>
      <c r="H146" s="100"/>
      <c r="O146" s="61"/>
      <c r="P146" s="61"/>
      <c r="Q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X146" s="61"/>
      <c r="AY146" s="61"/>
      <c r="AZ146" s="61"/>
    </row>
    <row r="156" spans="1:52" x14ac:dyDescent="0.25">
      <c r="E156" s="57"/>
    </row>
    <row r="157" spans="1:52" x14ac:dyDescent="0.25">
      <c r="E157" s="57"/>
    </row>
    <row r="158" spans="1:52" x14ac:dyDescent="0.25">
      <c r="E158" s="57"/>
    </row>
    <row r="159" spans="1:52" x14ac:dyDescent="0.25">
      <c r="E159" s="57"/>
    </row>
    <row r="160" spans="1:52" x14ac:dyDescent="0.25">
      <c r="E160" s="260"/>
    </row>
    <row r="161" spans="1:52" x14ac:dyDescent="0.25">
      <c r="E161" s="260"/>
    </row>
    <row r="162" spans="1:52" x14ac:dyDescent="0.25">
      <c r="E162" s="260"/>
    </row>
    <row r="163" spans="1:52" x14ac:dyDescent="0.25">
      <c r="E163" s="260"/>
    </row>
    <row r="164" spans="1:52" x14ac:dyDescent="0.25">
      <c r="E164" s="260"/>
    </row>
    <row r="165" spans="1:52" x14ac:dyDescent="0.25">
      <c r="E165" s="260"/>
    </row>
    <row r="166" spans="1:52" x14ac:dyDescent="0.25">
      <c r="E166" s="260"/>
    </row>
    <row r="167" spans="1:52" x14ac:dyDescent="0.25">
      <c r="E167" s="260"/>
    </row>
    <row r="168" spans="1:52" x14ac:dyDescent="0.25">
      <c r="E168" s="260"/>
    </row>
    <row r="169" spans="1:52" x14ac:dyDescent="0.25">
      <c r="E169" s="260"/>
    </row>
    <row r="170" spans="1:52" x14ac:dyDescent="0.25">
      <c r="E170" s="260"/>
    </row>
    <row r="171" spans="1:52" x14ac:dyDescent="0.25">
      <c r="E171" s="260"/>
    </row>
    <row r="173" spans="1:52" s="106" customFormat="1" ht="11.25" x14ac:dyDescent="0.2">
      <c r="A173" s="123"/>
      <c r="H173" s="123"/>
      <c r="I173" s="261"/>
      <c r="J173" s="261"/>
      <c r="K173" s="261"/>
      <c r="L173" s="261"/>
      <c r="M173" s="261"/>
      <c r="N173" s="261"/>
      <c r="O173" s="262"/>
      <c r="P173" s="262"/>
      <c r="Q173" s="262"/>
      <c r="R173" s="261"/>
      <c r="S173" s="261"/>
      <c r="T173" s="261"/>
      <c r="U173" s="261"/>
      <c r="V173" s="261"/>
      <c r="W173" s="261"/>
      <c r="X173" s="261"/>
      <c r="Y173" s="261"/>
      <c r="Z173" s="261"/>
      <c r="AA173" s="261"/>
      <c r="AB173" s="261"/>
      <c r="AC173" s="261"/>
      <c r="AD173" s="261"/>
      <c r="AE173" s="261"/>
      <c r="AF173" s="261"/>
      <c r="AG173" s="261"/>
      <c r="AH173" s="262"/>
      <c r="AI173" s="262"/>
      <c r="AJ173" s="262"/>
      <c r="AK173" s="262"/>
      <c r="AL173" s="262"/>
      <c r="AM173" s="262"/>
      <c r="AN173" s="262"/>
      <c r="AO173" s="262"/>
      <c r="AP173" s="262"/>
      <c r="AQ173" s="262"/>
      <c r="AR173" s="261"/>
      <c r="AS173" s="261"/>
      <c r="AT173" s="261"/>
      <c r="AU173" s="261"/>
      <c r="AV173" s="261"/>
      <c r="AW173" s="261"/>
      <c r="AX173" s="262"/>
      <c r="AY173" s="262"/>
      <c r="AZ173" s="262"/>
    </row>
    <row r="174" spans="1:52" s="106" customFormat="1" ht="11.25" x14ac:dyDescent="0.2">
      <c r="A174" s="123"/>
      <c r="H174" s="123"/>
      <c r="I174" s="261"/>
      <c r="J174" s="261"/>
      <c r="K174" s="261"/>
      <c r="L174" s="261"/>
      <c r="M174" s="261"/>
      <c r="N174" s="261"/>
      <c r="O174" s="262"/>
      <c r="P174" s="262"/>
      <c r="Q174" s="262"/>
      <c r="R174" s="261"/>
      <c r="S174" s="261"/>
      <c r="T174" s="261"/>
      <c r="U174" s="261"/>
      <c r="V174" s="261"/>
      <c r="W174" s="261"/>
      <c r="X174" s="261"/>
      <c r="Y174" s="261"/>
      <c r="Z174" s="261"/>
      <c r="AA174" s="261"/>
      <c r="AB174" s="261"/>
      <c r="AC174" s="261"/>
      <c r="AD174" s="261"/>
      <c r="AE174" s="261"/>
      <c r="AF174" s="261"/>
      <c r="AG174" s="261"/>
      <c r="AH174" s="262"/>
      <c r="AI174" s="262"/>
      <c r="AJ174" s="262"/>
      <c r="AK174" s="262"/>
      <c r="AL174" s="262"/>
      <c r="AM174" s="262"/>
      <c r="AN174" s="262"/>
      <c r="AO174" s="262"/>
      <c r="AP174" s="262"/>
      <c r="AQ174" s="262"/>
      <c r="AR174" s="261"/>
      <c r="AS174" s="261"/>
      <c r="AT174" s="261"/>
      <c r="AU174" s="261"/>
      <c r="AV174" s="261"/>
      <c r="AW174" s="261"/>
      <c r="AX174" s="262"/>
      <c r="AY174" s="262"/>
      <c r="AZ174" s="262"/>
    </row>
    <row r="175" spans="1:52" s="106" customFormat="1" ht="11.25" x14ac:dyDescent="0.2">
      <c r="A175" s="123"/>
      <c r="H175" s="123"/>
      <c r="I175" s="261"/>
      <c r="J175" s="261"/>
      <c r="K175" s="261"/>
      <c r="L175" s="261"/>
      <c r="M175" s="261"/>
      <c r="N175" s="261"/>
      <c r="O175" s="262"/>
      <c r="P175" s="262"/>
      <c r="Q175" s="262"/>
      <c r="R175" s="261"/>
      <c r="S175" s="261"/>
      <c r="T175" s="261"/>
      <c r="U175" s="261"/>
      <c r="V175" s="261"/>
      <c r="W175" s="261"/>
      <c r="X175" s="261"/>
      <c r="Y175" s="261"/>
      <c r="Z175" s="261"/>
      <c r="AA175" s="261"/>
      <c r="AB175" s="261"/>
      <c r="AC175" s="261"/>
      <c r="AD175" s="261"/>
      <c r="AE175" s="261"/>
      <c r="AF175" s="261"/>
      <c r="AG175" s="261"/>
      <c r="AH175" s="262"/>
      <c r="AI175" s="262"/>
      <c r="AJ175" s="262"/>
      <c r="AK175" s="262"/>
      <c r="AL175" s="262"/>
      <c r="AM175" s="262"/>
      <c r="AN175" s="262"/>
      <c r="AO175" s="262"/>
      <c r="AP175" s="262"/>
      <c r="AQ175" s="262"/>
      <c r="AR175" s="261"/>
      <c r="AS175" s="261"/>
      <c r="AT175" s="261"/>
      <c r="AU175" s="261"/>
      <c r="AV175" s="261"/>
      <c r="AW175" s="261"/>
      <c r="AX175" s="262"/>
      <c r="AY175" s="262"/>
      <c r="AZ175" s="262"/>
    </row>
    <row r="176" spans="1:52" s="106" customFormat="1" ht="11.25" x14ac:dyDescent="0.2">
      <c r="A176" s="123"/>
      <c r="H176" s="123"/>
      <c r="I176" s="261"/>
      <c r="J176" s="261"/>
      <c r="K176" s="261"/>
      <c r="L176" s="261"/>
      <c r="M176" s="261"/>
      <c r="N176" s="261"/>
      <c r="O176" s="262"/>
      <c r="P176" s="262"/>
      <c r="Q176" s="262"/>
      <c r="R176" s="261"/>
      <c r="S176" s="261"/>
      <c r="T176" s="261"/>
      <c r="U176" s="261"/>
      <c r="V176" s="261"/>
      <c r="W176" s="261"/>
      <c r="X176" s="261"/>
      <c r="Y176" s="261"/>
      <c r="Z176" s="261"/>
      <c r="AA176" s="261"/>
      <c r="AB176" s="261"/>
      <c r="AC176" s="261"/>
      <c r="AD176" s="261"/>
      <c r="AE176" s="261"/>
      <c r="AF176" s="261"/>
      <c r="AG176" s="261"/>
      <c r="AH176" s="262"/>
      <c r="AI176" s="262"/>
      <c r="AJ176" s="262"/>
      <c r="AK176" s="262"/>
      <c r="AL176" s="262"/>
      <c r="AM176" s="262"/>
      <c r="AN176" s="262"/>
      <c r="AO176" s="262"/>
      <c r="AP176" s="262"/>
      <c r="AQ176" s="262"/>
      <c r="AR176" s="261"/>
      <c r="AS176" s="261"/>
      <c r="AT176" s="261"/>
      <c r="AU176" s="261"/>
      <c r="AV176" s="261"/>
      <c r="AW176" s="261"/>
      <c r="AX176" s="262"/>
      <c r="AY176" s="262"/>
      <c r="AZ176" s="262"/>
    </row>
    <row r="177" spans="1:52" s="106" customFormat="1" ht="11.25" x14ac:dyDescent="0.2">
      <c r="A177" s="123"/>
      <c r="H177" s="123"/>
      <c r="I177" s="261"/>
      <c r="J177" s="261"/>
      <c r="K177" s="261"/>
      <c r="L177" s="261"/>
      <c r="M177" s="261"/>
      <c r="N177" s="261"/>
      <c r="O177" s="262"/>
      <c r="P177" s="262"/>
      <c r="Q177" s="262"/>
      <c r="R177" s="261"/>
      <c r="S177" s="261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1"/>
      <c r="AD177" s="261"/>
      <c r="AE177" s="261"/>
      <c r="AF177" s="261"/>
      <c r="AG177" s="261"/>
      <c r="AH177" s="262"/>
      <c r="AI177" s="262"/>
      <c r="AJ177" s="262"/>
      <c r="AK177" s="262"/>
      <c r="AL177" s="262"/>
      <c r="AM177" s="262"/>
      <c r="AN177" s="262"/>
      <c r="AO177" s="262"/>
      <c r="AP177" s="262"/>
      <c r="AQ177" s="262"/>
      <c r="AR177" s="261"/>
      <c r="AS177" s="261"/>
      <c r="AT177" s="261"/>
      <c r="AU177" s="261"/>
      <c r="AV177" s="261"/>
      <c r="AW177" s="261"/>
      <c r="AX177" s="262"/>
      <c r="AY177" s="262"/>
      <c r="AZ177" s="262"/>
    </row>
    <row r="180" spans="1:52" x14ac:dyDescent="0.25">
      <c r="E180" s="57"/>
    </row>
    <row r="181" spans="1:52" x14ac:dyDescent="0.25">
      <c r="E181" s="57"/>
    </row>
    <row r="182" spans="1:52" x14ac:dyDescent="0.25">
      <c r="E182" s="57"/>
    </row>
    <row r="183" spans="1:52" x14ac:dyDescent="0.25">
      <c r="E183" s="57"/>
    </row>
    <row r="184" spans="1:52" x14ac:dyDescent="0.25">
      <c r="E184" s="57"/>
    </row>
    <row r="185" spans="1:52" x14ac:dyDescent="0.25">
      <c r="E185" s="57"/>
    </row>
    <row r="186" spans="1:52" x14ac:dyDescent="0.25">
      <c r="E186" s="57"/>
    </row>
    <row r="187" spans="1:52" x14ac:dyDescent="0.25">
      <c r="E187" s="57"/>
    </row>
    <row r="188" spans="1:52" x14ac:dyDescent="0.25">
      <c r="E188" s="57"/>
    </row>
    <row r="189" spans="1:52" x14ac:dyDescent="0.25">
      <c r="E189" s="57"/>
    </row>
    <row r="190" spans="1:52" x14ac:dyDescent="0.25">
      <c r="E190" s="57"/>
    </row>
    <row r="191" spans="1:52" x14ac:dyDescent="0.25">
      <c r="E191" s="57"/>
    </row>
    <row r="192" spans="1:52" x14ac:dyDescent="0.25">
      <c r="E192" s="57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4:12" x14ac:dyDescent="0.25">
      <c r="E225"/>
    </row>
    <row r="226" spans="4:12" x14ac:dyDescent="0.25">
      <c r="E226"/>
    </row>
    <row r="227" spans="4:12" x14ac:dyDescent="0.25">
      <c r="E227"/>
    </row>
    <row r="228" spans="4:12" x14ac:dyDescent="0.25">
      <c r="E228"/>
    </row>
    <row r="229" spans="4:12" x14ac:dyDescent="0.25">
      <c r="E229"/>
    </row>
    <row r="230" spans="4:12" x14ac:dyDescent="0.25">
      <c r="E230"/>
    </row>
    <row r="232" spans="4:12" x14ac:dyDescent="0.25">
      <c r="D232"/>
      <c r="E232"/>
    </row>
    <row r="234" spans="4:12" x14ac:dyDescent="0.25">
      <c r="E234" s="99"/>
      <c r="F234" s="99"/>
      <c r="L234" s="8"/>
    </row>
    <row r="235" spans="4:12" x14ac:dyDescent="0.25">
      <c r="E235" s="99"/>
      <c r="F235" s="99"/>
      <c r="L235" s="8"/>
    </row>
    <row r="236" spans="4:12" x14ac:dyDescent="0.25">
      <c r="E236" s="99"/>
      <c r="F236" s="99"/>
      <c r="L236" s="8"/>
    </row>
    <row r="237" spans="4:12" x14ac:dyDescent="0.25">
      <c r="E237" s="99"/>
      <c r="F237" s="99"/>
      <c r="L237" s="8"/>
    </row>
    <row r="238" spans="4:12" x14ac:dyDescent="0.25">
      <c r="E238" s="99"/>
      <c r="F238" s="99"/>
      <c r="L238" s="8"/>
    </row>
    <row r="239" spans="4:12" x14ac:dyDescent="0.25">
      <c r="E239" s="99"/>
      <c r="F239" s="99"/>
      <c r="L239" s="8"/>
    </row>
    <row r="240" spans="4:12" x14ac:dyDescent="0.25">
      <c r="E240" s="99"/>
      <c r="F240" s="99"/>
      <c r="L240" s="8"/>
    </row>
    <row r="241" spans="5:15" x14ac:dyDescent="0.25">
      <c r="E241" s="99"/>
      <c r="F241" s="99"/>
      <c r="L241" s="8"/>
    </row>
    <row r="242" spans="5:15" x14ac:dyDescent="0.25">
      <c r="E242" s="99"/>
      <c r="F242" s="99"/>
      <c r="L242" s="8"/>
    </row>
    <row r="243" spans="5:15" x14ac:dyDescent="0.25">
      <c r="E243" s="99"/>
      <c r="F243" s="99"/>
      <c r="L243" s="8"/>
    </row>
    <row r="244" spans="5:15" x14ac:dyDescent="0.25">
      <c r="E244" s="99"/>
      <c r="F244" s="99"/>
      <c r="L244" s="8"/>
    </row>
    <row r="245" spans="5:15" x14ac:dyDescent="0.25">
      <c r="E245" s="99"/>
      <c r="F245" s="99"/>
      <c r="L245" s="8"/>
    </row>
    <row r="246" spans="5:15" x14ac:dyDescent="0.25">
      <c r="E246" s="99"/>
      <c r="F246" s="99"/>
      <c r="L246" s="8"/>
    </row>
    <row r="247" spans="5:15" x14ac:dyDescent="0.25">
      <c r="E247" s="99"/>
      <c r="F247" s="99"/>
      <c r="L247" s="8"/>
    </row>
    <row r="248" spans="5:15" x14ac:dyDescent="0.25">
      <c r="E248" s="99"/>
      <c r="F248" s="99"/>
      <c r="L248" s="8"/>
    </row>
    <row r="250" spans="5:15" x14ac:dyDescent="0.25">
      <c r="E250" s="99"/>
      <c r="F250" s="99"/>
      <c r="G250" s="99"/>
      <c r="L250" s="261"/>
      <c r="M250" s="261"/>
      <c r="N250" s="261"/>
      <c r="O250" s="262"/>
    </row>
    <row r="251" spans="5:15" x14ac:dyDescent="0.25">
      <c r="E251" s="99"/>
      <c r="F251" s="99"/>
      <c r="G251" s="99"/>
      <c r="L251" s="261"/>
      <c r="M251" s="261"/>
      <c r="N251" s="261"/>
      <c r="O251" s="262"/>
    </row>
    <row r="252" spans="5:15" x14ac:dyDescent="0.25">
      <c r="E252" s="99"/>
      <c r="F252" s="99"/>
      <c r="G252" s="99"/>
      <c r="L252" s="261"/>
      <c r="M252" s="261"/>
      <c r="N252" s="261"/>
      <c r="O252" s="262"/>
    </row>
    <row r="253" spans="5:15" x14ac:dyDescent="0.25">
      <c r="E253" s="99"/>
      <c r="F253" s="99"/>
      <c r="G253" s="99"/>
    </row>
    <row r="255" spans="5:15" x14ac:dyDescent="0.25">
      <c r="E255" s="652"/>
    </row>
    <row r="256" spans="5:15" x14ac:dyDescent="0.25">
      <c r="E256" s="652"/>
    </row>
    <row r="257" spans="5:7" x14ac:dyDescent="0.25">
      <c r="E257" s="652"/>
    </row>
    <row r="258" spans="5:7" x14ac:dyDescent="0.25">
      <c r="E258" s="652"/>
    </row>
    <row r="259" spans="5:7" x14ac:dyDescent="0.25">
      <c r="E259" s="652"/>
    </row>
    <row r="260" spans="5:7" x14ac:dyDescent="0.25">
      <c r="E260" s="652"/>
    </row>
    <row r="261" spans="5:7" x14ac:dyDescent="0.25">
      <c r="E261" s="652"/>
    </row>
    <row r="262" spans="5:7" x14ac:dyDescent="0.25">
      <c r="E262" s="652"/>
    </row>
    <row r="263" spans="5:7" x14ac:dyDescent="0.25">
      <c r="E263" s="652"/>
    </row>
    <row r="264" spans="5:7" x14ac:dyDescent="0.25">
      <c r="E264" s="652"/>
    </row>
    <row r="265" spans="5:7" x14ac:dyDescent="0.25">
      <c r="E265" s="652"/>
    </row>
    <row r="266" spans="5:7" x14ac:dyDescent="0.25">
      <c r="E266" s="652"/>
    </row>
    <row r="269" spans="5:7" x14ac:dyDescent="0.25">
      <c r="E269" s="99"/>
      <c r="F269" s="99"/>
      <c r="G269" s="99"/>
    </row>
    <row r="270" spans="5:7" x14ac:dyDescent="0.25">
      <c r="E270" s="99"/>
      <c r="F270" s="99"/>
      <c r="G270" s="99"/>
    </row>
    <row r="271" spans="5:7" x14ac:dyDescent="0.25">
      <c r="E271" s="99"/>
      <c r="F271" s="99"/>
      <c r="G271" s="99"/>
    </row>
    <row r="272" spans="5:7" x14ac:dyDescent="0.25">
      <c r="E272" s="99"/>
      <c r="F272" s="99"/>
      <c r="G272" s="99"/>
    </row>
    <row r="273" spans="5:9" x14ac:dyDescent="0.25">
      <c r="E273" s="99"/>
      <c r="F273" s="99"/>
      <c r="G273" s="99"/>
    </row>
    <row r="274" spans="5:9" x14ac:dyDescent="0.25">
      <c r="E274" s="99"/>
      <c r="F274" s="99"/>
      <c r="G274" s="99"/>
    </row>
    <row r="275" spans="5:9" x14ac:dyDescent="0.25">
      <c r="E275" s="99"/>
      <c r="F275" s="99"/>
      <c r="G275" s="99"/>
    </row>
    <row r="276" spans="5:9" x14ac:dyDescent="0.25">
      <c r="E276" s="99"/>
      <c r="F276" s="99"/>
      <c r="G276" s="99"/>
    </row>
    <row r="277" spans="5:9" x14ac:dyDescent="0.25">
      <c r="E277" s="99"/>
      <c r="F277" s="99"/>
      <c r="G277" s="99"/>
    </row>
    <row r="278" spans="5:9" x14ac:dyDescent="0.25">
      <c r="E278" s="99"/>
      <c r="F278" s="99"/>
      <c r="G278" s="99"/>
    </row>
    <row r="279" spans="5:9" x14ac:dyDescent="0.25">
      <c r="E279" s="99"/>
      <c r="F279" s="99"/>
      <c r="G279" s="99"/>
    </row>
    <row r="280" spans="5:9" x14ac:dyDescent="0.25">
      <c r="E280" s="99"/>
      <c r="F280" s="99"/>
      <c r="G280" s="99"/>
    </row>
    <row r="282" spans="5:9" x14ac:dyDescent="0.25">
      <c r="G282" s="676"/>
      <c r="H282" s="652"/>
      <c r="I282" s="676"/>
    </row>
    <row r="283" spans="5:9" x14ac:dyDescent="0.25">
      <c r="G283" s="676"/>
      <c r="H283" s="652"/>
      <c r="I283" s="676"/>
    </row>
    <row r="284" spans="5:9" x14ac:dyDescent="0.25">
      <c r="G284" s="676"/>
      <c r="H284" s="652"/>
      <c r="I284" s="676"/>
    </row>
    <row r="285" spans="5:9" x14ac:dyDescent="0.25">
      <c r="G285" s="676"/>
      <c r="H285" s="652"/>
      <c r="I285" s="676"/>
    </row>
    <row r="286" spans="5:9" x14ac:dyDescent="0.25">
      <c r="G286" s="676"/>
      <c r="H286" s="652"/>
      <c r="I286" s="676"/>
    </row>
    <row r="287" spans="5:9" x14ac:dyDescent="0.25">
      <c r="G287" s="676"/>
      <c r="H287" s="652"/>
      <c r="I287" s="676"/>
    </row>
    <row r="288" spans="5:9" x14ac:dyDescent="0.25">
      <c r="G288" s="676"/>
      <c r="H288" s="652"/>
      <c r="I288" s="676"/>
    </row>
    <row r="289" spans="1:52" x14ac:dyDescent="0.25">
      <c r="G289" s="676"/>
      <c r="H289" s="652"/>
      <c r="I289" s="676"/>
    </row>
    <row r="290" spans="1:52" x14ac:dyDescent="0.25">
      <c r="G290" s="676"/>
      <c r="H290" s="652"/>
      <c r="I290" s="676"/>
    </row>
    <row r="291" spans="1:52" x14ac:dyDescent="0.25">
      <c r="G291" s="676"/>
      <c r="H291" s="652"/>
      <c r="I291" s="676"/>
    </row>
    <row r="292" spans="1:52" x14ac:dyDescent="0.25">
      <c r="G292" s="676"/>
      <c r="H292" s="652"/>
      <c r="I292" s="676"/>
    </row>
    <row r="293" spans="1:52" x14ac:dyDescent="0.25">
      <c r="G293" s="676"/>
      <c r="H293" s="652"/>
      <c r="I293" s="676"/>
    </row>
    <row r="294" spans="1:52" x14ac:dyDescent="0.25">
      <c r="G294" s="676"/>
      <c r="H294" s="652"/>
      <c r="I294" s="676"/>
    </row>
    <row r="295" spans="1:52" x14ac:dyDescent="0.25">
      <c r="G295" s="676"/>
      <c r="H295" s="652"/>
      <c r="I295" s="676"/>
    </row>
    <row r="296" spans="1:52" x14ac:dyDescent="0.25">
      <c r="G296" s="676"/>
      <c r="H296" s="652"/>
      <c r="I296" s="676"/>
    </row>
    <row r="297" spans="1:52" x14ac:dyDescent="0.25">
      <c r="G297" s="676"/>
      <c r="H297" s="652"/>
      <c r="I297" s="676"/>
    </row>
    <row r="298" spans="1:52" x14ac:dyDescent="0.25">
      <c r="G298" s="676"/>
      <c r="H298" s="652"/>
      <c r="I298" s="676"/>
    </row>
    <row r="299" spans="1:52" x14ac:dyDescent="0.25">
      <c r="G299" s="676"/>
      <c r="H299" s="652"/>
      <c r="I299" s="676"/>
    </row>
    <row r="301" spans="1:52" s="106" customFormat="1" x14ac:dyDescent="0.25">
      <c r="A301" s="123"/>
      <c r="E301" s="678"/>
      <c r="F301" s="123"/>
      <c r="G301" s="100"/>
      <c r="H301" s="100"/>
      <c r="I301" s="60"/>
      <c r="L301" s="60">
        <v>2668</v>
      </c>
      <c r="M301" s="60">
        <v>1.55</v>
      </c>
      <c r="O301" s="61"/>
      <c r="P301" s="61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0"/>
      <c r="AS301" s="60"/>
      <c r="AT301" s="60"/>
      <c r="AU301" s="60"/>
      <c r="AV301" s="60"/>
      <c r="AW301" s="60"/>
      <c r="AX301" s="61"/>
      <c r="AY301" s="61"/>
      <c r="AZ301" s="61"/>
    </row>
    <row r="302" spans="1:52" s="106" customFormat="1" x14ac:dyDescent="0.25">
      <c r="A302" s="123"/>
      <c r="E302" s="678"/>
      <c r="F302" s="123"/>
      <c r="G302" s="100"/>
      <c r="H302" s="100"/>
      <c r="I302" s="60"/>
      <c r="L302" s="60">
        <v>1334</v>
      </c>
      <c r="M302" s="60">
        <v>0.89</v>
      </c>
      <c r="O302" s="61"/>
      <c r="P302" s="61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0"/>
      <c r="AS302" s="60"/>
      <c r="AT302" s="60"/>
      <c r="AU302" s="60"/>
      <c r="AV302" s="60"/>
      <c r="AW302" s="60"/>
      <c r="AX302" s="61"/>
      <c r="AY302" s="61"/>
      <c r="AZ302" s="61"/>
    </row>
    <row r="303" spans="1:52" s="106" customFormat="1" x14ac:dyDescent="0.25">
      <c r="A303" s="123"/>
      <c r="E303" s="678"/>
      <c r="F303" s="123"/>
      <c r="G303" s="100"/>
      <c r="H303" s="100"/>
      <c r="I303" s="60"/>
      <c r="L303" s="60">
        <v>2088</v>
      </c>
      <c r="M303" s="60">
        <v>1.27</v>
      </c>
      <c r="O303" s="61"/>
      <c r="P303" s="61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0"/>
      <c r="AS303" s="60"/>
      <c r="AT303" s="60"/>
      <c r="AU303" s="60"/>
      <c r="AV303" s="60"/>
      <c r="AW303" s="60"/>
      <c r="AX303" s="61"/>
      <c r="AY303" s="61"/>
      <c r="AZ303" s="61"/>
    </row>
    <row r="304" spans="1:52" s="106" customFormat="1" x14ac:dyDescent="0.25">
      <c r="A304" s="123"/>
      <c r="E304" s="678"/>
      <c r="F304" s="123"/>
      <c r="G304" s="100"/>
      <c r="H304" s="100"/>
      <c r="I304" s="60"/>
      <c r="L304" s="60">
        <v>1914</v>
      </c>
      <c r="M304" s="60">
        <v>1.17</v>
      </c>
      <c r="O304" s="61"/>
      <c r="P304" s="61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0"/>
      <c r="AS304" s="60"/>
      <c r="AT304" s="60"/>
      <c r="AU304" s="60"/>
      <c r="AV304" s="60"/>
      <c r="AW304" s="60"/>
      <c r="AX304" s="61"/>
      <c r="AY304" s="61"/>
      <c r="AZ304" s="61"/>
    </row>
    <row r="305" spans="1:52" s="106" customFormat="1" x14ac:dyDescent="0.25">
      <c r="A305" s="123"/>
      <c r="E305" s="678"/>
      <c r="F305" s="123"/>
      <c r="G305" s="100"/>
      <c r="H305" s="100"/>
      <c r="I305" s="60"/>
      <c r="L305" s="60">
        <v>15370</v>
      </c>
      <c r="M305" s="60">
        <v>5.56</v>
      </c>
      <c r="O305" s="61"/>
      <c r="P305" s="61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0"/>
      <c r="AS305" s="60"/>
      <c r="AT305" s="60"/>
      <c r="AU305" s="60"/>
      <c r="AV305" s="60"/>
      <c r="AW305" s="60"/>
      <c r="AX305" s="61"/>
      <c r="AY305" s="61"/>
      <c r="AZ305" s="61"/>
    </row>
    <row r="306" spans="1:52" s="106" customFormat="1" x14ac:dyDescent="0.25">
      <c r="A306" s="123"/>
      <c r="E306" s="678"/>
      <c r="F306" s="123"/>
      <c r="G306" s="100"/>
      <c r="H306" s="100"/>
      <c r="I306" s="60"/>
      <c r="J306" s="261"/>
      <c r="K306" s="261"/>
      <c r="L306" s="60"/>
      <c r="M306" s="60"/>
      <c r="N306" s="261"/>
      <c r="O306" s="61"/>
      <c r="P306" s="61"/>
      <c r="Q306" s="262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0"/>
      <c r="AS306" s="60"/>
      <c r="AT306" s="60"/>
      <c r="AU306" s="60"/>
      <c r="AV306" s="60"/>
      <c r="AW306" s="60"/>
      <c r="AX306" s="61"/>
      <c r="AY306" s="61"/>
      <c r="AZ306" s="61"/>
    </row>
    <row r="307" spans="1:52" s="106" customFormat="1" x14ac:dyDescent="0.25">
      <c r="A307" s="123"/>
      <c r="E307" s="678"/>
      <c r="F307" s="123"/>
      <c r="G307" s="100"/>
      <c r="H307" s="100"/>
      <c r="I307" s="60"/>
      <c r="J307" s="261"/>
      <c r="K307" s="261"/>
      <c r="L307" s="60">
        <v>6460</v>
      </c>
      <c r="M307" s="60">
        <v>1.23</v>
      </c>
      <c r="N307" s="261"/>
      <c r="O307" s="61"/>
      <c r="P307" s="61"/>
      <c r="Q307" s="262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0"/>
      <c r="AS307" s="60"/>
      <c r="AT307" s="60"/>
      <c r="AU307" s="60"/>
      <c r="AV307" s="60"/>
      <c r="AW307" s="60"/>
      <c r="AX307" s="61"/>
      <c r="AY307" s="61"/>
      <c r="AZ307" s="61"/>
    </row>
    <row r="308" spans="1:52" s="106" customFormat="1" x14ac:dyDescent="0.25">
      <c r="A308" s="123"/>
      <c r="E308" s="678"/>
      <c r="F308" s="123"/>
      <c r="G308" s="100"/>
      <c r="H308" s="100"/>
      <c r="I308" s="60"/>
      <c r="J308" s="261"/>
      <c r="K308" s="261"/>
      <c r="L308" s="60">
        <v>11970</v>
      </c>
      <c r="M308" s="60">
        <v>4.3</v>
      </c>
      <c r="N308" s="261"/>
      <c r="O308" s="61"/>
      <c r="P308" s="61"/>
      <c r="Q308" s="262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0"/>
      <c r="AS308" s="60"/>
      <c r="AT308" s="60"/>
      <c r="AU308" s="60"/>
      <c r="AV308" s="60"/>
      <c r="AW308" s="60"/>
      <c r="AX308" s="61"/>
      <c r="AY308" s="61"/>
      <c r="AZ308" s="61"/>
    </row>
    <row r="309" spans="1:52" s="106" customFormat="1" x14ac:dyDescent="0.25">
      <c r="A309" s="123"/>
      <c r="E309" s="678"/>
      <c r="F309" s="123"/>
      <c r="G309" s="100"/>
      <c r="H309" s="100"/>
      <c r="I309" s="60"/>
      <c r="L309" s="60">
        <v>18430</v>
      </c>
      <c r="M309" s="60">
        <v>5.5299999999999994</v>
      </c>
      <c r="O309" s="61"/>
      <c r="P309" s="61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0"/>
      <c r="AS309" s="60"/>
      <c r="AT309" s="60"/>
      <c r="AU309" s="60"/>
      <c r="AV309" s="60"/>
      <c r="AW309" s="60"/>
      <c r="AX309" s="61"/>
      <c r="AY309" s="61"/>
      <c r="AZ309" s="61"/>
    </row>
    <row r="310" spans="1:52" s="106" customFormat="1" x14ac:dyDescent="0.25">
      <c r="A310" s="123"/>
      <c r="E310" s="123"/>
      <c r="F310" s="123"/>
      <c r="G310" s="100"/>
      <c r="H310" s="100"/>
      <c r="I310" s="60"/>
      <c r="J310" s="261"/>
      <c r="K310" s="261"/>
      <c r="L310" s="60"/>
      <c r="M310" s="60"/>
      <c r="N310" s="261"/>
      <c r="O310" s="61"/>
      <c r="P310" s="61"/>
      <c r="Q310" s="262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0"/>
      <c r="AS310" s="60"/>
      <c r="AT310" s="60"/>
      <c r="AU310" s="60"/>
      <c r="AV310" s="60"/>
      <c r="AW310" s="60"/>
      <c r="AX310" s="61"/>
      <c r="AY310" s="61"/>
      <c r="AZ310" s="61"/>
    </row>
    <row r="311" spans="1:52" s="106" customFormat="1" x14ac:dyDescent="0.25">
      <c r="A311" s="123"/>
      <c r="E311" s="123"/>
      <c r="F311" s="123"/>
      <c r="G311" s="100"/>
      <c r="H311" s="100"/>
      <c r="I311" s="60"/>
      <c r="J311" s="261"/>
      <c r="K311" s="261"/>
      <c r="L311" s="60"/>
      <c r="M311" s="60"/>
      <c r="N311" s="261"/>
      <c r="O311" s="61"/>
      <c r="P311" s="61"/>
      <c r="Q311" s="262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0"/>
      <c r="AS311" s="60"/>
      <c r="AT311" s="60"/>
      <c r="AU311" s="60"/>
      <c r="AV311" s="60"/>
      <c r="AW311" s="60"/>
      <c r="AX311" s="61"/>
      <c r="AY311" s="61"/>
      <c r="AZ311" s="61"/>
    </row>
    <row r="312" spans="1:52" s="106" customFormat="1" x14ac:dyDescent="0.25">
      <c r="A312" s="123"/>
      <c r="E312" s="123"/>
      <c r="F312" s="123"/>
      <c r="G312" s="100"/>
      <c r="H312" s="100"/>
      <c r="I312" s="60"/>
      <c r="J312" s="261"/>
      <c r="K312" s="261"/>
      <c r="L312" s="60"/>
      <c r="M312" s="60"/>
      <c r="N312" s="261"/>
      <c r="O312" s="61"/>
      <c r="P312" s="61"/>
      <c r="Q312" s="262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0"/>
      <c r="AS312" s="60"/>
      <c r="AT312" s="60"/>
      <c r="AU312" s="60"/>
      <c r="AV312" s="60"/>
      <c r="AW312" s="60"/>
      <c r="AX312" s="61"/>
      <c r="AY312" s="61"/>
      <c r="AZ312" s="61"/>
    </row>
    <row r="313" spans="1:52" s="106" customFormat="1" x14ac:dyDescent="0.25">
      <c r="A313" s="123"/>
      <c r="E313" s="123"/>
      <c r="F313" s="123"/>
      <c r="G313" s="100"/>
      <c r="H313" s="100"/>
      <c r="I313" s="60"/>
      <c r="J313" s="261"/>
      <c r="K313" s="261"/>
      <c r="L313" s="60"/>
      <c r="M313" s="60"/>
      <c r="N313" s="261"/>
      <c r="O313" s="61"/>
      <c r="P313" s="61"/>
      <c r="Q313" s="262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0"/>
      <c r="AS313" s="60"/>
      <c r="AT313" s="60"/>
      <c r="AU313" s="60"/>
      <c r="AV313" s="60"/>
      <c r="AW313" s="60"/>
      <c r="AX313" s="61"/>
      <c r="AY313" s="61"/>
      <c r="AZ313" s="61"/>
    </row>
    <row r="314" spans="1:52" s="106" customFormat="1" x14ac:dyDescent="0.25">
      <c r="A314" s="123"/>
      <c r="E314" s="123"/>
      <c r="F314" s="123"/>
      <c r="G314" s="100"/>
      <c r="H314" s="100"/>
      <c r="I314" s="60"/>
      <c r="J314" s="261"/>
      <c r="K314" s="261"/>
      <c r="L314" s="60"/>
      <c r="M314" s="60"/>
      <c r="N314" s="261"/>
      <c r="O314" s="61"/>
      <c r="P314" s="61"/>
      <c r="Q314" s="262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0"/>
      <c r="AS314" s="60"/>
      <c r="AT314" s="60"/>
      <c r="AU314" s="60"/>
      <c r="AV314" s="60"/>
      <c r="AW314" s="60"/>
      <c r="AX314" s="61"/>
      <c r="AY314" s="61"/>
      <c r="AZ314" s="61"/>
    </row>
    <row r="315" spans="1:52" s="106" customFormat="1" x14ac:dyDescent="0.25">
      <c r="A315" s="123"/>
      <c r="E315" s="123"/>
      <c r="F315" s="123"/>
      <c r="G315" s="100"/>
      <c r="H315" s="100"/>
      <c r="I315" s="60"/>
      <c r="J315" s="261"/>
      <c r="K315" s="261"/>
      <c r="L315" s="60"/>
      <c r="M315" s="60"/>
      <c r="N315" s="261"/>
      <c r="O315" s="61"/>
      <c r="P315" s="61"/>
      <c r="Q315" s="262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0"/>
      <c r="AS315" s="60"/>
      <c r="AT315" s="60"/>
      <c r="AU315" s="60"/>
      <c r="AV315" s="60"/>
      <c r="AW315" s="60"/>
      <c r="AX315" s="61"/>
      <c r="AY315" s="61"/>
      <c r="AZ315" s="61"/>
    </row>
    <row r="316" spans="1:52" s="106" customFormat="1" x14ac:dyDescent="0.25">
      <c r="A316" s="123"/>
      <c r="E316" s="123"/>
      <c r="F316" s="123"/>
      <c r="G316" s="100"/>
      <c r="H316" s="100"/>
      <c r="I316" s="60"/>
      <c r="J316" s="261"/>
      <c r="K316" s="261"/>
      <c r="L316" s="60"/>
      <c r="M316" s="60"/>
      <c r="N316" s="261"/>
      <c r="O316" s="61"/>
      <c r="P316" s="61"/>
      <c r="Q316" s="262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0"/>
      <c r="AS316" s="60"/>
      <c r="AT316" s="60"/>
      <c r="AU316" s="60"/>
      <c r="AV316" s="60"/>
      <c r="AW316" s="60"/>
      <c r="AX316" s="61"/>
      <c r="AY316" s="61"/>
      <c r="AZ316" s="61"/>
    </row>
    <row r="317" spans="1:52" s="106" customFormat="1" x14ac:dyDescent="0.25">
      <c r="A317" s="123"/>
      <c r="E317" s="123"/>
      <c r="F317" s="123"/>
      <c r="G317" s="100"/>
      <c r="H317" s="100"/>
      <c r="I317" s="60"/>
      <c r="J317" s="261"/>
      <c r="K317" s="261"/>
      <c r="L317" s="60"/>
      <c r="M317" s="60"/>
      <c r="N317" s="261"/>
      <c r="O317" s="61"/>
      <c r="P317" s="61"/>
      <c r="Q317" s="262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0"/>
      <c r="AS317" s="60"/>
      <c r="AT317" s="60"/>
      <c r="AU317" s="60"/>
      <c r="AV317" s="60"/>
      <c r="AW317" s="60"/>
      <c r="AX317" s="61"/>
      <c r="AY317" s="61"/>
      <c r="AZ317" s="61"/>
    </row>
    <row r="318" spans="1:52" s="106" customFormat="1" x14ac:dyDescent="0.25">
      <c r="A318" s="123"/>
      <c r="E318" s="678"/>
      <c r="F318" s="123"/>
      <c r="G318" s="123"/>
      <c r="H318" s="123"/>
      <c r="I318" s="60"/>
      <c r="L318" s="60"/>
      <c r="M318" s="60"/>
      <c r="O318" s="61"/>
      <c r="P318" s="262"/>
      <c r="R318" s="261"/>
      <c r="S318" s="261"/>
      <c r="T318" s="261"/>
      <c r="U318" s="261"/>
      <c r="V318" s="261"/>
      <c r="W318" s="261"/>
      <c r="X318" s="261"/>
      <c r="Y318" s="261"/>
      <c r="Z318" s="261"/>
      <c r="AA318" s="261"/>
      <c r="AB318" s="261"/>
      <c r="AC318" s="261"/>
      <c r="AD318" s="261"/>
      <c r="AE318" s="261"/>
      <c r="AF318" s="261"/>
      <c r="AG318" s="261"/>
      <c r="AH318" s="262"/>
      <c r="AI318" s="262"/>
      <c r="AJ318" s="262"/>
      <c r="AK318" s="262"/>
      <c r="AL318" s="262"/>
      <c r="AM318" s="262"/>
      <c r="AN318" s="262"/>
      <c r="AO318" s="262"/>
      <c r="AP318" s="262"/>
      <c r="AQ318" s="262"/>
      <c r="AR318" s="261"/>
      <c r="AS318" s="261"/>
      <c r="AT318" s="261"/>
      <c r="AU318" s="261"/>
      <c r="AV318" s="261"/>
      <c r="AW318" s="261"/>
      <c r="AX318" s="262"/>
      <c r="AY318" s="262"/>
      <c r="AZ318" s="262"/>
    </row>
    <row r="319" spans="1:52" s="106" customFormat="1" x14ac:dyDescent="0.25">
      <c r="A319" s="123"/>
      <c r="E319" s="678"/>
      <c r="F319" s="123"/>
      <c r="G319" s="123"/>
      <c r="H319" s="123"/>
      <c r="I319" s="60"/>
      <c r="L319" s="60"/>
      <c r="M319" s="60"/>
      <c r="O319" s="61"/>
      <c r="P319" s="262"/>
      <c r="R319" s="261"/>
      <c r="S319" s="261"/>
      <c r="T319" s="261"/>
      <c r="U319" s="261"/>
      <c r="V319" s="261"/>
      <c r="W319" s="261"/>
      <c r="X319" s="261"/>
      <c r="Y319" s="261"/>
      <c r="Z319" s="261"/>
      <c r="AA319" s="261"/>
      <c r="AB319" s="261"/>
      <c r="AC319" s="261"/>
      <c r="AD319" s="261"/>
      <c r="AE319" s="261"/>
      <c r="AF319" s="261"/>
      <c r="AG319" s="261"/>
      <c r="AH319" s="262"/>
      <c r="AI319" s="262"/>
      <c r="AJ319" s="262"/>
      <c r="AK319" s="262"/>
      <c r="AL319" s="262"/>
      <c r="AM319" s="262"/>
      <c r="AN319" s="262"/>
      <c r="AO319" s="262"/>
      <c r="AP319" s="262"/>
      <c r="AQ319" s="262"/>
      <c r="AR319" s="261"/>
      <c r="AS319" s="261"/>
      <c r="AT319" s="261"/>
      <c r="AU319" s="261"/>
      <c r="AV319" s="261"/>
      <c r="AW319" s="261"/>
      <c r="AX319" s="262"/>
      <c r="AY319" s="262"/>
      <c r="AZ319" s="262"/>
    </row>
    <row r="320" spans="1:52" s="106" customFormat="1" x14ac:dyDescent="0.25">
      <c r="A320" s="123"/>
      <c r="E320" s="678"/>
      <c r="F320" s="123"/>
      <c r="G320" s="123"/>
      <c r="H320" s="123"/>
      <c r="I320" s="60"/>
      <c r="L320" s="60"/>
      <c r="M320" s="60"/>
      <c r="O320" s="61"/>
      <c r="P320" s="262"/>
      <c r="R320" s="261"/>
      <c r="S320" s="261"/>
      <c r="T320" s="261"/>
      <c r="U320" s="261"/>
      <c r="V320" s="261"/>
      <c r="W320" s="261"/>
      <c r="X320" s="261"/>
      <c r="Y320" s="261"/>
      <c r="Z320" s="261"/>
      <c r="AA320" s="261"/>
      <c r="AB320" s="261"/>
      <c r="AC320" s="261"/>
      <c r="AD320" s="261"/>
      <c r="AE320" s="261"/>
      <c r="AF320" s="261"/>
      <c r="AG320" s="261"/>
      <c r="AH320" s="262"/>
      <c r="AI320" s="262"/>
      <c r="AJ320" s="262"/>
      <c r="AK320" s="262"/>
      <c r="AL320" s="262"/>
      <c r="AM320" s="262"/>
      <c r="AN320" s="262"/>
      <c r="AO320" s="262"/>
      <c r="AP320" s="262"/>
      <c r="AQ320" s="262"/>
      <c r="AR320" s="261"/>
      <c r="AS320" s="261"/>
      <c r="AT320" s="261"/>
      <c r="AU320" s="261"/>
      <c r="AV320" s="261"/>
      <c r="AW320" s="261"/>
      <c r="AX320" s="262"/>
      <c r="AY320" s="262"/>
      <c r="AZ320" s="262"/>
    </row>
    <row r="321" spans="1:52" s="106" customFormat="1" x14ac:dyDescent="0.25">
      <c r="A321" s="123"/>
      <c r="E321" s="678"/>
      <c r="F321" s="123"/>
      <c r="G321" s="123"/>
      <c r="H321" s="123"/>
      <c r="I321" s="60"/>
      <c r="L321" s="60"/>
      <c r="M321" s="60"/>
      <c r="O321" s="61"/>
      <c r="P321" s="262"/>
      <c r="R321" s="261"/>
      <c r="S321" s="261"/>
      <c r="T321" s="261"/>
      <c r="U321" s="261"/>
      <c r="V321" s="261"/>
      <c r="W321" s="261"/>
      <c r="X321" s="261"/>
      <c r="Y321" s="261"/>
      <c r="Z321" s="261"/>
      <c r="AA321" s="261"/>
      <c r="AB321" s="261"/>
      <c r="AC321" s="261"/>
      <c r="AD321" s="261"/>
      <c r="AE321" s="261"/>
      <c r="AF321" s="261"/>
      <c r="AG321" s="261"/>
      <c r="AH321" s="262"/>
      <c r="AI321" s="262"/>
      <c r="AJ321" s="262"/>
      <c r="AK321" s="262"/>
      <c r="AL321" s="262"/>
      <c r="AM321" s="262"/>
      <c r="AN321" s="262"/>
      <c r="AO321" s="262"/>
      <c r="AP321" s="262"/>
      <c r="AQ321" s="262"/>
      <c r="AR321" s="261"/>
      <c r="AS321" s="261"/>
      <c r="AT321" s="261"/>
      <c r="AU321" s="261"/>
      <c r="AV321" s="261"/>
      <c r="AW321" s="261"/>
      <c r="AX321" s="262"/>
      <c r="AY321" s="262"/>
      <c r="AZ321" s="262"/>
    </row>
    <row r="322" spans="1:52" s="106" customFormat="1" x14ac:dyDescent="0.25">
      <c r="A322" s="123"/>
      <c r="E322" s="678"/>
      <c r="F322" s="123"/>
      <c r="G322" s="123"/>
      <c r="H322" s="123"/>
      <c r="I322" s="60"/>
      <c r="L322" s="60"/>
      <c r="M322" s="60"/>
      <c r="O322" s="61"/>
      <c r="P322" s="262"/>
      <c r="R322" s="261"/>
      <c r="S322" s="261"/>
      <c r="T322" s="261"/>
      <c r="U322" s="261"/>
      <c r="V322" s="261"/>
      <c r="W322" s="261"/>
      <c r="X322" s="261"/>
      <c r="Y322" s="261"/>
      <c r="Z322" s="261"/>
      <c r="AA322" s="261"/>
      <c r="AB322" s="261"/>
      <c r="AC322" s="261"/>
      <c r="AD322" s="261"/>
      <c r="AE322" s="261"/>
      <c r="AF322" s="261"/>
      <c r="AG322" s="261"/>
      <c r="AH322" s="262"/>
      <c r="AI322" s="262"/>
      <c r="AJ322" s="262"/>
      <c r="AK322" s="262"/>
      <c r="AL322" s="262"/>
      <c r="AM322" s="262"/>
      <c r="AN322" s="262"/>
      <c r="AO322" s="262"/>
      <c r="AP322" s="262"/>
      <c r="AQ322" s="262"/>
      <c r="AR322" s="261"/>
      <c r="AS322" s="261"/>
      <c r="AT322" s="261"/>
      <c r="AU322" s="261"/>
      <c r="AV322" s="261"/>
      <c r="AW322" s="261"/>
      <c r="AX322" s="262"/>
      <c r="AY322" s="262"/>
      <c r="AZ322" s="262"/>
    </row>
    <row r="323" spans="1:52" s="106" customFormat="1" x14ac:dyDescent="0.25">
      <c r="A323" s="123"/>
      <c r="E323" s="678"/>
      <c r="F323" s="123"/>
      <c r="G323" s="123"/>
      <c r="H323" s="123"/>
      <c r="I323" s="60"/>
      <c r="L323" s="60"/>
      <c r="M323" s="60"/>
      <c r="O323" s="61"/>
      <c r="P323" s="262"/>
      <c r="R323" s="261"/>
      <c r="S323" s="261"/>
      <c r="T323" s="261"/>
      <c r="U323" s="261"/>
      <c r="V323" s="261"/>
      <c r="W323" s="261"/>
      <c r="X323" s="261"/>
      <c r="Y323" s="261"/>
      <c r="Z323" s="261"/>
      <c r="AA323" s="261"/>
      <c r="AB323" s="261"/>
      <c r="AC323" s="261"/>
      <c r="AD323" s="261"/>
      <c r="AE323" s="261"/>
      <c r="AF323" s="261"/>
      <c r="AG323" s="261"/>
      <c r="AH323" s="262"/>
      <c r="AI323" s="262"/>
      <c r="AJ323" s="262"/>
      <c r="AK323" s="262"/>
      <c r="AL323" s="262"/>
      <c r="AM323" s="262"/>
      <c r="AN323" s="262"/>
      <c r="AO323" s="262"/>
      <c r="AP323" s="262"/>
      <c r="AQ323" s="262"/>
      <c r="AR323" s="261"/>
      <c r="AS323" s="261"/>
      <c r="AT323" s="261"/>
      <c r="AU323" s="261"/>
      <c r="AV323" s="261"/>
      <c r="AW323" s="261"/>
      <c r="AX323" s="262"/>
      <c r="AY323" s="262"/>
      <c r="AZ323" s="262"/>
    </row>
    <row r="324" spans="1:52" s="106" customFormat="1" x14ac:dyDescent="0.25">
      <c r="A324" s="123"/>
      <c r="E324" s="678"/>
      <c r="F324" s="123"/>
      <c r="G324" s="123"/>
      <c r="H324" s="123"/>
      <c r="I324" s="60"/>
      <c r="L324" s="60"/>
      <c r="M324" s="60"/>
      <c r="O324" s="61"/>
      <c r="P324" s="262"/>
      <c r="R324" s="261"/>
      <c r="S324" s="261"/>
      <c r="T324" s="261"/>
      <c r="U324" s="261"/>
      <c r="V324" s="261"/>
      <c r="W324" s="261"/>
      <c r="X324" s="261"/>
      <c r="Y324" s="261"/>
      <c r="Z324" s="261"/>
      <c r="AA324" s="261"/>
      <c r="AB324" s="261"/>
      <c r="AC324" s="261"/>
      <c r="AD324" s="261"/>
      <c r="AE324" s="261"/>
      <c r="AF324" s="261"/>
      <c r="AG324" s="261"/>
      <c r="AH324" s="262"/>
      <c r="AI324" s="262"/>
      <c r="AJ324" s="262"/>
      <c r="AK324" s="262"/>
      <c r="AL324" s="262"/>
      <c r="AM324" s="262"/>
      <c r="AN324" s="262"/>
      <c r="AO324" s="262"/>
      <c r="AP324" s="262"/>
      <c r="AQ324" s="262"/>
      <c r="AR324" s="261"/>
      <c r="AS324" s="261"/>
      <c r="AT324" s="261"/>
      <c r="AU324" s="261"/>
      <c r="AV324" s="261"/>
      <c r="AW324" s="261"/>
      <c r="AX324" s="262"/>
      <c r="AY324" s="262"/>
      <c r="AZ324" s="262"/>
    </row>
    <row r="325" spans="1:52" s="106" customFormat="1" x14ac:dyDescent="0.25">
      <c r="A325" s="123"/>
      <c r="E325" s="678"/>
      <c r="F325" s="123"/>
      <c r="G325" s="123"/>
      <c r="H325" s="123"/>
      <c r="I325" s="60"/>
      <c r="L325" s="60"/>
      <c r="M325" s="60"/>
      <c r="O325" s="61"/>
      <c r="P325" s="262"/>
      <c r="R325" s="261"/>
      <c r="S325" s="261"/>
      <c r="T325" s="261"/>
      <c r="U325" s="261"/>
      <c r="V325" s="261"/>
      <c r="W325" s="261"/>
      <c r="X325" s="261"/>
      <c r="Y325" s="261"/>
      <c r="Z325" s="261"/>
      <c r="AA325" s="261"/>
      <c r="AB325" s="261"/>
      <c r="AC325" s="261"/>
      <c r="AD325" s="261"/>
      <c r="AE325" s="261"/>
      <c r="AF325" s="261"/>
      <c r="AG325" s="261"/>
      <c r="AH325" s="262"/>
      <c r="AI325" s="262"/>
      <c r="AJ325" s="262"/>
      <c r="AK325" s="262"/>
      <c r="AL325" s="262"/>
      <c r="AM325" s="262"/>
      <c r="AN325" s="262"/>
      <c r="AO325" s="262"/>
      <c r="AP325" s="262"/>
      <c r="AQ325" s="262"/>
      <c r="AR325" s="261"/>
      <c r="AS325" s="261"/>
      <c r="AT325" s="261"/>
      <c r="AU325" s="261"/>
      <c r="AV325" s="261"/>
      <c r="AW325" s="261"/>
      <c r="AX325" s="262"/>
      <c r="AY325" s="262"/>
      <c r="AZ325" s="262"/>
    </row>
    <row r="326" spans="1:52" s="106" customFormat="1" x14ac:dyDescent="0.25">
      <c r="A326" s="123"/>
      <c r="E326" s="678"/>
      <c r="F326" s="123"/>
      <c r="G326" s="123"/>
      <c r="H326" s="123"/>
      <c r="I326" s="60"/>
      <c r="L326" s="60"/>
      <c r="M326" s="60"/>
      <c r="O326" s="61"/>
      <c r="P326" s="262"/>
      <c r="R326" s="261"/>
      <c r="S326" s="261"/>
      <c r="T326" s="261"/>
      <c r="U326" s="261"/>
      <c r="V326" s="261"/>
      <c r="W326" s="261"/>
      <c r="X326" s="261"/>
      <c r="Y326" s="261"/>
      <c r="Z326" s="261"/>
      <c r="AA326" s="261"/>
      <c r="AB326" s="261"/>
      <c r="AC326" s="261"/>
      <c r="AD326" s="261"/>
      <c r="AE326" s="261"/>
      <c r="AF326" s="261"/>
      <c r="AG326" s="261"/>
      <c r="AH326" s="262"/>
      <c r="AI326" s="262"/>
      <c r="AJ326" s="262"/>
      <c r="AK326" s="262"/>
      <c r="AL326" s="262"/>
      <c r="AM326" s="262"/>
      <c r="AN326" s="262"/>
      <c r="AO326" s="262"/>
      <c r="AP326" s="262"/>
      <c r="AQ326" s="262"/>
      <c r="AR326" s="261"/>
      <c r="AS326" s="261"/>
      <c r="AT326" s="261"/>
      <c r="AU326" s="261"/>
      <c r="AV326" s="261"/>
      <c r="AW326" s="261"/>
      <c r="AX326" s="262"/>
      <c r="AY326" s="262"/>
      <c r="AZ326" s="262"/>
    </row>
    <row r="327" spans="1:52" s="106" customFormat="1" x14ac:dyDescent="0.25">
      <c r="A327" s="123"/>
      <c r="E327" s="678"/>
      <c r="F327" s="123"/>
      <c r="G327" s="123"/>
      <c r="H327" s="123"/>
      <c r="I327" s="60"/>
      <c r="L327" s="60"/>
      <c r="M327" s="60"/>
      <c r="O327" s="61"/>
      <c r="P327" s="262"/>
      <c r="R327" s="261"/>
      <c r="S327" s="261"/>
      <c r="T327" s="261"/>
      <c r="U327" s="261"/>
      <c r="V327" s="261"/>
      <c r="W327" s="261"/>
      <c r="X327" s="261"/>
      <c r="Y327" s="261"/>
      <c r="Z327" s="261"/>
      <c r="AA327" s="261"/>
      <c r="AB327" s="261"/>
      <c r="AC327" s="261"/>
      <c r="AD327" s="261"/>
      <c r="AE327" s="261"/>
      <c r="AF327" s="261"/>
      <c r="AG327" s="261"/>
      <c r="AH327" s="262"/>
      <c r="AI327" s="262"/>
      <c r="AJ327" s="262"/>
      <c r="AK327" s="262"/>
      <c r="AL327" s="262"/>
      <c r="AM327" s="262"/>
      <c r="AN327" s="262"/>
      <c r="AO327" s="262"/>
      <c r="AP327" s="262"/>
      <c r="AQ327" s="262"/>
      <c r="AR327" s="261"/>
      <c r="AS327" s="261"/>
      <c r="AT327" s="261"/>
      <c r="AU327" s="261"/>
      <c r="AV327" s="261"/>
      <c r="AW327" s="261"/>
      <c r="AX327" s="262"/>
      <c r="AY327" s="262"/>
      <c r="AZ327" s="262"/>
    </row>
    <row r="328" spans="1:52" s="106" customFormat="1" x14ac:dyDescent="0.25">
      <c r="A328" s="123"/>
      <c r="E328" s="678"/>
      <c r="F328" s="123"/>
      <c r="G328" s="123"/>
      <c r="H328" s="123"/>
      <c r="I328" s="60"/>
      <c r="L328" s="60"/>
      <c r="M328" s="60"/>
      <c r="O328" s="61"/>
      <c r="R328" s="261"/>
      <c r="S328" s="261"/>
      <c r="T328" s="261"/>
      <c r="U328" s="261"/>
      <c r="V328" s="261"/>
      <c r="W328" s="261"/>
      <c r="X328" s="261"/>
      <c r="Y328" s="261"/>
      <c r="Z328" s="261"/>
      <c r="AA328" s="261"/>
      <c r="AB328" s="261"/>
      <c r="AC328" s="261"/>
      <c r="AD328" s="261"/>
      <c r="AE328" s="261"/>
      <c r="AF328" s="261"/>
      <c r="AG328" s="261"/>
      <c r="AH328" s="262"/>
      <c r="AI328" s="262"/>
      <c r="AJ328" s="262"/>
      <c r="AK328" s="262"/>
      <c r="AL328" s="262"/>
      <c r="AM328" s="262"/>
      <c r="AN328" s="262"/>
      <c r="AO328" s="262"/>
      <c r="AP328" s="262"/>
      <c r="AQ328" s="262"/>
      <c r="AR328" s="261"/>
      <c r="AS328" s="261"/>
      <c r="AT328" s="261"/>
      <c r="AU328" s="261"/>
      <c r="AV328" s="261"/>
      <c r="AW328" s="261"/>
      <c r="AX328" s="262"/>
      <c r="AY328" s="262"/>
      <c r="AZ328" s="262"/>
    </row>
    <row r="329" spans="1:52" s="106" customFormat="1" x14ac:dyDescent="0.25">
      <c r="A329" s="123"/>
      <c r="E329" s="678"/>
      <c r="F329" s="123"/>
      <c r="G329" s="123"/>
      <c r="H329" s="123"/>
      <c r="I329" s="60"/>
      <c r="L329" s="60"/>
      <c r="M329" s="60"/>
      <c r="O329" s="61"/>
      <c r="P329" s="262"/>
      <c r="R329" s="261"/>
      <c r="S329" s="261"/>
      <c r="T329" s="261"/>
      <c r="U329" s="261"/>
      <c r="V329" s="261"/>
      <c r="W329" s="261"/>
      <c r="X329" s="261"/>
      <c r="Y329" s="261"/>
      <c r="Z329" s="261"/>
      <c r="AA329" s="261"/>
      <c r="AB329" s="261"/>
      <c r="AC329" s="261"/>
      <c r="AD329" s="261"/>
      <c r="AE329" s="261"/>
      <c r="AF329" s="261"/>
      <c r="AG329" s="261"/>
      <c r="AH329" s="262"/>
      <c r="AI329" s="262"/>
      <c r="AJ329" s="262"/>
      <c r="AK329" s="262"/>
      <c r="AL329" s="262"/>
      <c r="AM329" s="262"/>
      <c r="AN329" s="262"/>
      <c r="AO329" s="262"/>
      <c r="AP329" s="262"/>
      <c r="AQ329" s="262"/>
      <c r="AR329" s="261"/>
      <c r="AS329" s="261"/>
      <c r="AT329" s="261"/>
      <c r="AU329" s="261"/>
      <c r="AV329" s="261"/>
      <c r="AW329" s="261"/>
      <c r="AX329" s="262"/>
      <c r="AY329" s="262"/>
      <c r="AZ329" s="262"/>
    </row>
    <row r="335" spans="1:52" x14ac:dyDescent="0.25">
      <c r="O335" s="60"/>
      <c r="P335" s="60"/>
    </row>
  </sheetData>
  <mergeCells count="25">
    <mergeCell ref="AX8:AX10"/>
    <mergeCell ref="AY8:AZ9"/>
    <mergeCell ref="A3:E3"/>
    <mergeCell ref="I6:Q7"/>
    <mergeCell ref="I8:I10"/>
    <mergeCell ref="J8:N9"/>
    <mergeCell ref="O8:O10"/>
    <mergeCell ref="P8:Q9"/>
    <mergeCell ref="R6:AQ6"/>
    <mergeCell ref="AR6:AZ7"/>
    <mergeCell ref="R7:V9"/>
    <mergeCell ref="W7:Z9"/>
    <mergeCell ref="AA7:AA10"/>
    <mergeCell ref="AB7:AB10"/>
    <mergeCell ref="AC7:AC10"/>
    <mergeCell ref="AD7:AF9"/>
    <mergeCell ref="AR8:AR10"/>
    <mergeCell ref="AS8:AW9"/>
    <mergeCell ref="AG7:AG10"/>
    <mergeCell ref="AH7:AQ7"/>
    <mergeCell ref="AH8:AI9"/>
    <mergeCell ref="AJ8:AJ9"/>
    <mergeCell ref="AM8:AN9"/>
    <mergeCell ref="AO8:AQ9"/>
    <mergeCell ref="AK8:AL9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63" fitToWidth="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Z203"/>
  <sheetViews>
    <sheetView workbookViewId="0">
      <pane xSplit="8" ySplit="11" topLeftCell="I180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9.28515625" customWidth="1"/>
    <col min="6" max="6" width="4.42578125" customWidth="1"/>
    <col min="7" max="7" width="9.42578125" customWidth="1"/>
    <col min="8" max="8" width="8" customWidth="1"/>
    <col min="9" max="9" width="11" style="9" customWidth="1"/>
    <col min="10" max="14" width="9.28515625" style="9" customWidth="1"/>
    <col min="15" max="15" width="11.42578125" style="8" customWidth="1"/>
    <col min="16" max="17" width="9.28515625" style="8" customWidth="1"/>
    <col min="18" max="19" width="9.140625" style="9" customWidth="1"/>
    <col min="20" max="21" width="9.7109375" style="9" customWidth="1"/>
    <col min="22" max="22" width="9.140625" style="9" customWidth="1"/>
    <col min="23" max="24" width="9.140625" style="9"/>
    <col min="25" max="26" width="9.140625" style="9" customWidth="1"/>
    <col min="27" max="27" width="10.140625" style="9" customWidth="1"/>
    <col min="28" max="33" width="9.28515625" style="9" customWidth="1"/>
    <col min="34" max="43" width="9.28515625" style="8" customWidth="1"/>
    <col min="44" max="44" width="9.7109375" style="9" customWidth="1"/>
    <col min="45" max="45" width="10" style="9" customWidth="1"/>
    <col min="46" max="46" width="9.140625" style="9"/>
    <col min="47" max="47" width="9.85546875" style="9" customWidth="1"/>
    <col min="48" max="49" width="9.140625" style="9"/>
    <col min="50" max="50" width="11.42578125" style="8" customWidth="1"/>
    <col min="51" max="52" width="9.28515625" style="8" customWidth="1"/>
    <col min="180" max="180" width="6.85546875" customWidth="1"/>
    <col min="181" max="181" width="35" customWidth="1"/>
    <col min="182" max="182" width="8" customWidth="1"/>
    <col min="183" max="183" width="31.85546875" customWidth="1"/>
    <col min="184" max="184" width="12" customWidth="1"/>
    <col min="185" max="185" width="11.5703125" customWidth="1"/>
    <col min="186" max="186" width="12" customWidth="1"/>
    <col min="187" max="187" width="11.140625" customWidth="1"/>
    <col min="188" max="189" width="10" customWidth="1"/>
    <col min="192" max="192" width="10.7109375" customWidth="1"/>
    <col min="436" max="436" width="6.85546875" customWidth="1"/>
    <col min="437" max="437" width="35" customWidth="1"/>
    <col min="438" max="438" width="8" customWidth="1"/>
    <col min="439" max="439" width="31.85546875" customWidth="1"/>
    <col min="440" max="440" width="12" customWidth="1"/>
    <col min="441" max="441" width="11.5703125" customWidth="1"/>
    <col min="442" max="442" width="12" customWidth="1"/>
    <col min="443" max="443" width="11.140625" customWidth="1"/>
    <col min="444" max="445" width="10" customWidth="1"/>
    <col min="448" max="448" width="10.7109375" customWidth="1"/>
    <col min="692" max="692" width="6.85546875" customWidth="1"/>
    <col min="693" max="693" width="35" customWidth="1"/>
    <col min="694" max="694" width="8" customWidth="1"/>
    <col min="695" max="695" width="31.85546875" customWidth="1"/>
    <col min="696" max="696" width="12" customWidth="1"/>
    <col min="697" max="697" width="11.5703125" customWidth="1"/>
    <col min="698" max="698" width="12" customWidth="1"/>
    <col min="699" max="699" width="11.140625" customWidth="1"/>
    <col min="700" max="701" width="10" customWidth="1"/>
    <col min="704" max="704" width="10.7109375" customWidth="1"/>
    <col min="948" max="948" width="6.85546875" customWidth="1"/>
    <col min="949" max="949" width="35" customWidth="1"/>
    <col min="950" max="950" width="8" customWidth="1"/>
    <col min="951" max="951" width="31.85546875" customWidth="1"/>
    <col min="952" max="952" width="12" customWidth="1"/>
    <col min="953" max="953" width="11.5703125" customWidth="1"/>
    <col min="954" max="954" width="12" customWidth="1"/>
    <col min="955" max="955" width="11.140625" customWidth="1"/>
    <col min="956" max="957" width="10" customWidth="1"/>
    <col min="960" max="960" width="10.7109375" customWidth="1"/>
    <col min="1204" max="1204" width="6.85546875" customWidth="1"/>
    <col min="1205" max="1205" width="35" customWidth="1"/>
    <col min="1206" max="1206" width="8" customWidth="1"/>
    <col min="1207" max="1207" width="31.85546875" customWidth="1"/>
    <col min="1208" max="1208" width="12" customWidth="1"/>
    <col min="1209" max="1209" width="11.5703125" customWidth="1"/>
    <col min="1210" max="1210" width="12" customWidth="1"/>
    <col min="1211" max="1211" width="11.140625" customWidth="1"/>
    <col min="1212" max="1213" width="10" customWidth="1"/>
    <col min="1216" max="1216" width="10.7109375" customWidth="1"/>
    <col min="1460" max="1460" width="6.85546875" customWidth="1"/>
    <col min="1461" max="1461" width="35" customWidth="1"/>
    <col min="1462" max="1462" width="8" customWidth="1"/>
    <col min="1463" max="1463" width="31.85546875" customWidth="1"/>
    <col min="1464" max="1464" width="12" customWidth="1"/>
    <col min="1465" max="1465" width="11.5703125" customWidth="1"/>
    <col min="1466" max="1466" width="12" customWidth="1"/>
    <col min="1467" max="1467" width="11.140625" customWidth="1"/>
    <col min="1468" max="1469" width="10" customWidth="1"/>
    <col min="1472" max="1472" width="10.7109375" customWidth="1"/>
    <col min="1716" max="1716" width="6.85546875" customWidth="1"/>
    <col min="1717" max="1717" width="35" customWidth="1"/>
    <col min="1718" max="1718" width="8" customWidth="1"/>
    <col min="1719" max="1719" width="31.85546875" customWidth="1"/>
    <col min="1720" max="1720" width="12" customWidth="1"/>
    <col min="1721" max="1721" width="11.5703125" customWidth="1"/>
    <col min="1722" max="1722" width="12" customWidth="1"/>
    <col min="1723" max="1723" width="11.140625" customWidth="1"/>
    <col min="1724" max="1725" width="10" customWidth="1"/>
    <col min="1728" max="1728" width="10.7109375" customWidth="1"/>
    <col min="1972" max="1972" width="6.85546875" customWidth="1"/>
    <col min="1973" max="1973" width="35" customWidth="1"/>
    <col min="1974" max="1974" width="8" customWidth="1"/>
    <col min="1975" max="1975" width="31.85546875" customWidth="1"/>
    <col min="1976" max="1976" width="12" customWidth="1"/>
    <col min="1977" max="1977" width="11.5703125" customWidth="1"/>
    <col min="1978" max="1978" width="12" customWidth="1"/>
    <col min="1979" max="1979" width="11.140625" customWidth="1"/>
    <col min="1980" max="1981" width="10" customWidth="1"/>
    <col min="1984" max="1984" width="10.7109375" customWidth="1"/>
    <col min="2228" max="2228" width="6.85546875" customWidth="1"/>
    <col min="2229" max="2229" width="35" customWidth="1"/>
    <col min="2230" max="2230" width="8" customWidth="1"/>
    <col min="2231" max="2231" width="31.85546875" customWidth="1"/>
    <col min="2232" max="2232" width="12" customWidth="1"/>
    <col min="2233" max="2233" width="11.5703125" customWidth="1"/>
    <col min="2234" max="2234" width="12" customWidth="1"/>
    <col min="2235" max="2235" width="11.140625" customWidth="1"/>
    <col min="2236" max="2237" width="10" customWidth="1"/>
    <col min="2240" max="2240" width="10.7109375" customWidth="1"/>
    <col min="2484" max="2484" width="6.85546875" customWidth="1"/>
    <col min="2485" max="2485" width="35" customWidth="1"/>
    <col min="2486" max="2486" width="8" customWidth="1"/>
    <col min="2487" max="2487" width="31.85546875" customWidth="1"/>
    <col min="2488" max="2488" width="12" customWidth="1"/>
    <col min="2489" max="2489" width="11.5703125" customWidth="1"/>
    <col min="2490" max="2490" width="12" customWidth="1"/>
    <col min="2491" max="2491" width="11.140625" customWidth="1"/>
    <col min="2492" max="2493" width="10" customWidth="1"/>
    <col min="2496" max="2496" width="10.7109375" customWidth="1"/>
    <col min="2740" max="2740" width="6.85546875" customWidth="1"/>
    <col min="2741" max="2741" width="35" customWidth="1"/>
    <col min="2742" max="2742" width="8" customWidth="1"/>
    <col min="2743" max="2743" width="31.85546875" customWidth="1"/>
    <col min="2744" max="2744" width="12" customWidth="1"/>
    <col min="2745" max="2745" width="11.5703125" customWidth="1"/>
    <col min="2746" max="2746" width="12" customWidth="1"/>
    <col min="2747" max="2747" width="11.140625" customWidth="1"/>
    <col min="2748" max="2749" width="10" customWidth="1"/>
    <col min="2752" max="2752" width="10.7109375" customWidth="1"/>
    <col min="2996" max="2996" width="6.85546875" customWidth="1"/>
    <col min="2997" max="2997" width="35" customWidth="1"/>
    <col min="2998" max="2998" width="8" customWidth="1"/>
    <col min="2999" max="2999" width="31.85546875" customWidth="1"/>
    <col min="3000" max="3000" width="12" customWidth="1"/>
    <col min="3001" max="3001" width="11.5703125" customWidth="1"/>
    <col min="3002" max="3002" width="12" customWidth="1"/>
    <col min="3003" max="3003" width="11.140625" customWidth="1"/>
    <col min="3004" max="3005" width="10" customWidth="1"/>
    <col min="3008" max="3008" width="10.7109375" customWidth="1"/>
    <col min="3252" max="3252" width="6.85546875" customWidth="1"/>
    <col min="3253" max="3253" width="35" customWidth="1"/>
    <col min="3254" max="3254" width="8" customWidth="1"/>
    <col min="3255" max="3255" width="31.85546875" customWidth="1"/>
    <col min="3256" max="3256" width="12" customWidth="1"/>
    <col min="3257" max="3257" width="11.5703125" customWidth="1"/>
    <col min="3258" max="3258" width="12" customWidth="1"/>
    <col min="3259" max="3259" width="11.140625" customWidth="1"/>
    <col min="3260" max="3261" width="10" customWidth="1"/>
    <col min="3264" max="3264" width="10.7109375" customWidth="1"/>
    <col min="3508" max="3508" width="6.85546875" customWidth="1"/>
    <col min="3509" max="3509" width="35" customWidth="1"/>
    <col min="3510" max="3510" width="8" customWidth="1"/>
    <col min="3511" max="3511" width="31.85546875" customWidth="1"/>
    <col min="3512" max="3512" width="12" customWidth="1"/>
    <col min="3513" max="3513" width="11.5703125" customWidth="1"/>
    <col min="3514" max="3514" width="12" customWidth="1"/>
    <col min="3515" max="3515" width="11.140625" customWidth="1"/>
    <col min="3516" max="3517" width="10" customWidth="1"/>
    <col min="3520" max="3520" width="10.7109375" customWidth="1"/>
    <col min="3764" max="3764" width="6.85546875" customWidth="1"/>
    <col min="3765" max="3765" width="35" customWidth="1"/>
    <col min="3766" max="3766" width="8" customWidth="1"/>
    <col min="3767" max="3767" width="31.85546875" customWidth="1"/>
    <col min="3768" max="3768" width="12" customWidth="1"/>
    <col min="3769" max="3769" width="11.5703125" customWidth="1"/>
    <col min="3770" max="3770" width="12" customWidth="1"/>
    <col min="3771" max="3771" width="11.140625" customWidth="1"/>
    <col min="3772" max="3773" width="10" customWidth="1"/>
    <col min="3776" max="3776" width="10.7109375" customWidth="1"/>
    <col min="4020" max="4020" width="6.85546875" customWidth="1"/>
    <col min="4021" max="4021" width="35" customWidth="1"/>
    <col min="4022" max="4022" width="8" customWidth="1"/>
    <col min="4023" max="4023" width="31.85546875" customWidth="1"/>
    <col min="4024" max="4024" width="12" customWidth="1"/>
    <col min="4025" max="4025" width="11.5703125" customWidth="1"/>
    <col min="4026" max="4026" width="12" customWidth="1"/>
    <col min="4027" max="4027" width="11.140625" customWidth="1"/>
    <col min="4028" max="4029" width="10" customWidth="1"/>
    <col min="4032" max="4032" width="10.7109375" customWidth="1"/>
    <col min="4276" max="4276" width="6.85546875" customWidth="1"/>
    <col min="4277" max="4277" width="35" customWidth="1"/>
    <col min="4278" max="4278" width="8" customWidth="1"/>
    <col min="4279" max="4279" width="31.85546875" customWidth="1"/>
    <col min="4280" max="4280" width="12" customWidth="1"/>
    <col min="4281" max="4281" width="11.5703125" customWidth="1"/>
    <col min="4282" max="4282" width="12" customWidth="1"/>
    <col min="4283" max="4283" width="11.140625" customWidth="1"/>
    <col min="4284" max="4285" width="10" customWidth="1"/>
    <col min="4288" max="4288" width="10.7109375" customWidth="1"/>
    <col min="4532" max="4532" width="6.85546875" customWidth="1"/>
    <col min="4533" max="4533" width="35" customWidth="1"/>
    <col min="4534" max="4534" width="8" customWidth="1"/>
    <col min="4535" max="4535" width="31.85546875" customWidth="1"/>
    <col min="4536" max="4536" width="12" customWidth="1"/>
    <col min="4537" max="4537" width="11.5703125" customWidth="1"/>
    <col min="4538" max="4538" width="12" customWidth="1"/>
    <col min="4539" max="4539" width="11.140625" customWidth="1"/>
    <col min="4540" max="4541" width="10" customWidth="1"/>
    <col min="4544" max="4544" width="10.7109375" customWidth="1"/>
    <col min="4788" max="4788" width="6.85546875" customWidth="1"/>
    <col min="4789" max="4789" width="35" customWidth="1"/>
    <col min="4790" max="4790" width="8" customWidth="1"/>
    <col min="4791" max="4791" width="31.85546875" customWidth="1"/>
    <col min="4792" max="4792" width="12" customWidth="1"/>
    <col min="4793" max="4793" width="11.5703125" customWidth="1"/>
    <col min="4794" max="4794" width="12" customWidth="1"/>
    <col min="4795" max="4795" width="11.140625" customWidth="1"/>
    <col min="4796" max="4797" width="10" customWidth="1"/>
    <col min="4800" max="4800" width="10.7109375" customWidth="1"/>
    <col min="5044" max="5044" width="6.85546875" customWidth="1"/>
    <col min="5045" max="5045" width="35" customWidth="1"/>
    <col min="5046" max="5046" width="8" customWidth="1"/>
    <col min="5047" max="5047" width="31.85546875" customWidth="1"/>
    <col min="5048" max="5048" width="12" customWidth="1"/>
    <col min="5049" max="5049" width="11.5703125" customWidth="1"/>
    <col min="5050" max="5050" width="12" customWidth="1"/>
    <col min="5051" max="5051" width="11.140625" customWidth="1"/>
    <col min="5052" max="5053" width="10" customWidth="1"/>
    <col min="5056" max="5056" width="10.7109375" customWidth="1"/>
    <col min="5300" max="5300" width="6.85546875" customWidth="1"/>
    <col min="5301" max="5301" width="35" customWidth="1"/>
    <col min="5302" max="5302" width="8" customWidth="1"/>
    <col min="5303" max="5303" width="31.85546875" customWidth="1"/>
    <col min="5304" max="5304" width="12" customWidth="1"/>
    <col min="5305" max="5305" width="11.5703125" customWidth="1"/>
    <col min="5306" max="5306" width="12" customWidth="1"/>
    <col min="5307" max="5307" width="11.140625" customWidth="1"/>
    <col min="5308" max="5309" width="10" customWidth="1"/>
    <col min="5312" max="5312" width="10.7109375" customWidth="1"/>
    <col min="5556" max="5556" width="6.85546875" customWidth="1"/>
    <col min="5557" max="5557" width="35" customWidth="1"/>
    <col min="5558" max="5558" width="8" customWidth="1"/>
    <col min="5559" max="5559" width="31.85546875" customWidth="1"/>
    <col min="5560" max="5560" width="12" customWidth="1"/>
    <col min="5561" max="5561" width="11.5703125" customWidth="1"/>
    <col min="5562" max="5562" width="12" customWidth="1"/>
    <col min="5563" max="5563" width="11.140625" customWidth="1"/>
    <col min="5564" max="5565" width="10" customWidth="1"/>
    <col min="5568" max="5568" width="10.7109375" customWidth="1"/>
    <col min="5812" max="5812" width="6.85546875" customWidth="1"/>
    <col min="5813" max="5813" width="35" customWidth="1"/>
    <col min="5814" max="5814" width="8" customWidth="1"/>
    <col min="5815" max="5815" width="31.85546875" customWidth="1"/>
    <col min="5816" max="5816" width="12" customWidth="1"/>
    <col min="5817" max="5817" width="11.5703125" customWidth="1"/>
    <col min="5818" max="5818" width="12" customWidth="1"/>
    <col min="5819" max="5819" width="11.140625" customWidth="1"/>
    <col min="5820" max="5821" width="10" customWidth="1"/>
    <col min="5824" max="5824" width="10.7109375" customWidth="1"/>
    <col min="6068" max="6068" width="6.85546875" customWidth="1"/>
    <col min="6069" max="6069" width="35" customWidth="1"/>
    <col min="6070" max="6070" width="8" customWidth="1"/>
    <col min="6071" max="6071" width="31.85546875" customWidth="1"/>
    <col min="6072" max="6072" width="12" customWidth="1"/>
    <col min="6073" max="6073" width="11.5703125" customWidth="1"/>
    <col min="6074" max="6074" width="12" customWidth="1"/>
    <col min="6075" max="6075" width="11.140625" customWidth="1"/>
    <col min="6076" max="6077" width="10" customWidth="1"/>
    <col min="6080" max="6080" width="10.7109375" customWidth="1"/>
    <col min="6324" max="6324" width="6.85546875" customWidth="1"/>
    <col min="6325" max="6325" width="35" customWidth="1"/>
    <col min="6326" max="6326" width="8" customWidth="1"/>
    <col min="6327" max="6327" width="31.85546875" customWidth="1"/>
    <col min="6328" max="6328" width="12" customWidth="1"/>
    <col min="6329" max="6329" width="11.5703125" customWidth="1"/>
    <col min="6330" max="6330" width="12" customWidth="1"/>
    <col min="6331" max="6331" width="11.140625" customWidth="1"/>
    <col min="6332" max="6333" width="10" customWidth="1"/>
    <col min="6336" max="6336" width="10.7109375" customWidth="1"/>
    <col min="6580" max="6580" width="6.85546875" customWidth="1"/>
    <col min="6581" max="6581" width="35" customWidth="1"/>
    <col min="6582" max="6582" width="8" customWidth="1"/>
    <col min="6583" max="6583" width="31.85546875" customWidth="1"/>
    <col min="6584" max="6584" width="12" customWidth="1"/>
    <col min="6585" max="6585" width="11.5703125" customWidth="1"/>
    <col min="6586" max="6586" width="12" customWidth="1"/>
    <col min="6587" max="6587" width="11.140625" customWidth="1"/>
    <col min="6588" max="6589" width="10" customWidth="1"/>
    <col min="6592" max="6592" width="10.7109375" customWidth="1"/>
    <col min="6836" max="6836" width="6.85546875" customWidth="1"/>
    <col min="6837" max="6837" width="35" customWidth="1"/>
    <col min="6838" max="6838" width="8" customWidth="1"/>
    <col min="6839" max="6839" width="31.85546875" customWidth="1"/>
    <col min="6840" max="6840" width="12" customWidth="1"/>
    <col min="6841" max="6841" width="11.5703125" customWidth="1"/>
    <col min="6842" max="6842" width="12" customWidth="1"/>
    <col min="6843" max="6843" width="11.140625" customWidth="1"/>
    <col min="6844" max="6845" width="10" customWidth="1"/>
    <col min="6848" max="6848" width="10.7109375" customWidth="1"/>
    <col min="7092" max="7092" width="6.85546875" customWidth="1"/>
    <col min="7093" max="7093" width="35" customWidth="1"/>
    <col min="7094" max="7094" width="8" customWidth="1"/>
    <col min="7095" max="7095" width="31.85546875" customWidth="1"/>
    <col min="7096" max="7096" width="12" customWidth="1"/>
    <col min="7097" max="7097" width="11.5703125" customWidth="1"/>
    <col min="7098" max="7098" width="12" customWidth="1"/>
    <col min="7099" max="7099" width="11.140625" customWidth="1"/>
    <col min="7100" max="7101" width="10" customWidth="1"/>
    <col min="7104" max="7104" width="10.7109375" customWidth="1"/>
    <col min="7348" max="7348" width="6.85546875" customWidth="1"/>
    <col min="7349" max="7349" width="35" customWidth="1"/>
    <col min="7350" max="7350" width="8" customWidth="1"/>
    <col min="7351" max="7351" width="31.85546875" customWidth="1"/>
    <col min="7352" max="7352" width="12" customWidth="1"/>
    <col min="7353" max="7353" width="11.5703125" customWidth="1"/>
    <col min="7354" max="7354" width="12" customWidth="1"/>
    <col min="7355" max="7355" width="11.140625" customWidth="1"/>
    <col min="7356" max="7357" width="10" customWidth="1"/>
    <col min="7360" max="7360" width="10.7109375" customWidth="1"/>
    <col min="7604" max="7604" width="6.85546875" customWidth="1"/>
    <col min="7605" max="7605" width="35" customWidth="1"/>
    <col min="7606" max="7606" width="8" customWidth="1"/>
    <col min="7607" max="7607" width="31.85546875" customWidth="1"/>
    <col min="7608" max="7608" width="12" customWidth="1"/>
    <col min="7609" max="7609" width="11.5703125" customWidth="1"/>
    <col min="7610" max="7610" width="12" customWidth="1"/>
    <col min="7611" max="7611" width="11.140625" customWidth="1"/>
    <col min="7612" max="7613" width="10" customWidth="1"/>
    <col min="7616" max="7616" width="10.7109375" customWidth="1"/>
    <col min="7860" max="7860" width="6.85546875" customWidth="1"/>
    <col min="7861" max="7861" width="35" customWidth="1"/>
    <col min="7862" max="7862" width="8" customWidth="1"/>
    <col min="7863" max="7863" width="31.85546875" customWidth="1"/>
    <col min="7864" max="7864" width="12" customWidth="1"/>
    <col min="7865" max="7865" width="11.5703125" customWidth="1"/>
    <col min="7866" max="7866" width="12" customWidth="1"/>
    <col min="7867" max="7867" width="11.140625" customWidth="1"/>
    <col min="7868" max="7869" width="10" customWidth="1"/>
    <col min="7872" max="7872" width="10.7109375" customWidth="1"/>
    <col min="8116" max="8116" width="6.85546875" customWidth="1"/>
    <col min="8117" max="8117" width="35" customWidth="1"/>
    <col min="8118" max="8118" width="8" customWidth="1"/>
    <col min="8119" max="8119" width="31.85546875" customWidth="1"/>
    <col min="8120" max="8120" width="12" customWidth="1"/>
    <col min="8121" max="8121" width="11.5703125" customWidth="1"/>
    <col min="8122" max="8122" width="12" customWidth="1"/>
    <col min="8123" max="8123" width="11.140625" customWidth="1"/>
    <col min="8124" max="8125" width="10" customWidth="1"/>
    <col min="8128" max="8128" width="10.7109375" customWidth="1"/>
    <col min="8372" max="8372" width="6.85546875" customWidth="1"/>
    <col min="8373" max="8373" width="35" customWidth="1"/>
    <col min="8374" max="8374" width="8" customWidth="1"/>
    <col min="8375" max="8375" width="31.85546875" customWidth="1"/>
    <col min="8376" max="8376" width="12" customWidth="1"/>
    <col min="8377" max="8377" width="11.5703125" customWidth="1"/>
    <col min="8378" max="8378" width="12" customWidth="1"/>
    <col min="8379" max="8379" width="11.140625" customWidth="1"/>
    <col min="8380" max="8381" width="10" customWidth="1"/>
    <col min="8384" max="8384" width="10.7109375" customWidth="1"/>
    <col min="8628" max="8628" width="6.85546875" customWidth="1"/>
    <col min="8629" max="8629" width="35" customWidth="1"/>
    <col min="8630" max="8630" width="8" customWidth="1"/>
    <col min="8631" max="8631" width="31.85546875" customWidth="1"/>
    <col min="8632" max="8632" width="12" customWidth="1"/>
    <col min="8633" max="8633" width="11.5703125" customWidth="1"/>
    <col min="8634" max="8634" width="12" customWidth="1"/>
    <col min="8635" max="8635" width="11.140625" customWidth="1"/>
    <col min="8636" max="8637" width="10" customWidth="1"/>
    <col min="8640" max="8640" width="10.7109375" customWidth="1"/>
    <col min="8884" max="8884" width="6.85546875" customWidth="1"/>
    <col min="8885" max="8885" width="35" customWidth="1"/>
    <col min="8886" max="8886" width="8" customWidth="1"/>
    <col min="8887" max="8887" width="31.85546875" customWidth="1"/>
    <col min="8888" max="8888" width="12" customWidth="1"/>
    <col min="8889" max="8889" width="11.5703125" customWidth="1"/>
    <col min="8890" max="8890" width="12" customWidth="1"/>
    <col min="8891" max="8891" width="11.140625" customWidth="1"/>
    <col min="8892" max="8893" width="10" customWidth="1"/>
    <col min="8896" max="8896" width="10.7109375" customWidth="1"/>
    <col min="9140" max="9140" width="6.85546875" customWidth="1"/>
    <col min="9141" max="9141" width="35" customWidth="1"/>
    <col min="9142" max="9142" width="8" customWidth="1"/>
    <col min="9143" max="9143" width="31.85546875" customWidth="1"/>
    <col min="9144" max="9144" width="12" customWidth="1"/>
    <col min="9145" max="9145" width="11.5703125" customWidth="1"/>
    <col min="9146" max="9146" width="12" customWidth="1"/>
    <col min="9147" max="9147" width="11.140625" customWidth="1"/>
    <col min="9148" max="9149" width="10" customWidth="1"/>
    <col min="9152" max="9152" width="10.7109375" customWidth="1"/>
    <col min="9396" max="9396" width="6.85546875" customWidth="1"/>
    <col min="9397" max="9397" width="35" customWidth="1"/>
    <col min="9398" max="9398" width="8" customWidth="1"/>
    <col min="9399" max="9399" width="31.85546875" customWidth="1"/>
    <col min="9400" max="9400" width="12" customWidth="1"/>
    <col min="9401" max="9401" width="11.5703125" customWidth="1"/>
    <col min="9402" max="9402" width="12" customWidth="1"/>
    <col min="9403" max="9403" width="11.140625" customWidth="1"/>
    <col min="9404" max="9405" width="10" customWidth="1"/>
    <col min="9408" max="9408" width="10.7109375" customWidth="1"/>
    <col min="9652" max="9652" width="6.85546875" customWidth="1"/>
    <col min="9653" max="9653" width="35" customWidth="1"/>
    <col min="9654" max="9654" width="8" customWidth="1"/>
    <col min="9655" max="9655" width="31.85546875" customWidth="1"/>
    <col min="9656" max="9656" width="12" customWidth="1"/>
    <col min="9657" max="9657" width="11.5703125" customWidth="1"/>
    <col min="9658" max="9658" width="12" customWidth="1"/>
    <col min="9659" max="9659" width="11.140625" customWidth="1"/>
    <col min="9660" max="9661" width="10" customWidth="1"/>
    <col min="9664" max="9664" width="10.7109375" customWidth="1"/>
    <col min="9908" max="9908" width="6.85546875" customWidth="1"/>
    <col min="9909" max="9909" width="35" customWidth="1"/>
    <col min="9910" max="9910" width="8" customWidth="1"/>
    <col min="9911" max="9911" width="31.85546875" customWidth="1"/>
    <col min="9912" max="9912" width="12" customWidth="1"/>
    <col min="9913" max="9913" width="11.5703125" customWidth="1"/>
    <col min="9914" max="9914" width="12" customWidth="1"/>
    <col min="9915" max="9915" width="11.140625" customWidth="1"/>
    <col min="9916" max="9917" width="10" customWidth="1"/>
    <col min="9920" max="9920" width="10.7109375" customWidth="1"/>
    <col min="10164" max="10164" width="6.85546875" customWidth="1"/>
    <col min="10165" max="10165" width="35" customWidth="1"/>
    <col min="10166" max="10166" width="8" customWidth="1"/>
    <col min="10167" max="10167" width="31.85546875" customWidth="1"/>
    <col min="10168" max="10168" width="12" customWidth="1"/>
    <col min="10169" max="10169" width="11.5703125" customWidth="1"/>
    <col min="10170" max="10170" width="12" customWidth="1"/>
    <col min="10171" max="10171" width="11.140625" customWidth="1"/>
    <col min="10172" max="10173" width="10" customWidth="1"/>
    <col min="10176" max="10176" width="10.7109375" customWidth="1"/>
    <col min="10420" max="10420" width="6.85546875" customWidth="1"/>
    <col min="10421" max="10421" width="35" customWidth="1"/>
    <col min="10422" max="10422" width="8" customWidth="1"/>
    <col min="10423" max="10423" width="31.85546875" customWidth="1"/>
    <col min="10424" max="10424" width="12" customWidth="1"/>
    <col min="10425" max="10425" width="11.5703125" customWidth="1"/>
    <col min="10426" max="10426" width="12" customWidth="1"/>
    <col min="10427" max="10427" width="11.140625" customWidth="1"/>
    <col min="10428" max="10429" width="10" customWidth="1"/>
    <col min="10432" max="10432" width="10.7109375" customWidth="1"/>
    <col min="10676" max="10676" width="6.85546875" customWidth="1"/>
    <col min="10677" max="10677" width="35" customWidth="1"/>
    <col min="10678" max="10678" width="8" customWidth="1"/>
    <col min="10679" max="10679" width="31.85546875" customWidth="1"/>
    <col min="10680" max="10680" width="12" customWidth="1"/>
    <col min="10681" max="10681" width="11.5703125" customWidth="1"/>
    <col min="10682" max="10682" width="12" customWidth="1"/>
    <col min="10683" max="10683" width="11.140625" customWidth="1"/>
    <col min="10684" max="10685" width="10" customWidth="1"/>
    <col min="10688" max="10688" width="10.7109375" customWidth="1"/>
    <col min="10932" max="10932" width="6.85546875" customWidth="1"/>
    <col min="10933" max="10933" width="35" customWidth="1"/>
    <col min="10934" max="10934" width="8" customWidth="1"/>
    <col min="10935" max="10935" width="31.85546875" customWidth="1"/>
    <col min="10936" max="10936" width="12" customWidth="1"/>
    <col min="10937" max="10937" width="11.5703125" customWidth="1"/>
    <col min="10938" max="10938" width="12" customWidth="1"/>
    <col min="10939" max="10939" width="11.140625" customWidth="1"/>
    <col min="10940" max="10941" width="10" customWidth="1"/>
    <col min="10944" max="10944" width="10.7109375" customWidth="1"/>
    <col min="11188" max="11188" width="6.85546875" customWidth="1"/>
    <col min="11189" max="11189" width="35" customWidth="1"/>
    <col min="11190" max="11190" width="8" customWidth="1"/>
    <col min="11191" max="11191" width="31.85546875" customWidth="1"/>
    <col min="11192" max="11192" width="12" customWidth="1"/>
    <col min="11193" max="11193" width="11.5703125" customWidth="1"/>
    <col min="11194" max="11194" width="12" customWidth="1"/>
    <col min="11195" max="11195" width="11.140625" customWidth="1"/>
    <col min="11196" max="11197" width="10" customWidth="1"/>
    <col min="11200" max="11200" width="10.7109375" customWidth="1"/>
    <col min="11444" max="11444" width="6.85546875" customWidth="1"/>
    <col min="11445" max="11445" width="35" customWidth="1"/>
    <col min="11446" max="11446" width="8" customWidth="1"/>
    <col min="11447" max="11447" width="31.85546875" customWidth="1"/>
    <col min="11448" max="11448" width="12" customWidth="1"/>
    <col min="11449" max="11449" width="11.5703125" customWidth="1"/>
    <col min="11450" max="11450" width="12" customWidth="1"/>
    <col min="11451" max="11451" width="11.140625" customWidth="1"/>
    <col min="11452" max="11453" width="10" customWidth="1"/>
    <col min="11456" max="11456" width="10.7109375" customWidth="1"/>
    <col min="11700" max="11700" width="6.85546875" customWidth="1"/>
    <col min="11701" max="11701" width="35" customWidth="1"/>
    <col min="11702" max="11702" width="8" customWidth="1"/>
    <col min="11703" max="11703" width="31.85546875" customWidth="1"/>
    <col min="11704" max="11704" width="12" customWidth="1"/>
    <col min="11705" max="11705" width="11.5703125" customWidth="1"/>
    <col min="11706" max="11706" width="12" customWidth="1"/>
    <col min="11707" max="11707" width="11.140625" customWidth="1"/>
    <col min="11708" max="11709" width="10" customWidth="1"/>
    <col min="11712" max="11712" width="10.7109375" customWidth="1"/>
    <col min="11956" max="11956" width="6.85546875" customWidth="1"/>
    <col min="11957" max="11957" width="35" customWidth="1"/>
    <col min="11958" max="11958" width="8" customWidth="1"/>
    <col min="11959" max="11959" width="31.85546875" customWidth="1"/>
    <col min="11960" max="11960" width="12" customWidth="1"/>
    <col min="11961" max="11961" width="11.5703125" customWidth="1"/>
    <col min="11962" max="11962" width="12" customWidth="1"/>
    <col min="11963" max="11963" width="11.140625" customWidth="1"/>
    <col min="11964" max="11965" width="10" customWidth="1"/>
    <col min="11968" max="11968" width="10.7109375" customWidth="1"/>
    <col min="12212" max="12212" width="6.85546875" customWidth="1"/>
    <col min="12213" max="12213" width="35" customWidth="1"/>
    <col min="12214" max="12214" width="8" customWidth="1"/>
    <col min="12215" max="12215" width="31.85546875" customWidth="1"/>
    <col min="12216" max="12216" width="12" customWidth="1"/>
    <col min="12217" max="12217" width="11.5703125" customWidth="1"/>
    <col min="12218" max="12218" width="12" customWidth="1"/>
    <col min="12219" max="12219" width="11.140625" customWidth="1"/>
    <col min="12220" max="12221" width="10" customWidth="1"/>
    <col min="12224" max="12224" width="10.7109375" customWidth="1"/>
    <col min="12468" max="12468" width="6.85546875" customWidth="1"/>
    <col min="12469" max="12469" width="35" customWidth="1"/>
    <col min="12470" max="12470" width="8" customWidth="1"/>
    <col min="12471" max="12471" width="31.85546875" customWidth="1"/>
    <col min="12472" max="12472" width="12" customWidth="1"/>
    <col min="12473" max="12473" width="11.5703125" customWidth="1"/>
    <col min="12474" max="12474" width="12" customWidth="1"/>
    <col min="12475" max="12475" width="11.140625" customWidth="1"/>
    <col min="12476" max="12477" width="10" customWidth="1"/>
    <col min="12480" max="12480" width="10.7109375" customWidth="1"/>
    <col min="12724" max="12724" width="6.85546875" customWidth="1"/>
    <col min="12725" max="12725" width="35" customWidth="1"/>
    <col min="12726" max="12726" width="8" customWidth="1"/>
    <col min="12727" max="12727" width="31.85546875" customWidth="1"/>
    <col min="12728" max="12728" width="12" customWidth="1"/>
    <col min="12729" max="12729" width="11.5703125" customWidth="1"/>
    <col min="12730" max="12730" width="12" customWidth="1"/>
    <col min="12731" max="12731" width="11.140625" customWidth="1"/>
    <col min="12732" max="12733" width="10" customWidth="1"/>
    <col min="12736" max="12736" width="10.7109375" customWidth="1"/>
    <col min="12980" max="12980" width="6.85546875" customWidth="1"/>
    <col min="12981" max="12981" width="35" customWidth="1"/>
    <col min="12982" max="12982" width="8" customWidth="1"/>
    <col min="12983" max="12983" width="31.85546875" customWidth="1"/>
    <col min="12984" max="12984" width="12" customWidth="1"/>
    <col min="12985" max="12985" width="11.5703125" customWidth="1"/>
    <col min="12986" max="12986" width="12" customWidth="1"/>
    <col min="12987" max="12987" width="11.140625" customWidth="1"/>
    <col min="12988" max="12989" width="10" customWidth="1"/>
    <col min="12992" max="12992" width="10.7109375" customWidth="1"/>
    <col min="13236" max="13236" width="6.85546875" customWidth="1"/>
    <col min="13237" max="13237" width="35" customWidth="1"/>
    <col min="13238" max="13238" width="8" customWidth="1"/>
    <col min="13239" max="13239" width="31.85546875" customWidth="1"/>
    <col min="13240" max="13240" width="12" customWidth="1"/>
    <col min="13241" max="13241" width="11.5703125" customWidth="1"/>
    <col min="13242" max="13242" width="12" customWidth="1"/>
    <col min="13243" max="13243" width="11.140625" customWidth="1"/>
    <col min="13244" max="13245" width="10" customWidth="1"/>
    <col min="13248" max="13248" width="10.7109375" customWidth="1"/>
    <col min="13492" max="13492" width="6.85546875" customWidth="1"/>
    <col min="13493" max="13493" width="35" customWidth="1"/>
    <col min="13494" max="13494" width="8" customWidth="1"/>
    <col min="13495" max="13495" width="31.85546875" customWidth="1"/>
    <col min="13496" max="13496" width="12" customWidth="1"/>
    <col min="13497" max="13497" width="11.5703125" customWidth="1"/>
    <col min="13498" max="13498" width="12" customWidth="1"/>
    <col min="13499" max="13499" width="11.140625" customWidth="1"/>
    <col min="13500" max="13501" width="10" customWidth="1"/>
    <col min="13504" max="13504" width="10.7109375" customWidth="1"/>
    <col min="13748" max="13748" width="6.85546875" customWidth="1"/>
    <col min="13749" max="13749" width="35" customWidth="1"/>
    <col min="13750" max="13750" width="8" customWidth="1"/>
    <col min="13751" max="13751" width="31.85546875" customWidth="1"/>
    <col min="13752" max="13752" width="12" customWidth="1"/>
    <col min="13753" max="13753" width="11.5703125" customWidth="1"/>
    <col min="13754" max="13754" width="12" customWidth="1"/>
    <col min="13755" max="13755" width="11.140625" customWidth="1"/>
    <col min="13756" max="13757" width="10" customWidth="1"/>
    <col min="13760" max="13760" width="10.7109375" customWidth="1"/>
    <col min="14004" max="14004" width="6.85546875" customWidth="1"/>
    <col min="14005" max="14005" width="35" customWidth="1"/>
    <col min="14006" max="14006" width="8" customWidth="1"/>
    <col min="14007" max="14007" width="31.85546875" customWidth="1"/>
    <col min="14008" max="14008" width="12" customWidth="1"/>
    <col min="14009" max="14009" width="11.5703125" customWidth="1"/>
    <col min="14010" max="14010" width="12" customWidth="1"/>
    <col min="14011" max="14011" width="11.140625" customWidth="1"/>
    <col min="14012" max="14013" width="10" customWidth="1"/>
    <col min="14016" max="14016" width="10.7109375" customWidth="1"/>
    <col min="14260" max="14260" width="6.85546875" customWidth="1"/>
    <col min="14261" max="14261" width="35" customWidth="1"/>
    <col min="14262" max="14262" width="8" customWidth="1"/>
    <col min="14263" max="14263" width="31.85546875" customWidth="1"/>
    <col min="14264" max="14264" width="12" customWidth="1"/>
    <col min="14265" max="14265" width="11.5703125" customWidth="1"/>
    <col min="14266" max="14266" width="12" customWidth="1"/>
    <col min="14267" max="14267" width="11.140625" customWidth="1"/>
    <col min="14268" max="14269" width="10" customWidth="1"/>
    <col min="14272" max="14272" width="10.7109375" customWidth="1"/>
    <col min="14516" max="14516" width="6.85546875" customWidth="1"/>
    <col min="14517" max="14517" width="35" customWidth="1"/>
    <col min="14518" max="14518" width="8" customWidth="1"/>
    <col min="14519" max="14519" width="31.85546875" customWidth="1"/>
    <col min="14520" max="14520" width="12" customWidth="1"/>
    <col min="14521" max="14521" width="11.5703125" customWidth="1"/>
    <col min="14522" max="14522" width="12" customWidth="1"/>
    <col min="14523" max="14523" width="11.140625" customWidth="1"/>
    <col min="14524" max="14525" width="10" customWidth="1"/>
    <col min="14528" max="14528" width="10.7109375" customWidth="1"/>
    <col min="14772" max="14772" width="6.85546875" customWidth="1"/>
    <col min="14773" max="14773" width="35" customWidth="1"/>
    <col min="14774" max="14774" width="8" customWidth="1"/>
    <col min="14775" max="14775" width="31.85546875" customWidth="1"/>
    <col min="14776" max="14776" width="12" customWidth="1"/>
    <col min="14777" max="14777" width="11.5703125" customWidth="1"/>
    <col min="14778" max="14778" width="12" customWidth="1"/>
    <col min="14779" max="14779" width="11.140625" customWidth="1"/>
    <col min="14780" max="14781" width="10" customWidth="1"/>
    <col min="14784" max="14784" width="10.7109375" customWidth="1"/>
    <col min="15028" max="15028" width="6.85546875" customWidth="1"/>
    <col min="15029" max="15029" width="35" customWidth="1"/>
    <col min="15030" max="15030" width="8" customWidth="1"/>
    <col min="15031" max="15031" width="31.85546875" customWidth="1"/>
    <col min="15032" max="15032" width="12" customWidth="1"/>
    <col min="15033" max="15033" width="11.5703125" customWidth="1"/>
    <col min="15034" max="15034" width="12" customWidth="1"/>
    <col min="15035" max="15035" width="11.140625" customWidth="1"/>
    <col min="15036" max="15037" width="10" customWidth="1"/>
    <col min="15040" max="15040" width="10.7109375" customWidth="1"/>
    <col min="15284" max="15284" width="6.85546875" customWidth="1"/>
    <col min="15285" max="15285" width="35" customWidth="1"/>
    <col min="15286" max="15286" width="8" customWidth="1"/>
    <col min="15287" max="15287" width="31.85546875" customWidth="1"/>
    <col min="15288" max="15288" width="12" customWidth="1"/>
    <col min="15289" max="15289" width="11.5703125" customWidth="1"/>
    <col min="15290" max="15290" width="12" customWidth="1"/>
    <col min="15291" max="15291" width="11.140625" customWidth="1"/>
    <col min="15292" max="15293" width="10" customWidth="1"/>
    <col min="15296" max="15296" width="10.7109375" customWidth="1"/>
    <col min="15540" max="15540" width="6.85546875" customWidth="1"/>
    <col min="15541" max="15541" width="35" customWidth="1"/>
    <col min="15542" max="15542" width="8" customWidth="1"/>
    <col min="15543" max="15543" width="31.85546875" customWidth="1"/>
    <col min="15544" max="15544" width="12" customWidth="1"/>
    <col min="15545" max="15545" width="11.5703125" customWidth="1"/>
    <col min="15546" max="15546" width="12" customWidth="1"/>
    <col min="15547" max="15547" width="11.140625" customWidth="1"/>
    <col min="15548" max="15549" width="10" customWidth="1"/>
    <col min="15552" max="15552" width="10.7109375" customWidth="1"/>
    <col min="15796" max="15796" width="6.85546875" customWidth="1"/>
    <col min="15797" max="15797" width="35" customWidth="1"/>
    <col min="15798" max="15798" width="8" customWidth="1"/>
    <col min="15799" max="15799" width="31.85546875" customWidth="1"/>
    <col min="15800" max="15800" width="12" customWidth="1"/>
    <col min="15801" max="15801" width="11.5703125" customWidth="1"/>
    <col min="15802" max="15802" width="12" customWidth="1"/>
    <col min="15803" max="15803" width="11.140625" customWidth="1"/>
    <col min="15804" max="15805" width="10" customWidth="1"/>
    <col min="15808" max="15808" width="10.7109375" customWidth="1"/>
    <col min="16052" max="16052" width="6.85546875" customWidth="1"/>
    <col min="16053" max="16053" width="35" customWidth="1"/>
    <col min="16054" max="16054" width="8" customWidth="1"/>
    <col min="16055" max="16055" width="31.85546875" customWidth="1"/>
    <col min="16056" max="16056" width="12" customWidth="1"/>
    <col min="16057" max="16057" width="11.5703125" customWidth="1"/>
    <col min="16058" max="16058" width="12" customWidth="1"/>
    <col min="16059" max="16059" width="11.140625" customWidth="1"/>
    <col min="16060" max="16061" width="10" customWidth="1"/>
    <col min="16064" max="16064" width="10.7109375" customWidth="1"/>
  </cols>
  <sheetData>
    <row r="1" spans="1:52" ht="15" x14ac:dyDescent="0.25">
      <c r="A1" s="56" t="s">
        <v>2</v>
      </c>
      <c r="B1" s="56"/>
      <c r="C1" s="47"/>
      <c r="D1" s="56"/>
      <c r="E1" s="56"/>
      <c r="F1" s="100"/>
      <c r="G1" s="99"/>
      <c r="H1" s="100"/>
    </row>
    <row r="2" spans="1:52" ht="15" customHeight="1" x14ac:dyDescent="0.25">
      <c r="A2" s="56" t="s">
        <v>3</v>
      </c>
      <c r="B2" s="56"/>
      <c r="C2" s="47"/>
      <c r="D2" s="56"/>
      <c r="E2" s="56"/>
      <c r="F2" s="100"/>
      <c r="G2" s="99"/>
      <c r="H2" s="100"/>
    </row>
    <row r="3" spans="1:52" ht="12.75" customHeight="1" x14ac:dyDescent="0.25">
      <c r="A3" s="768" t="s">
        <v>4</v>
      </c>
      <c r="B3" s="768"/>
      <c r="C3" s="768"/>
      <c r="D3" s="768"/>
      <c r="E3" s="768"/>
      <c r="F3" s="100"/>
      <c r="G3" s="99"/>
      <c r="H3" s="100"/>
    </row>
    <row r="4" spans="1:52" ht="12.75" customHeight="1" x14ac:dyDescent="0.25">
      <c r="A4" s="99"/>
      <c r="B4" s="56"/>
      <c r="C4" s="56"/>
      <c r="D4" s="56"/>
      <c r="E4" s="56"/>
      <c r="F4" s="100"/>
      <c r="G4" s="99"/>
      <c r="H4" s="100"/>
    </row>
    <row r="5" spans="1:52" ht="16.5" customHeight="1" thickBot="1" x14ac:dyDescent="0.3">
      <c r="A5" s="193" t="s">
        <v>838</v>
      </c>
      <c r="B5" s="57"/>
      <c r="C5" s="57"/>
      <c r="D5" s="57"/>
      <c r="E5" s="58"/>
      <c r="F5" s="285"/>
      <c r="G5" s="285"/>
      <c r="H5" s="58"/>
    </row>
    <row r="6" spans="1:52" ht="15" x14ac:dyDescent="0.25">
      <c r="A6" s="100"/>
      <c r="B6" s="99"/>
      <c r="C6" s="99"/>
      <c r="D6" s="99"/>
      <c r="E6" s="100"/>
      <c r="F6" s="100"/>
      <c r="G6" s="99"/>
      <c r="H6" s="100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99"/>
      <c r="B7" s="7"/>
      <c r="D7" s="11"/>
      <c r="E7" s="7"/>
      <c r="F7" s="100"/>
      <c r="G7" s="99"/>
      <c r="H7" s="100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128"/>
      <c r="B8" s="101"/>
      <c r="C8" s="101"/>
      <c r="D8" s="101"/>
      <c r="E8" s="101"/>
      <c r="F8" s="101"/>
      <c r="G8" s="101"/>
      <c r="H8" s="101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3.5" customHeight="1" thickBot="1" x14ac:dyDescent="0.25">
      <c r="A9" s="13" t="s">
        <v>811</v>
      </c>
      <c r="D9" s="13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7.5" customHeight="1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233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234" t="s">
        <v>565</v>
      </c>
      <c r="H11" s="275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s="238" customFormat="1" ht="12.75" customHeight="1" x14ac:dyDescent="0.2">
      <c r="A12" s="235">
        <v>1</v>
      </c>
      <c r="B12" s="236">
        <v>3454</v>
      </c>
      <c r="C12" s="236">
        <v>600029085</v>
      </c>
      <c r="D12" s="236">
        <v>75122294</v>
      </c>
      <c r="E12" s="237" t="s">
        <v>8</v>
      </c>
      <c r="F12" s="236">
        <v>3233</v>
      </c>
      <c r="G12" s="237" t="s">
        <v>319</v>
      </c>
      <c r="H12" s="276" t="s">
        <v>279</v>
      </c>
      <c r="I12" s="480">
        <v>6383638</v>
      </c>
      <c r="J12" s="481">
        <v>4617330</v>
      </c>
      <c r="K12" s="481">
        <v>74750</v>
      </c>
      <c r="L12" s="481">
        <v>1585923</v>
      </c>
      <c r="M12" s="481">
        <v>92347</v>
      </c>
      <c r="N12" s="481">
        <v>13288</v>
      </c>
      <c r="O12" s="482">
        <v>10.559999999999999</v>
      </c>
      <c r="P12" s="483">
        <v>6.09</v>
      </c>
      <c r="Q12" s="541">
        <v>4.47</v>
      </c>
      <c r="R12" s="487">
        <f>W12*-1</f>
        <v>0</v>
      </c>
      <c r="S12" s="484">
        <v>0</v>
      </c>
      <c r="T12" s="484">
        <v>0</v>
      </c>
      <c r="U12" s="484">
        <v>0</v>
      </c>
      <c r="V12" s="484">
        <f>SUM(R12:U12)</f>
        <v>0</v>
      </c>
      <c r="W12" s="484">
        <v>0</v>
      </c>
      <c r="X12" s="484">
        <v>0</v>
      </c>
      <c r="Y12" s="484">
        <v>0</v>
      </c>
      <c r="Z12" s="484">
        <f>SUM(W12:Y12)</f>
        <v>0</v>
      </c>
      <c r="AA12" s="484">
        <f>V12+Z12</f>
        <v>0</v>
      </c>
      <c r="AB12" s="485">
        <f>ROUND((V12+W12+X12)*33.8%,0)</f>
        <v>0</v>
      </c>
      <c r="AC12" s="485">
        <f>ROUND(V12*2%,0)</f>
        <v>0</v>
      </c>
      <c r="AD12" s="484">
        <v>0</v>
      </c>
      <c r="AE12" s="484">
        <v>78067</v>
      </c>
      <c r="AF12" s="484">
        <f>SUM(AD12:AE12)</f>
        <v>78067</v>
      </c>
      <c r="AG12" s="484">
        <f>AA12+AB12+AC12+AF12</f>
        <v>78067</v>
      </c>
      <c r="AH12" s="486">
        <v>0</v>
      </c>
      <c r="AI12" s="486">
        <v>0</v>
      </c>
      <c r="AJ12" s="486">
        <v>0</v>
      </c>
      <c r="AK12" s="486">
        <v>0</v>
      </c>
      <c r="AL12" s="486">
        <v>0</v>
      </c>
      <c r="AM12" s="486">
        <v>0</v>
      </c>
      <c r="AN12" s="486">
        <v>0</v>
      </c>
      <c r="AO12" s="486">
        <f>AH12+AJ12+AM12+AK12</f>
        <v>0</v>
      </c>
      <c r="AP12" s="486">
        <f>AI12+AN12+AL12</f>
        <v>0</v>
      </c>
      <c r="AQ12" s="488">
        <f>SUM(AO12:AP12)</f>
        <v>0</v>
      </c>
      <c r="AR12" s="487">
        <f>I12+AG12</f>
        <v>6461705</v>
      </c>
      <c r="AS12" s="484">
        <f>J12+V12</f>
        <v>4617330</v>
      </c>
      <c r="AT12" s="484">
        <f>K12+Z12</f>
        <v>74750</v>
      </c>
      <c r="AU12" s="484">
        <f>L12+AB12</f>
        <v>1585923</v>
      </c>
      <c r="AV12" s="484">
        <f>M12+AC12</f>
        <v>92347</v>
      </c>
      <c r="AW12" s="484">
        <f>N12+AF12</f>
        <v>91355</v>
      </c>
      <c r="AX12" s="486">
        <f>O12+AQ12</f>
        <v>10.559999999999999</v>
      </c>
      <c r="AY12" s="486">
        <f>P12+AO12</f>
        <v>6.09</v>
      </c>
      <c r="AZ12" s="488">
        <f>Q12+AP12</f>
        <v>4.47</v>
      </c>
    </row>
    <row r="13" spans="1:52" s="238" customFormat="1" ht="12.75" customHeight="1" x14ac:dyDescent="0.2">
      <c r="A13" s="164">
        <v>1</v>
      </c>
      <c r="B13" s="15">
        <v>3454</v>
      </c>
      <c r="C13" s="163">
        <v>600029085</v>
      </c>
      <c r="D13" s="163">
        <v>75122294</v>
      </c>
      <c r="E13" s="239" t="s">
        <v>9</v>
      </c>
      <c r="F13" s="15"/>
      <c r="G13" s="239"/>
      <c r="H13" s="277"/>
      <c r="I13" s="496">
        <v>6383638</v>
      </c>
      <c r="J13" s="496">
        <v>4617330</v>
      </c>
      <c r="K13" s="496">
        <v>74750</v>
      </c>
      <c r="L13" s="496">
        <v>1585923</v>
      </c>
      <c r="M13" s="496">
        <v>92347</v>
      </c>
      <c r="N13" s="496">
        <v>13288</v>
      </c>
      <c r="O13" s="456">
        <v>10.559999999999999</v>
      </c>
      <c r="P13" s="456">
        <v>6.09</v>
      </c>
      <c r="Q13" s="456">
        <v>4.47</v>
      </c>
      <c r="R13" s="542">
        <f t="shared" ref="R13:AZ13" si="0">SUM(R12)</f>
        <v>0</v>
      </c>
      <c r="S13" s="496">
        <f t="shared" si="0"/>
        <v>0</v>
      </c>
      <c r="T13" s="496">
        <f t="shared" si="0"/>
        <v>0</v>
      </c>
      <c r="U13" s="496">
        <f t="shared" si="0"/>
        <v>0</v>
      </c>
      <c r="V13" s="496">
        <f t="shared" si="0"/>
        <v>0</v>
      </c>
      <c r="W13" s="496">
        <f t="shared" si="0"/>
        <v>0</v>
      </c>
      <c r="X13" s="496">
        <f t="shared" si="0"/>
        <v>0</v>
      </c>
      <c r="Y13" s="496">
        <f t="shared" si="0"/>
        <v>0</v>
      </c>
      <c r="Z13" s="496">
        <f t="shared" si="0"/>
        <v>0</v>
      </c>
      <c r="AA13" s="496">
        <f t="shared" si="0"/>
        <v>0</v>
      </c>
      <c r="AB13" s="496">
        <f t="shared" si="0"/>
        <v>0</v>
      </c>
      <c r="AC13" s="496">
        <f t="shared" si="0"/>
        <v>0</v>
      </c>
      <c r="AD13" s="496">
        <f t="shared" si="0"/>
        <v>0</v>
      </c>
      <c r="AE13" s="496">
        <f t="shared" si="0"/>
        <v>78067</v>
      </c>
      <c r="AF13" s="496">
        <f t="shared" si="0"/>
        <v>78067</v>
      </c>
      <c r="AG13" s="496">
        <f t="shared" si="0"/>
        <v>78067</v>
      </c>
      <c r="AH13" s="456">
        <f t="shared" si="0"/>
        <v>0</v>
      </c>
      <c r="AI13" s="456">
        <f t="shared" si="0"/>
        <v>0</v>
      </c>
      <c r="AJ13" s="456">
        <f t="shared" si="0"/>
        <v>0</v>
      </c>
      <c r="AK13" s="456">
        <f t="shared" si="0"/>
        <v>0</v>
      </c>
      <c r="AL13" s="456">
        <f t="shared" si="0"/>
        <v>0</v>
      </c>
      <c r="AM13" s="456">
        <f t="shared" si="0"/>
        <v>0</v>
      </c>
      <c r="AN13" s="456">
        <f t="shared" si="0"/>
        <v>0</v>
      </c>
      <c r="AO13" s="456">
        <f t="shared" si="0"/>
        <v>0</v>
      </c>
      <c r="AP13" s="456">
        <f t="shared" si="0"/>
        <v>0</v>
      </c>
      <c r="AQ13" s="543">
        <f t="shared" si="0"/>
        <v>0</v>
      </c>
      <c r="AR13" s="542">
        <f t="shared" si="0"/>
        <v>6461705</v>
      </c>
      <c r="AS13" s="496">
        <f t="shared" si="0"/>
        <v>4617330</v>
      </c>
      <c r="AT13" s="496">
        <f t="shared" si="0"/>
        <v>74750</v>
      </c>
      <c r="AU13" s="496">
        <f t="shared" si="0"/>
        <v>1585923</v>
      </c>
      <c r="AV13" s="496">
        <f t="shared" si="0"/>
        <v>92347</v>
      </c>
      <c r="AW13" s="496">
        <f t="shared" si="0"/>
        <v>91355</v>
      </c>
      <c r="AX13" s="456">
        <f t="shared" si="0"/>
        <v>10.559999999999999</v>
      </c>
      <c r="AY13" s="456">
        <f t="shared" si="0"/>
        <v>6.09</v>
      </c>
      <c r="AZ13" s="543">
        <f t="shared" si="0"/>
        <v>4.47</v>
      </c>
    </row>
    <row r="14" spans="1:52" s="238" customFormat="1" ht="12.75" customHeight="1" x14ac:dyDescent="0.2">
      <c r="A14" s="240">
        <v>2</v>
      </c>
      <c r="B14" s="241">
        <v>3470</v>
      </c>
      <c r="C14" s="241">
        <v>691003572</v>
      </c>
      <c r="D14" s="241">
        <v>72550341</v>
      </c>
      <c r="E14" s="242" t="s">
        <v>10</v>
      </c>
      <c r="F14" s="241">
        <v>3111</v>
      </c>
      <c r="G14" s="242" t="s">
        <v>312</v>
      </c>
      <c r="H14" s="278" t="s">
        <v>278</v>
      </c>
      <c r="I14" s="489">
        <v>5102307</v>
      </c>
      <c r="J14" s="489">
        <v>3695600</v>
      </c>
      <c r="K14" s="489">
        <v>39000</v>
      </c>
      <c r="L14" s="489">
        <v>1262295</v>
      </c>
      <c r="M14" s="489">
        <v>73912</v>
      </c>
      <c r="N14" s="489">
        <v>31500</v>
      </c>
      <c r="O14" s="490">
        <v>8.0342000000000002</v>
      </c>
      <c r="P14" s="491">
        <v>6</v>
      </c>
      <c r="Q14" s="500">
        <v>2.0341999999999998</v>
      </c>
      <c r="R14" s="502">
        <f t="shared" ref="R14:R77" si="1">W14*-1</f>
        <v>0</v>
      </c>
      <c r="S14" s="492">
        <v>0</v>
      </c>
      <c r="T14" s="492">
        <v>0</v>
      </c>
      <c r="U14" s="492">
        <v>0</v>
      </c>
      <c r="V14" s="492">
        <f t="shared" ref="V14:V77" si="2">SUM(R14:U14)</f>
        <v>0</v>
      </c>
      <c r="W14" s="492">
        <v>0</v>
      </c>
      <c r="X14" s="492">
        <v>0</v>
      </c>
      <c r="Y14" s="492">
        <v>0</v>
      </c>
      <c r="Z14" s="492">
        <f t="shared" ref="Z14:Z77" si="3">SUM(W14:Y14)</f>
        <v>0</v>
      </c>
      <c r="AA14" s="492">
        <f t="shared" ref="AA14:AA77" si="4">V14+Z14</f>
        <v>0</v>
      </c>
      <c r="AB14" s="74">
        <f t="shared" ref="AB14:AB77" si="5">ROUND((V14+W14+X14)*33.8%,0)</f>
        <v>0</v>
      </c>
      <c r="AC14" s="74">
        <f t="shared" ref="AC14:AC77" si="6">ROUND(V14*2%,0)</f>
        <v>0</v>
      </c>
      <c r="AD14" s="492">
        <v>0</v>
      </c>
      <c r="AE14" s="492">
        <v>0</v>
      </c>
      <c r="AF14" s="492">
        <f t="shared" ref="AF14:AF77" si="7">SUM(AD14:AE14)</f>
        <v>0</v>
      </c>
      <c r="AG14" s="492">
        <f t="shared" ref="AG14:AG77" si="8">AA14+AB14+AC14+AF14</f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>AH14+AJ14+AM14+AK14</f>
        <v>0</v>
      </c>
      <c r="AP14" s="493">
        <f>AI14+AN14+AL14</f>
        <v>0</v>
      </c>
      <c r="AQ14" s="495">
        <f t="shared" ref="AQ14:AQ77" si="9">SUM(AO14:AP14)</f>
        <v>0</v>
      </c>
      <c r="AR14" s="502">
        <f t="shared" ref="AR14:AR77" si="10">I14+AG14</f>
        <v>5102307</v>
      </c>
      <c r="AS14" s="492">
        <f t="shared" ref="AS14:AS77" si="11">J14+V14</f>
        <v>3695600</v>
      </c>
      <c r="AT14" s="492">
        <f>K14+Z14</f>
        <v>39000</v>
      </c>
      <c r="AU14" s="492">
        <f>L14+AB14</f>
        <v>1262295</v>
      </c>
      <c r="AV14" s="492">
        <f>M14+AC14</f>
        <v>73912</v>
      </c>
      <c r="AW14" s="492">
        <f t="shared" ref="AW14:AW77" si="12">N14+AF14</f>
        <v>31500</v>
      </c>
      <c r="AX14" s="493">
        <f t="shared" ref="AX14:AX77" si="13">O14+AQ14</f>
        <v>8.0342000000000002</v>
      </c>
      <c r="AY14" s="493">
        <f>P14+AO14</f>
        <v>6</v>
      </c>
      <c r="AZ14" s="495">
        <f>Q14+AP14</f>
        <v>2.0341999999999998</v>
      </c>
    </row>
    <row r="15" spans="1:52" s="238" customFormat="1" ht="12.75" customHeight="1" x14ac:dyDescent="0.2">
      <c r="A15" s="240">
        <v>2</v>
      </c>
      <c r="B15" s="241">
        <v>3470</v>
      </c>
      <c r="C15" s="241">
        <v>691003572</v>
      </c>
      <c r="D15" s="241">
        <v>72550341</v>
      </c>
      <c r="E15" s="242" t="s">
        <v>10</v>
      </c>
      <c r="F15" s="241">
        <v>3141</v>
      </c>
      <c r="G15" s="242" t="s">
        <v>316</v>
      </c>
      <c r="H15" s="278" t="s">
        <v>279</v>
      </c>
      <c r="I15" s="489">
        <v>863182</v>
      </c>
      <c r="J15" s="489">
        <v>616627</v>
      </c>
      <c r="K15" s="489">
        <v>16250</v>
      </c>
      <c r="L15" s="489">
        <v>213912</v>
      </c>
      <c r="M15" s="489">
        <v>12333</v>
      </c>
      <c r="N15" s="489">
        <v>4060</v>
      </c>
      <c r="O15" s="490">
        <v>1.99</v>
      </c>
      <c r="P15" s="491">
        <v>0</v>
      </c>
      <c r="Q15" s="500">
        <v>1.99</v>
      </c>
      <c r="R15" s="502">
        <f t="shared" si="1"/>
        <v>0</v>
      </c>
      <c r="S15" s="492">
        <v>0</v>
      </c>
      <c r="T15" s="492">
        <v>0</v>
      </c>
      <c r="U15" s="492">
        <v>0</v>
      </c>
      <c r="V15" s="492">
        <f t="shared" si="2"/>
        <v>0</v>
      </c>
      <c r="W15" s="492">
        <v>0</v>
      </c>
      <c r="X15" s="492">
        <v>0</v>
      </c>
      <c r="Y15" s="492">
        <v>0</v>
      </c>
      <c r="Z15" s="492">
        <f t="shared" si="3"/>
        <v>0</v>
      </c>
      <c r="AA15" s="492">
        <f t="shared" si="4"/>
        <v>0</v>
      </c>
      <c r="AB15" s="74">
        <f t="shared" si="5"/>
        <v>0</v>
      </c>
      <c r="AC15" s="74">
        <f t="shared" si="6"/>
        <v>0</v>
      </c>
      <c r="AD15" s="492">
        <v>0</v>
      </c>
      <c r="AE15" s="492">
        <v>0</v>
      </c>
      <c r="AF15" s="492">
        <f t="shared" si="7"/>
        <v>0</v>
      </c>
      <c r="AG15" s="492">
        <f t="shared" si="8"/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>AH15+AJ15+AM15+AK15</f>
        <v>0</v>
      </c>
      <c r="AP15" s="493">
        <f>AI15+AN15+AL15</f>
        <v>0</v>
      </c>
      <c r="AQ15" s="495">
        <f t="shared" si="9"/>
        <v>0</v>
      </c>
      <c r="AR15" s="502">
        <f t="shared" si="10"/>
        <v>863182</v>
      </c>
      <c r="AS15" s="492">
        <f t="shared" si="11"/>
        <v>616627</v>
      </c>
      <c r="AT15" s="492">
        <f>K15+Z15</f>
        <v>16250</v>
      </c>
      <c r="AU15" s="492">
        <f>L15+AB15</f>
        <v>213912</v>
      </c>
      <c r="AV15" s="492">
        <f>M15+AC15</f>
        <v>12333</v>
      </c>
      <c r="AW15" s="492">
        <f t="shared" si="12"/>
        <v>4060</v>
      </c>
      <c r="AX15" s="493">
        <f t="shared" si="13"/>
        <v>1.99</v>
      </c>
      <c r="AY15" s="493">
        <f>P15+AO15</f>
        <v>0</v>
      </c>
      <c r="AZ15" s="495">
        <f>Q15+AP15</f>
        <v>1.99</v>
      </c>
    </row>
    <row r="16" spans="1:52" s="238" customFormat="1" ht="12.75" customHeight="1" x14ac:dyDescent="0.2">
      <c r="A16" s="164">
        <v>2</v>
      </c>
      <c r="B16" s="15">
        <v>3470</v>
      </c>
      <c r="C16" s="163">
        <v>691003572</v>
      </c>
      <c r="D16" s="163">
        <v>72550341</v>
      </c>
      <c r="E16" s="239" t="s">
        <v>11</v>
      </c>
      <c r="F16" s="15"/>
      <c r="G16" s="239"/>
      <c r="H16" s="277"/>
      <c r="I16" s="496">
        <v>5965489</v>
      </c>
      <c r="J16" s="496">
        <v>4312227</v>
      </c>
      <c r="K16" s="496">
        <v>55250</v>
      </c>
      <c r="L16" s="496">
        <v>1476207</v>
      </c>
      <c r="M16" s="496">
        <v>86245</v>
      </c>
      <c r="N16" s="496">
        <v>35560</v>
      </c>
      <c r="O16" s="456">
        <v>10.0242</v>
      </c>
      <c r="P16" s="456">
        <v>6</v>
      </c>
      <c r="Q16" s="456">
        <v>4.0241999999999996</v>
      </c>
      <c r="R16" s="542">
        <f t="shared" ref="R16:AZ16" si="14">SUM(R14:R15)</f>
        <v>0</v>
      </c>
      <c r="S16" s="496">
        <f t="shared" si="14"/>
        <v>0</v>
      </c>
      <c r="T16" s="496">
        <f t="shared" si="14"/>
        <v>0</v>
      </c>
      <c r="U16" s="496">
        <f t="shared" si="14"/>
        <v>0</v>
      </c>
      <c r="V16" s="496">
        <f t="shared" si="14"/>
        <v>0</v>
      </c>
      <c r="W16" s="496">
        <f t="shared" si="14"/>
        <v>0</v>
      </c>
      <c r="X16" s="496">
        <f t="shared" si="14"/>
        <v>0</v>
      </c>
      <c r="Y16" s="496">
        <f t="shared" si="14"/>
        <v>0</v>
      </c>
      <c r="Z16" s="496">
        <f t="shared" si="14"/>
        <v>0</v>
      </c>
      <c r="AA16" s="496">
        <f t="shared" si="14"/>
        <v>0</v>
      </c>
      <c r="AB16" s="496">
        <f t="shared" si="14"/>
        <v>0</v>
      </c>
      <c r="AC16" s="496">
        <f t="shared" si="14"/>
        <v>0</v>
      </c>
      <c r="AD16" s="496">
        <f t="shared" si="14"/>
        <v>0</v>
      </c>
      <c r="AE16" s="496">
        <f t="shared" si="14"/>
        <v>0</v>
      </c>
      <c r="AF16" s="496">
        <f t="shared" si="14"/>
        <v>0</v>
      </c>
      <c r="AG16" s="496">
        <f t="shared" si="14"/>
        <v>0</v>
      </c>
      <c r="AH16" s="456">
        <f t="shared" si="14"/>
        <v>0</v>
      </c>
      <c r="AI16" s="456">
        <f t="shared" si="14"/>
        <v>0</v>
      </c>
      <c r="AJ16" s="456">
        <f t="shared" si="14"/>
        <v>0</v>
      </c>
      <c r="AK16" s="456">
        <f t="shared" si="14"/>
        <v>0</v>
      </c>
      <c r="AL16" s="456">
        <f t="shared" si="14"/>
        <v>0</v>
      </c>
      <c r="AM16" s="456">
        <f t="shared" si="14"/>
        <v>0</v>
      </c>
      <c r="AN16" s="456">
        <f t="shared" si="14"/>
        <v>0</v>
      </c>
      <c r="AO16" s="456">
        <f t="shared" si="14"/>
        <v>0</v>
      </c>
      <c r="AP16" s="456">
        <f t="shared" si="14"/>
        <v>0</v>
      </c>
      <c r="AQ16" s="543">
        <f t="shared" si="14"/>
        <v>0</v>
      </c>
      <c r="AR16" s="542">
        <f t="shared" si="14"/>
        <v>5965489</v>
      </c>
      <c r="AS16" s="496">
        <f t="shared" si="14"/>
        <v>4312227</v>
      </c>
      <c r="AT16" s="496">
        <f t="shared" si="14"/>
        <v>55250</v>
      </c>
      <c r="AU16" s="496">
        <f t="shared" si="14"/>
        <v>1476207</v>
      </c>
      <c r="AV16" s="496">
        <f t="shared" si="14"/>
        <v>86245</v>
      </c>
      <c r="AW16" s="496">
        <f t="shared" si="14"/>
        <v>35560</v>
      </c>
      <c r="AX16" s="456">
        <f t="shared" si="14"/>
        <v>10.0242</v>
      </c>
      <c r="AY16" s="456">
        <f t="shared" si="14"/>
        <v>6</v>
      </c>
      <c r="AZ16" s="543">
        <f t="shared" si="14"/>
        <v>4.0241999999999996</v>
      </c>
    </row>
    <row r="17" spans="1:52" s="238" customFormat="1" ht="12.75" customHeight="1" x14ac:dyDescent="0.2">
      <c r="A17" s="240">
        <v>3</v>
      </c>
      <c r="B17" s="241">
        <v>3469</v>
      </c>
      <c r="C17" s="241">
        <v>691003548</v>
      </c>
      <c r="D17" s="241">
        <v>72550384</v>
      </c>
      <c r="E17" s="242" t="s">
        <v>12</v>
      </c>
      <c r="F17" s="241">
        <v>3111</v>
      </c>
      <c r="G17" s="242" t="s">
        <v>312</v>
      </c>
      <c r="H17" s="278" t="s">
        <v>278</v>
      </c>
      <c r="I17" s="489">
        <v>6704771</v>
      </c>
      <c r="J17" s="489">
        <v>4888248</v>
      </c>
      <c r="K17" s="489">
        <v>20800</v>
      </c>
      <c r="L17" s="489">
        <v>1659258</v>
      </c>
      <c r="M17" s="489">
        <v>97765</v>
      </c>
      <c r="N17" s="489">
        <v>38700</v>
      </c>
      <c r="O17" s="490">
        <v>10.7682</v>
      </c>
      <c r="P17" s="491">
        <v>8</v>
      </c>
      <c r="Q17" s="500">
        <v>2.7681999999999998</v>
      </c>
      <c r="R17" s="502">
        <f t="shared" si="1"/>
        <v>0</v>
      </c>
      <c r="S17" s="492">
        <v>0</v>
      </c>
      <c r="T17" s="492">
        <v>0</v>
      </c>
      <c r="U17" s="492">
        <v>0</v>
      </c>
      <c r="V17" s="492">
        <f t="shared" si="2"/>
        <v>0</v>
      </c>
      <c r="W17" s="492">
        <v>0</v>
      </c>
      <c r="X17" s="492">
        <v>0</v>
      </c>
      <c r="Y17" s="492">
        <v>0</v>
      </c>
      <c r="Z17" s="492">
        <f t="shared" si="3"/>
        <v>0</v>
      </c>
      <c r="AA17" s="492">
        <f t="shared" si="4"/>
        <v>0</v>
      </c>
      <c r="AB17" s="74">
        <f t="shared" si="5"/>
        <v>0</v>
      </c>
      <c r="AC17" s="74">
        <f t="shared" si="6"/>
        <v>0</v>
      </c>
      <c r="AD17" s="492">
        <v>0</v>
      </c>
      <c r="AE17" s="492">
        <v>0</v>
      </c>
      <c r="AF17" s="492">
        <f t="shared" si="7"/>
        <v>0</v>
      </c>
      <c r="AG17" s="492">
        <f t="shared" si="8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ref="AO17:AO18" si="15">AH17+AJ17+AM17+AK17</f>
        <v>0</v>
      </c>
      <c r="AP17" s="493">
        <f t="shared" ref="AP17:AP18" si="16">AI17+AN17+AL17</f>
        <v>0</v>
      </c>
      <c r="AQ17" s="495">
        <f t="shared" si="9"/>
        <v>0</v>
      </c>
      <c r="AR17" s="502">
        <f t="shared" si="10"/>
        <v>6704771</v>
      </c>
      <c r="AS17" s="492">
        <f t="shared" si="11"/>
        <v>4888248</v>
      </c>
      <c r="AT17" s="492">
        <f t="shared" ref="AT17:AT18" si="17">K17+Z17</f>
        <v>20800</v>
      </c>
      <c r="AU17" s="492">
        <f>L17+AB17</f>
        <v>1659258</v>
      </c>
      <c r="AV17" s="492">
        <f>M17+AC17</f>
        <v>97765</v>
      </c>
      <c r="AW17" s="492">
        <f t="shared" si="12"/>
        <v>38700</v>
      </c>
      <c r="AX17" s="493">
        <f>O17+AQ17</f>
        <v>10.7682</v>
      </c>
      <c r="AY17" s="493">
        <f>P17+AO17</f>
        <v>8</v>
      </c>
      <c r="AZ17" s="495">
        <f>Q17+AP17</f>
        <v>2.7681999999999998</v>
      </c>
    </row>
    <row r="18" spans="1:52" s="238" customFormat="1" ht="12.75" customHeight="1" x14ac:dyDescent="0.2">
      <c r="A18" s="240">
        <v>3</v>
      </c>
      <c r="B18" s="241">
        <v>3469</v>
      </c>
      <c r="C18" s="241">
        <v>691003548</v>
      </c>
      <c r="D18" s="241">
        <v>72550384</v>
      </c>
      <c r="E18" s="242" t="s">
        <v>12</v>
      </c>
      <c r="F18" s="241">
        <v>3141</v>
      </c>
      <c r="G18" s="242" t="s">
        <v>316</v>
      </c>
      <c r="H18" s="278" t="s">
        <v>279</v>
      </c>
      <c r="I18" s="489">
        <v>993837</v>
      </c>
      <c r="J18" s="489">
        <v>728166</v>
      </c>
      <c r="K18" s="489">
        <v>0</v>
      </c>
      <c r="L18" s="489">
        <v>246120</v>
      </c>
      <c r="M18" s="489">
        <v>14563</v>
      </c>
      <c r="N18" s="489">
        <v>4988</v>
      </c>
      <c r="O18" s="490">
        <v>2.29</v>
      </c>
      <c r="P18" s="491">
        <v>0</v>
      </c>
      <c r="Q18" s="500">
        <v>2.29</v>
      </c>
      <c r="R18" s="502">
        <f t="shared" si="1"/>
        <v>0</v>
      </c>
      <c r="S18" s="492">
        <v>0</v>
      </c>
      <c r="T18" s="492">
        <v>0</v>
      </c>
      <c r="U18" s="492">
        <v>0</v>
      </c>
      <c r="V18" s="492">
        <f t="shared" si="2"/>
        <v>0</v>
      </c>
      <c r="W18" s="492">
        <v>0</v>
      </c>
      <c r="X18" s="492">
        <v>0</v>
      </c>
      <c r="Y18" s="492">
        <v>0</v>
      </c>
      <c r="Z18" s="492">
        <f t="shared" si="3"/>
        <v>0</v>
      </c>
      <c r="AA18" s="492">
        <f t="shared" si="4"/>
        <v>0</v>
      </c>
      <c r="AB18" s="74">
        <f t="shared" si="5"/>
        <v>0</v>
      </c>
      <c r="AC18" s="74">
        <f t="shared" si="6"/>
        <v>0</v>
      </c>
      <c r="AD18" s="492">
        <v>0</v>
      </c>
      <c r="AE18" s="492">
        <v>0</v>
      </c>
      <c r="AF18" s="492">
        <f t="shared" si="7"/>
        <v>0</v>
      </c>
      <c r="AG18" s="492">
        <f t="shared" si="8"/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si="15"/>
        <v>0</v>
      </c>
      <c r="AP18" s="493">
        <f t="shared" si="16"/>
        <v>0</v>
      </c>
      <c r="AQ18" s="495">
        <f t="shared" si="9"/>
        <v>0</v>
      </c>
      <c r="AR18" s="502">
        <f t="shared" si="10"/>
        <v>993837</v>
      </c>
      <c r="AS18" s="492">
        <f t="shared" si="11"/>
        <v>728166</v>
      </c>
      <c r="AT18" s="492">
        <f t="shared" si="17"/>
        <v>0</v>
      </c>
      <c r="AU18" s="492">
        <f>L18+AB18</f>
        <v>246120</v>
      </c>
      <c r="AV18" s="492">
        <f>M18+AC18</f>
        <v>14563</v>
      </c>
      <c r="AW18" s="492">
        <f t="shared" si="12"/>
        <v>4988</v>
      </c>
      <c r="AX18" s="493">
        <f t="shared" si="13"/>
        <v>2.29</v>
      </c>
      <c r="AY18" s="493">
        <f>P18+AO18</f>
        <v>0</v>
      </c>
      <c r="AZ18" s="495">
        <f>Q18+AP18</f>
        <v>2.29</v>
      </c>
    </row>
    <row r="19" spans="1:52" s="238" customFormat="1" ht="12.75" customHeight="1" x14ac:dyDescent="0.2">
      <c r="A19" s="164">
        <v>3</v>
      </c>
      <c r="B19" s="15">
        <v>3469</v>
      </c>
      <c r="C19" s="163">
        <v>691003548</v>
      </c>
      <c r="D19" s="163">
        <v>72550384</v>
      </c>
      <c r="E19" s="239" t="s">
        <v>13</v>
      </c>
      <c r="F19" s="15"/>
      <c r="G19" s="239"/>
      <c r="H19" s="277"/>
      <c r="I19" s="496">
        <v>7698608</v>
      </c>
      <c r="J19" s="496">
        <v>5616414</v>
      </c>
      <c r="K19" s="496">
        <v>20800</v>
      </c>
      <c r="L19" s="496">
        <v>1905378</v>
      </c>
      <c r="M19" s="496">
        <v>112328</v>
      </c>
      <c r="N19" s="496">
        <v>43688</v>
      </c>
      <c r="O19" s="456">
        <v>13.058199999999999</v>
      </c>
      <c r="P19" s="456">
        <v>8</v>
      </c>
      <c r="Q19" s="456">
        <v>5.0581999999999994</v>
      </c>
      <c r="R19" s="542">
        <f t="shared" ref="R19:AZ19" si="18">SUM(R17:R18)</f>
        <v>0</v>
      </c>
      <c r="S19" s="496">
        <f t="shared" si="18"/>
        <v>0</v>
      </c>
      <c r="T19" s="496">
        <f t="shared" si="18"/>
        <v>0</v>
      </c>
      <c r="U19" s="496">
        <f t="shared" si="18"/>
        <v>0</v>
      </c>
      <c r="V19" s="496">
        <f t="shared" si="18"/>
        <v>0</v>
      </c>
      <c r="W19" s="496">
        <f t="shared" si="18"/>
        <v>0</v>
      </c>
      <c r="X19" s="496">
        <f t="shared" si="18"/>
        <v>0</v>
      </c>
      <c r="Y19" s="496">
        <f t="shared" si="18"/>
        <v>0</v>
      </c>
      <c r="Z19" s="496">
        <f t="shared" si="18"/>
        <v>0</v>
      </c>
      <c r="AA19" s="496">
        <f t="shared" si="18"/>
        <v>0</v>
      </c>
      <c r="AB19" s="496">
        <f t="shared" si="18"/>
        <v>0</v>
      </c>
      <c r="AC19" s="496">
        <f t="shared" si="18"/>
        <v>0</v>
      </c>
      <c r="AD19" s="496">
        <f t="shared" si="18"/>
        <v>0</v>
      </c>
      <c r="AE19" s="496">
        <f t="shared" si="18"/>
        <v>0</v>
      </c>
      <c r="AF19" s="496">
        <f t="shared" si="18"/>
        <v>0</v>
      </c>
      <c r="AG19" s="496">
        <f t="shared" si="18"/>
        <v>0</v>
      </c>
      <c r="AH19" s="456">
        <f t="shared" si="18"/>
        <v>0</v>
      </c>
      <c r="AI19" s="456">
        <f t="shared" si="18"/>
        <v>0</v>
      </c>
      <c r="AJ19" s="456">
        <f t="shared" si="18"/>
        <v>0</v>
      </c>
      <c r="AK19" s="456">
        <f t="shared" si="18"/>
        <v>0</v>
      </c>
      <c r="AL19" s="456">
        <f t="shared" si="18"/>
        <v>0</v>
      </c>
      <c r="AM19" s="456">
        <f t="shared" si="18"/>
        <v>0</v>
      </c>
      <c r="AN19" s="456">
        <f t="shared" si="18"/>
        <v>0</v>
      </c>
      <c r="AO19" s="456">
        <f t="shared" si="18"/>
        <v>0</v>
      </c>
      <c r="AP19" s="456">
        <f t="shared" si="18"/>
        <v>0</v>
      </c>
      <c r="AQ19" s="543">
        <f t="shared" si="18"/>
        <v>0</v>
      </c>
      <c r="AR19" s="542">
        <f t="shared" si="18"/>
        <v>7698608</v>
      </c>
      <c r="AS19" s="496">
        <f t="shared" si="18"/>
        <v>5616414</v>
      </c>
      <c r="AT19" s="496">
        <f t="shared" si="18"/>
        <v>20800</v>
      </c>
      <c r="AU19" s="496">
        <f t="shared" si="18"/>
        <v>1905378</v>
      </c>
      <c r="AV19" s="496">
        <f t="shared" si="18"/>
        <v>112328</v>
      </c>
      <c r="AW19" s="496">
        <f t="shared" si="18"/>
        <v>43688</v>
      </c>
      <c r="AX19" s="456">
        <f t="shared" si="18"/>
        <v>13.058199999999999</v>
      </c>
      <c r="AY19" s="456">
        <f t="shared" si="18"/>
        <v>8</v>
      </c>
      <c r="AZ19" s="543">
        <f t="shared" si="18"/>
        <v>5.0581999999999994</v>
      </c>
    </row>
    <row r="20" spans="1:52" s="238" customFormat="1" ht="12.75" customHeight="1" x14ac:dyDescent="0.2">
      <c r="A20" s="240">
        <v>4</v>
      </c>
      <c r="B20" s="241">
        <v>3462</v>
      </c>
      <c r="C20" s="241">
        <v>691001294</v>
      </c>
      <c r="D20" s="241">
        <v>72048115</v>
      </c>
      <c r="E20" s="242" t="s">
        <v>14</v>
      </c>
      <c r="F20" s="241">
        <v>3111</v>
      </c>
      <c r="G20" s="242" t="s">
        <v>312</v>
      </c>
      <c r="H20" s="278" t="s">
        <v>278</v>
      </c>
      <c r="I20" s="489">
        <v>5051809</v>
      </c>
      <c r="J20" s="489">
        <v>3654925</v>
      </c>
      <c r="K20" s="489">
        <v>43550</v>
      </c>
      <c r="L20" s="489">
        <v>1250085</v>
      </c>
      <c r="M20" s="489">
        <v>73099</v>
      </c>
      <c r="N20" s="489">
        <v>30150</v>
      </c>
      <c r="O20" s="490">
        <v>8.0641999999999996</v>
      </c>
      <c r="P20" s="491">
        <v>5.93</v>
      </c>
      <c r="Q20" s="500">
        <v>2.1341999999999999</v>
      </c>
      <c r="R20" s="502">
        <f t="shared" si="1"/>
        <v>0</v>
      </c>
      <c r="S20" s="492">
        <v>0</v>
      </c>
      <c r="T20" s="492">
        <v>0</v>
      </c>
      <c r="U20" s="492">
        <v>0</v>
      </c>
      <c r="V20" s="492">
        <f t="shared" si="2"/>
        <v>0</v>
      </c>
      <c r="W20" s="492">
        <v>0</v>
      </c>
      <c r="X20" s="492">
        <v>0</v>
      </c>
      <c r="Y20" s="492">
        <v>0</v>
      </c>
      <c r="Z20" s="492">
        <f t="shared" si="3"/>
        <v>0</v>
      </c>
      <c r="AA20" s="492">
        <f t="shared" si="4"/>
        <v>0</v>
      </c>
      <c r="AB20" s="74">
        <f t="shared" si="5"/>
        <v>0</v>
      </c>
      <c r="AC20" s="74">
        <f t="shared" si="6"/>
        <v>0</v>
      </c>
      <c r="AD20" s="492">
        <v>0</v>
      </c>
      <c r="AE20" s="492">
        <v>0</v>
      </c>
      <c r="AF20" s="492">
        <f t="shared" si="7"/>
        <v>0</v>
      </c>
      <c r="AG20" s="492">
        <f t="shared" si="8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ref="AO20:AO22" si="19">AH20+AJ20+AM20+AK20</f>
        <v>0</v>
      </c>
      <c r="AP20" s="493">
        <f t="shared" ref="AP20:AP22" si="20">AI20+AN20+AL20</f>
        <v>0</v>
      </c>
      <c r="AQ20" s="495">
        <f t="shared" si="9"/>
        <v>0</v>
      </c>
      <c r="AR20" s="502">
        <f t="shared" si="10"/>
        <v>5051809</v>
      </c>
      <c r="AS20" s="492">
        <f t="shared" si="11"/>
        <v>3654925</v>
      </c>
      <c r="AT20" s="492">
        <f t="shared" ref="AT20:AT22" si="21">K20+Z20</f>
        <v>43550</v>
      </c>
      <c r="AU20" s="492">
        <f t="shared" ref="AU20:AV22" si="22">L20+AB20</f>
        <v>1250085</v>
      </c>
      <c r="AV20" s="492">
        <f t="shared" si="22"/>
        <v>73099</v>
      </c>
      <c r="AW20" s="492">
        <f t="shared" si="12"/>
        <v>30150</v>
      </c>
      <c r="AX20" s="493">
        <f t="shared" si="13"/>
        <v>8.0641999999999996</v>
      </c>
      <c r="AY20" s="493">
        <f t="shared" ref="AY20:AZ22" si="23">P20+AO20</f>
        <v>5.93</v>
      </c>
      <c r="AZ20" s="495">
        <f t="shared" si="23"/>
        <v>2.1341999999999999</v>
      </c>
    </row>
    <row r="21" spans="1:52" s="238" customFormat="1" ht="12.75" customHeight="1" x14ac:dyDescent="0.2">
      <c r="A21" s="240">
        <v>4</v>
      </c>
      <c r="B21" s="241">
        <v>3462</v>
      </c>
      <c r="C21" s="241">
        <v>691001294</v>
      </c>
      <c r="D21" s="241">
        <v>72048115</v>
      </c>
      <c r="E21" s="242" t="s">
        <v>14</v>
      </c>
      <c r="F21" s="241">
        <v>3111</v>
      </c>
      <c r="G21" s="242" t="s">
        <v>313</v>
      </c>
      <c r="H21" s="278" t="s">
        <v>279</v>
      </c>
      <c r="I21" s="489">
        <v>0</v>
      </c>
      <c r="J21" s="489">
        <v>0</v>
      </c>
      <c r="K21" s="489">
        <v>0</v>
      </c>
      <c r="L21" s="489">
        <v>0</v>
      </c>
      <c r="M21" s="489">
        <v>0</v>
      </c>
      <c r="N21" s="489">
        <v>0</v>
      </c>
      <c r="O21" s="490">
        <v>0</v>
      </c>
      <c r="P21" s="491">
        <v>0</v>
      </c>
      <c r="Q21" s="500">
        <v>0</v>
      </c>
      <c r="R21" s="502">
        <f t="shared" si="1"/>
        <v>0</v>
      </c>
      <c r="S21" s="492">
        <v>0</v>
      </c>
      <c r="T21" s="492">
        <v>0</v>
      </c>
      <c r="U21" s="492">
        <v>0</v>
      </c>
      <c r="V21" s="492">
        <f t="shared" si="2"/>
        <v>0</v>
      </c>
      <c r="W21" s="492">
        <v>0</v>
      </c>
      <c r="X21" s="492">
        <v>0</v>
      </c>
      <c r="Y21" s="492">
        <v>0</v>
      </c>
      <c r="Z21" s="492">
        <f t="shared" si="3"/>
        <v>0</v>
      </c>
      <c r="AA21" s="492">
        <f t="shared" si="4"/>
        <v>0</v>
      </c>
      <c r="AB21" s="74">
        <f t="shared" si="5"/>
        <v>0</v>
      </c>
      <c r="AC21" s="74">
        <f t="shared" si="6"/>
        <v>0</v>
      </c>
      <c r="AD21" s="492">
        <v>0</v>
      </c>
      <c r="AE21" s="492">
        <v>0</v>
      </c>
      <c r="AF21" s="492">
        <f t="shared" si="7"/>
        <v>0</v>
      </c>
      <c r="AG21" s="492">
        <f t="shared" si="8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19"/>
        <v>0</v>
      </c>
      <c r="AP21" s="493">
        <f t="shared" si="20"/>
        <v>0</v>
      </c>
      <c r="AQ21" s="495">
        <f t="shared" si="9"/>
        <v>0</v>
      </c>
      <c r="AR21" s="502">
        <f t="shared" si="10"/>
        <v>0</v>
      </c>
      <c r="AS21" s="492">
        <f t="shared" si="11"/>
        <v>0</v>
      </c>
      <c r="AT21" s="492">
        <f t="shared" si="21"/>
        <v>0</v>
      </c>
      <c r="AU21" s="492">
        <f t="shared" si="22"/>
        <v>0</v>
      </c>
      <c r="AV21" s="492">
        <f t="shared" si="22"/>
        <v>0</v>
      </c>
      <c r="AW21" s="492">
        <f t="shared" si="12"/>
        <v>0</v>
      </c>
      <c r="AX21" s="493">
        <f t="shared" si="13"/>
        <v>0</v>
      </c>
      <c r="AY21" s="493">
        <f t="shared" si="23"/>
        <v>0</v>
      </c>
      <c r="AZ21" s="495">
        <f t="shared" si="23"/>
        <v>0</v>
      </c>
    </row>
    <row r="22" spans="1:52" s="238" customFormat="1" ht="12.75" customHeight="1" x14ac:dyDescent="0.2">
      <c r="A22" s="240">
        <v>4</v>
      </c>
      <c r="B22" s="241">
        <v>3462</v>
      </c>
      <c r="C22" s="241">
        <v>691001294</v>
      </c>
      <c r="D22" s="241">
        <v>72048115</v>
      </c>
      <c r="E22" s="242" t="s">
        <v>14</v>
      </c>
      <c r="F22" s="241">
        <v>3141</v>
      </c>
      <c r="G22" s="242" t="s">
        <v>316</v>
      </c>
      <c r="H22" s="278" t="s">
        <v>279</v>
      </c>
      <c r="I22" s="489">
        <v>838352</v>
      </c>
      <c r="J22" s="489">
        <v>614481</v>
      </c>
      <c r="K22" s="489">
        <v>0</v>
      </c>
      <c r="L22" s="489">
        <v>207695</v>
      </c>
      <c r="M22" s="489">
        <v>12290</v>
      </c>
      <c r="N22" s="489">
        <v>3886</v>
      </c>
      <c r="O22" s="490">
        <v>1.94</v>
      </c>
      <c r="P22" s="491">
        <v>0</v>
      </c>
      <c r="Q22" s="500">
        <v>1.94</v>
      </c>
      <c r="R22" s="502">
        <f t="shared" si="1"/>
        <v>0</v>
      </c>
      <c r="S22" s="492">
        <v>0</v>
      </c>
      <c r="T22" s="492">
        <v>0</v>
      </c>
      <c r="U22" s="492">
        <v>0</v>
      </c>
      <c r="V22" s="492">
        <f t="shared" si="2"/>
        <v>0</v>
      </c>
      <c r="W22" s="492">
        <v>0</v>
      </c>
      <c r="X22" s="492">
        <v>0</v>
      </c>
      <c r="Y22" s="492">
        <v>0</v>
      </c>
      <c r="Z22" s="492">
        <f t="shared" si="3"/>
        <v>0</v>
      </c>
      <c r="AA22" s="492">
        <f t="shared" si="4"/>
        <v>0</v>
      </c>
      <c r="AB22" s="74">
        <f t="shared" si="5"/>
        <v>0</v>
      </c>
      <c r="AC22" s="74">
        <f t="shared" si="6"/>
        <v>0</v>
      </c>
      <c r="AD22" s="492">
        <v>0</v>
      </c>
      <c r="AE22" s="492">
        <v>0</v>
      </c>
      <c r="AF22" s="492">
        <f t="shared" si="7"/>
        <v>0</v>
      </c>
      <c r="AG22" s="492">
        <f t="shared" si="8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19"/>
        <v>0</v>
      </c>
      <c r="AP22" s="493">
        <f t="shared" si="20"/>
        <v>0</v>
      </c>
      <c r="AQ22" s="495">
        <f t="shared" si="9"/>
        <v>0</v>
      </c>
      <c r="AR22" s="502">
        <f t="shared" si="10"/>
        <v>838352</v>
      </c>
      <c r="AS22" s="492">
        <f t="shared" si="11"/>
        <v>614481</v>
      </c>
      <c r="AT22" s="492">
        <f t="shared" si="21"/>
        <v>0</v>
      </c>
      <c r="AU22" s="492">
        <f t="shared" si="22"/>
        <v>207695</v>
      </c>
      <c r="AV22" s="492">
        <f t="shared" si="22"/>
        <v>12290</v>
      </c>
      <c r="AW22" s="492">
        <f t="shared" si="12"/>
        <v>3886</v>
      </c>
      <c r="AX22" s="493">
        <f t="shared" si="13"/>
        <v>1.94</v>
      </c>
      <c r="AY22" s="493">
        <f t="shared" si="23"/>
        <v>0</v>
      </c>
      <c r="AZ22" s="495">
        <f t="shared" si="23"/>
        <v>1.94</v>
      </c>
    </row>
    <row r="23" spans="1:52" s="238" customFormat="1" ht="12.75" customHeight="1" x14ac:dyDescent="0.2">
      <c r="A23" s="164">
        <v>4</v>
      </c>
      <c r="B23" s="15">
        <v>3462</v>
      </c>
      <c r="C23" s="163">
        <v>691001294</v>
      </c>
      <c r="D23" s="163">
        <v>72048115</v>
      </c>
      <c r="E23" s="239" t="s">
        <v>15</v>
      </c>
      <c r="F23" s="15"/>
      <c r="G23" s="239"/>
      <c r="H23" s="277"/>
      <c r="I23" s="496">
        <v>5890161</v>
      </c>
      <c r="J23" s="496">
        <v>4269406</v>
      </c>
      <c r="K23" s="496">
        <v>43550</v>
      </c>
      <c r="L23" s="496">
        <v>1457780</v>
      </c>
      <c r="M23" s="496">
        <v>85389</v>
      </c>
      <c r="N23" s="496">
        <v>34036</v>
      </c>
      <c r="O23" s="456">
        <v>10.004199999999999</v>
      </c>
      <c r="P23" s="456">
        <v>5.93</v>
      </c>
      <c r="Q23" s="456">
        <v>4.0741999999999994</v>
      </c>
      <c r="R23" s="542">
        <f t="shared" ref="R23:AZ23" si="24">SUM(R20:R22)</f>
        <v>0</v>
      </c>
      <c r="S23" s="496">
        <f t="shared" si="24"/>
        <v>0</v>
      </c>
      <c r="T23" s="496">
        <f t="shared" si="24"/>
        <v>0</v>
      </c>
      <c r="U23" s="496">
        <f t="shared" si="24"/>
        <v>0</v>
      </c>
      <c r="V23" s="496">
        <f t="shared" si="24"/>
        <v>0</v>
      </c>
      <c r="W23" s="496">
        <f t="shared" si="24"/>
        <v>0</v>
      </c>
      <c r="X23" s="496">
        <f t="shared" si="24"/>
        <v>0</v>
      </c>
      <c r="Y23" s="496">
        <f t="shared" si="24"/>
        <v>0</v>
      </c>
      <c r="Z23" s="496">
        <f t="shared" si="24"/>
        <v>0</v>
      </c>
      <c r="AA23" s="496">
        <f t="shared" si="24"/>
        <v>0</v>
      </c>
      <c r="AB23" s="496">
        <f t="shared" si="24"/>
        <v>0</v>
      </c>
      <c r="AC23" s="496">
        <f t="shared" si="24"/>
        <v>0</v>
      </c>
      <c r="AD23" s="496">
        <f t="shared" si="24"/>
        <v>0</v>
      </c>
      <c r="AE23" s="496">
        <f t="shared" si="24"/>
        <v>0</v>
      </c>
      <c r="AF23" s="496">
        <f t="shared" si="24"/>
        <v>0</v>
      </c>
      <c r="AG23" s="496">
        <f t="shared" si="24"/>
        <v>0</v>
      </c>
      <c r="AH23" s="456">
        <f t="shared" si="24"/>
        <v>0</v>
      </c>
      <c r="AI23" s="456">
        <f t="shared" si="24"/>
        <v>0</v>
      </c>
      <c r="AJ23" s="456">
        <f t="shared" si="24"/>
        <v>0</v>
      </c>
      <c r="AK23" s="456">
        <f t="shared" si="24"/>
        <v>0</v>
      </c>
      <c r="AL23" s="456">
        <f t="shared" si="24"/>
        <v>0</v>
      </c>
      <c r="AM23" s="456">
        <f t="shared" si="24"/>
        <v>0</v>
      </c>
      <c r="AN23" s="456">
        <f t="shared" si="24"/>
        <v>0</v>
      </c>
      <c r="AO23" s="456">
        <f t="shared" si="24"/>
        <v>0</v>
      </c>
      <c r="AP23" s="456">
        <f t="shared" si="24"/>
        <v>0</v>
      </c>
      <c r="AQ23" s="543">
        <f t="shared" si="24"/>
        <v>0</v>
      </c>
      <c r="AR23" s="542">
        <f t="shared" si="24"/>
        <v>5890161</v>
      </c>
      <c r="AS23" s="496">
        <f t="shared" si="24"/>
        <v>4269406</v>
      </c>
      <c r="AT23" s="496">
        <f t="shared" si="24"/>
        <v>43550</v>
      </c>
      <c r="AU23" s="496">
        <f t="shared" si="24"/>
        <v>1457780</v>
      </c>
      <c r="AV23" s="496">
        <f t="shared" si="24"/>
        <v>85389</v>
      </c>
      <c r="AW23" s="496">
        <f t="shared" si="24"/>
        <v>34036</v>
      </c>
      <c r="AX23" s="456">
        <f t="shared" si="24"/>
        <v>10.004199999999999</v>
      </c>
      <c r="AY23" s="456">
        <f t="shared" si="24"/>
        <v>5.93</v>
      </c>
      <c r="AZ23" s="543">
        <f t="shared" si="24"/>
        <v>4.0741999999999994</v>
      </c>
    </row>
    <row r="24" spans="1:52" s="238" customFormat="1" ht="12.75" customHeight="1" x14ac:dyDescent="0.2">
      <c r="A24" s="240">
        <v>5</v>
      </c>
      <c r="B24" s="241">
        <v>3464</v>
      </c>
      <c r="C24" s="241">
        <v>691001316</v>
      </c>
      <c r="D24" s="241">
        <v>72048140</v>
      </c>
      <c r="E24" s="242" t="s">
        <v>16</v>
      </c>
      <c r="F24" s="241">
        <v>3111</v>
      </c>
      <c r="G24" s="242" t="s">
        <v>312</v>
      </c>
      <c r="H24" s="278" t="s">
        <v>278</v>
      </c>
      <c r="I24" s="489">
        <v>6654357</v>
      </c>
      <c r="J24" s="489">
        <v>4853836</v>
      </c>
      <c r="K24" s="489">
        <v>18720</v>
      </c>
      <c r="L24" s="489">
        <v>1646924</v>
      </c>
      <c r="M24" s="489">
        <v>97077</v>
      </c>
      <c r="N24" s="489">
        <v>37800</v>
      </c>
      <c r="O24" s="490">
        <v>10.7782</v>
      </c>
      <c r="P24" s="491">
        <v>8</v>
      </c>
      <c r="Q24" s="500">
        <v>2.7782</v>
      </c>
      <c r="R24" s="502">
        <f t="shared" si="1"/>
        <v>0</v>
      </c>
      <c r="S24" s="492">
        <v>0</v>
      </c>
      <c r="T24" s="492">
        <v>0</v>
      </c>
      <c r="U24" s="492">
        <v>0</v>
      </c>
      <c r="V24" s="492">
        <f t="shared" si="2"/>
        <v>0</v>
      </c>
      <c r="W24" s="492">
        <v>0</v>
      </c>
      <c r="X24" s="492">
        <v>0</v>
      </c>
      <c r="Y24" s="492">
        <v>0</v>
      </c>
      <c r="Z24" s="492">
        <f t="shared" si="3"/>
        <v>0</v>
      </c>
      <c r="AA24" s="492">
        <f t="shared" si="4"/>
        <v>0</v>
      </c>
      <c r="AB24" s="74">
        <f t="shared" si="5"/>
        <v>0</v>
      </c>
      <c r="AC24" s="74">
        <f t="shared" si="6"/>
        <v>0</v>
      </c>
      <c r="AD24" s="492">
        <v>0</v>
      </c>
      <c r="AE24" s="492">
        <v>0</v>
      </c>
      <c r="AF24" s="492">
        <f t="shared" si="7"/>
        <v>0</v>
      </c>
      <c r="AG24" s="492">
        <f t="shared" si="8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ref="AO24:AO25" si="25">AH24+AJ24+AM24+AK24</f>
        <v>0</v>
      </c>
      <c r="AP24" s="493">
        <f t="shared" ref="AP24:AP25" si="26">AI24+AN24+AL24</f>
        <v>0</v>
      </c>
      <c r="AQ24" s="495">
        <f t="shared" si="9"/>
        <v>0</v>
      </c>
      <c r="AR24" s="502">
        <f t="shared" si="10"/>
        <v>6654357</v>
      </c>
      <c r="AS24" s="492">
        <f t="shared" si="11"/>
        <v>4853836</v>
      </c>
      <c r="AT24" s="492">
        <f t="shared" ref="AT24:AT25" si="27">K24+Z24</f>
        <v>18720</v>
      </c>
      <c r="AU24" s="492">
        <f>L24+AB24</f>
        <v>1646924</v>
      </c>
      <c r="AV24" s="492">
        <f>M24+AC24</f>
        <v>97077</v>
      </c>
      <c r="AW24" s="492">
        <f t="shared" si="12"/>
        <v>37800</v>
      </c>
      <c r="AX24" s="493">
        <f t="shared" si="13"/>
        <v>10.7782</v>
      </c>
      <c r="AY24" s="493">
        <f>P24+AO24</f>
        <v>8</v>
      </c>
      <c r="AZ24" s="495">
        <f>Q24+AP24</f>
        <v>2.7782</v>
      </c>
    </row>
    <row r="25" spans="1:52" s="238" customFormat="1" ht="12.75" customHeight="1" x14ac:dyDescent="0.2">
      <c r="A25" s="240">
        <v>5</v>
      </c>
      <c r="B25" s="241">
        <v>3464</v>
      </c>
      <c r="C25" s="241">
        <v>691001316</v>
      </c>
      <c r="D25" s="241">
        <v>72048140</v>
      </c>
      <c r="E25" s="242" t="s">
        <v>16</v>
      </c>
      <c r="F25" s="241">
        <v>3141</v>
      </c>
      <c r="G25" s="242" t="s">
        <v>316</v>
      </c>
      <c r="H25" s="278" t="s">
        <v>279</v>
      </c>
      <c r="I25" s="489">
        <v>985813</v>
      </c>
      <c r="J25" s="489">
        <v>722300</v>
      </c>
      <c r="K25" s="489">
        <v>0</v>
      </c>
      <c r="L25" s="489">
        <v>244137</v>
      </c>
      <c r="M25" s="489">
        <v>14446</v>
      </c>
      <c r="N25" s="489">
        <v>4930</v>
      </c>
      <c r="O25" s="490">
        <v>2.27</v>
      </c>
      <c r="P25" s="491">
        <v>0</v>
      </c>
      <c r="Q25" s="500">
        <v>2.27</v>
      </c>
      <c r="R25" s="502">
        <f t="shared" si="1"/>
        <v>0</v>
      </c>
      <c r="S25" s="492">
        <v>0</v>
      </c>
      <c r="T25" s="492">
        <v>0</v>
      </c>
      <c r="U25" s="492">
        <v>0</v>
      </c>
      <c r="V25" s="492">
        <f t="shared" si="2"/>
        <v>0</v>
      </c>
      <c r="W25" s="492">
        <v>0</v>
      </c>
      <c r="X25" s="492">
        <v>0</v>
      </c>
      <c r="Y25" s="492">
        <v>0</v>
      </c>
      <c r="Z25" s="492">
        <f t="shared" si="3"/>
        <v>0</v>
      </c>
      <c r="AA25" s="492">
        <f t="shared" si="4"/>
        <v>0</v>
      </c>
      <c r="AB25" s="74">
        <f t="shared" si="5"/>
        <v>0</v>
      </c>
      <c r="AC25" s="74">
        <f t="shared" si="6"/>
        <v>0</v>
      </c>
      <c r="AD25" s="492">
        <v>0</v>
      </c>
      <c r="AE25" s="492">
        <v>0</v>
      </c>
      <c r="AF25" s="492">
        <f t="shared" si="7"/>
        <v>0</v>
      </c>
      <c r="AG25" s="492">
        <f t="shared" si="8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25"/>
        <v>0</v>
      </c>
      <c r="AP25" s="493">
        <f t="shared" si="26"/>
        <v>0</v>
      </c>
      <c r="AQ25" s="495">
        <f t="shared" si="9"/>
        <v>0</v>
      </c>
      <c r="AR25" s="502">
        <f t="shared" si="10"/>
        <v>985813</v>
      </c>
      <c r="AS25" s="492">
        <f t="shared" si="11"/>
        <v>722300</v>
      </c>
      <c r="AT25" s="492">
        <f t="shared" si="27"/>
        <v>0</v>
      </c>
      <c r="AU25" s="492">
        <f>L25+AB25</f>
        <v>244137</v>
      </c>
      <c r="AV25" s="492">
        <f>M25+AC25</f>
        <v>14446</v>
      </c>
      <c r="AW25" s="492">
        <f t="shared" si="12"/>
        <v>4930</v>
      </c>
      <c r="AX25" s="493">
        <f t="shared" si="13"/>
        <v>2.27</v>
      </c>
      <c r="AY25" s="493">
        <f>P25+AO25</f>
        <v>0</v>
      </c>
      <c r="AZ25" s="495">
        <f>Q25+AP25</f>
        <v>2.27</v>
      </c>
    </row>
    <row r="26" spans="1:52" s="238" customFormat="1" ht="12.75" customHeight="1" x14ac:dyDescent="0.2">
      <c r="A26" s="164">
        <v>5</v>
      </c>
      <c r="B26" s="15">
        <v>3464</v>
      </c>
      <c r="C26" s="163">
        <v>691001316</v>
      </c>
      <c r="D26" s="163">
        <v>72048140</v>
      </c>
      <c r="E26" s="239" t="s">
        <v>17</v>
      </c>
      <c r="F26" s="15"/>
      <c r="G26" s="239"/>
      <c r="H26" s="277"/>
      <c r="I26" s="496">
        <v>7640170</v>
      </c>
      <c r="J26" s="496">
        <v>5576136</v>
      </c>
      <c r="K26" s="496">
        <v>18720</v>
      </c>
      <c r="L26" s="496">
        <v>1891061</v>
      </c>
      <c r="M26" s="496">
        <v>111523</v>
      </c>
      <c r="N26" s="496">
        <v>42730</v>
      </c>
      <c r="O26" s="456">
        <v>13.0482</v>
      </c>
      <c r="P26" s="456">
        <v>8</v>
      </c>
      <c r="Q26" s="456">
        <v>5.0481999999999996</v>
      </c>
      <c r="R26" s="542">
        <f t="shared" ref="R26:AZ26" si="28">SUM(R24:R25)</f>
        <v>0</v>
      </c>
      <c r="S26" s="496">
        <f t="shared" si="28"/>
        <v>0</v>
      </c>
      <c r="T26" s="496">
        <f t="shared" si="28"/>
        <v>0</v>
      </c>
      <c r="U26" s="496">
        <f t="shared" si="28"/>
        <v>0</v>
      </c>
      <c r="V26" s="496">
        <f t="shared" si="28"/>
        <v>0</v>
      </c>
      <c r="W26" s="496">
        <f t="shared" si="28"/>
        <v>0</v>
      </c>
      <c r="X26" s="496">
        <f t="shared" si="28"/>
        <v>0</v>
      </c>
      <c r="Y26" s="496">
        <f t="shared" si="28"/>
        <v>0</v>
      </c>
      <c r="Z26" s="496">
        <f t="shared" si="28"/>
        <v>0</v>
      </c>
      <c r="AA26" s="496">
        <f t="shared" si="28"/>
        <v>0</v>
      </c>
      <c r="AB26" s="496">
        <f t="shared" si="28"/>
        <v>0</v>
      </c>
      <c r="AC26" s="496">
        <f t="shared" si="28"/>
        <v>0</v>
      </c>
      <c r="AD26" s="496">
        <f t="shared" si="28"/>
        <v>0</v>
      </c>
      <c r="AE26" s="496">
        <f t="shared" si="28"/>
        <v>0</v>
      </c>
      <c r="AF26" s="496">
        <f t="shared" si="28"/>
        <v>0</v>
      </c>
      <c r="AG26" s="496">
        <f t="shared" si="28"/>
        <v>0</v>
      </c>
      <c r="AH26" s="456">
        <f t="shared" si="28"/>
        <v>0</v>
      </c>
      <c r="AI26" s="456">
        <f t="shared" si="28"/>
        <v>0</v>
      </c>
      <c r="AJ26" s="456">
        <f t="shared" si="28"/>
        <v>0</v>
      </c>
      <c r="AK26" s="456">
        <f t="shared" si="28"/>
        <v>0</v>
      </c>
      <c r="AL26" s="456">
        <f t="shared" si="28"/>
        <v>0</v>
      </c>
      <c r="AM26" s="456">
        <f t="shared" si="28"/>
        <v>0</v>
      </c>
      <c r="AN26" s="456">
        <f t="shared" si="28"/>
        <v>0</v>
      </c>
      <c r="AO26" s="456">
        <f t="shared" si="28"/>
        <v>0</v>
      </c>
      <c r="AP26" s="456">
        <f t="shared" si="28"/>
        <v>0</v>
      </c>
      <c r="AQ26" s="543">
        <f t="shared" si="28"/>
        <v>0</v>
      </c>
      <c r="AR26" s="542">
        <f t="shared" si="28"/>
        <v>7640170</v>
      </c>
      <c r="AS26" s="496">
        <f t="shared" si="28"/>
        <v>5576136</v>
      </c>
      <c r="AT26" s="496">
        <f t="shared" si="28"/>
        <v>18720</v>
      </c>
      <c r="AU26" s="496">
        <f t="shared" si="28"/>
        <v>1891061</v>
      </c>
      <c r="AV26" s="496">
        <f t="shared" si="28"/>
        <v>111523</v>
      </c>
      <c r="AW26" s="496">
        <f t="shared" si="28"/>
        <v>42730</v>
      </c>
      <c r="AX26" s="456">
        <f t="shared" si="28"/>
        <v>13.0482</v>
      </c>
      <c r="AY26" s="456">
        <f t="shared" si="28"/>
        <v>8</v>
      </c>
      <c r="AZ26" s="543">
        <f t="shared" si="28"/>
        <v>5.0481999999999996</v>
      </c>
    </row>
    <row r="27" spans="1:52" s="238" customFormat="1" ht="12.75" customHeight="1" x14ac:dyDescent="0.2">
      <c r="A27" s="240">
        <v>6</v>
      </c>
      <c r="B27" s="241">
        <v>3453</v>
      </c>
      <c r="C27" s="241">
        <v>667101411</v>
      </c>
      <c r="D27" s="241">
        <v>75109522</v>
      </c>
      <c r="E27" s="242" t="s">
        <v>18</v>
      </c>
      <c r="F27" s="241">
        <v>3111</v>
      </c>
      <c r="G27" s="242" t="s">
        <v>312</v>
      </c>
      <c r="H27" s="278" t="s">
        <v>278</v>
      </c>
      <c r="I27" s="489">
        <v>6585380</v>
      </c>
      <c r="J27" s="489">
        <v>4799624</v>
      </c>
      <c r="K27" s="489">
        <v>19500</v>
      </c>
      <c r="L27" s="489">
        <v>1628864</v>
      </c>
      <c r="M27" s="489">
        <v>95992</v>
      </c>
      <c r="N27" s="489">
        <v>41400</v>
      </c>
      <c r="O27" s="490">
        <v>10.668200000000001</v>
      </c>
      <c r="P27" s="491">
        <v>7.5</v>
      </c>
      <c r="Q27" s="500">
        <v>3.1682000000000001</v>
      </c>
      <c r="R27" s="502">
        <f t="shared" si="1"/>
        <v>0</v>
      </c>
      <c r="S27" s="492">
        <v>0</v>
      </c>
      <c r="T27" s="492">
        <v>0</v>
      </c>
      <c r="U27" s="492">
        <v>0</v>
      </c>
      <c r="V27" s="492">
        <f t="shared" si="2"/>
        <v>0</v>
      </c>
      <c r="W27" s="492">
        <v>0</v>
      </c>
      <c r="X27" s="492">
        <v>0</v>
      </c>
      <c r="Y27" s="492">
        <v>0</v>
      </c>
      <c r="Z27" s="492">
        <f t="shared" si="3"/>
        <v>0</v>
      </c>
      <c r="AA27" s="492">
        <f t="shared" si="4"/>
        <v>0</v>
      </c>
      <c r="AB27" s="74">
        <f t="shared" si="5"/>
        <v>0</v>
      </c>
      <c r="AC27" s="74">
        <f t="shared" si="6"/>
        <v>0</v>
      </c>
      <c r="AD27" s="492">
        <v>0</v>
      </c>
      <c r="AE27" s="492">
        <v>0</v>
      </c>
      <c r="AF27" s="492">
        <f t="shared" si="7"/>
        <v>0</v>
      </c>
      <c r="AG27" s="492">
        <f t="shared" si="8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ref="AO27:AO28" si="29">AH27+AJ27+AM27+AK27</f>
        <v>0</v>
      </c>
      <c r="AP27" s="493">
        <f t="shared" ref="AP27:AP28" si="30">AI27+AN27+AL27</f>
        <v>0</v>
      </c>
      <c r="AQ27" s="495">
        <f t="shared" si="9"/>
        <v>0</v>
      </c>
      <c r="AR27" s="502">
        <f t="shared" si="10"/>
        <v>6585380</v>
      </c>
      <c r="AS27" s="492">
        <f t="shared" si="11"/>
        <v>4799624</v>
      </c>
      <c r="AT27" s="492">
        <f t="shared" ref="AT27:AT28" si="31">K27+Z27</f>
        <v>19500</v>
      </c>
      <c r="AU27" s="492">
        <f>L27+AB27</f>
        <v>1628864</v>
      </c>
      <c r="AV27" s="492">
        <f>M27+AC27</f>
        <v>95992</v>
      </c>
      <c r="AW27" s="492">
        <f t="shared" si="12"/>
        <v>41400</v>
      </c>
      <c r="AX27" s="493">
        <f t="shared" si="13"/>
        <v>10.668200000000001</v>
      </c>
      <c r="AY27" s="493">
        <f>P27+AO27</f>
        <v>7.5</v>
      </c>
      <c r="AZ27" s="495">
        <f>Q27+AP27</f>
        <v>3.1682000000000001</v>
      </c>
    </row>
    <row r="28" spans="1:52" s="238" customFormat="1" ht="12.75" customHeight="1" x14ac:dyDescent="0.2">
      <c r="A28" s="240">
        <v>6</v>
      </c>
      <c r="B28" s="241">
        <v>3453</v>
      </c>
      <c r="C28" s="241">
        <v>667101411</v>
      </c>
      <c r="D28" s="241">
        <v>75109522</v>
      </c>
      <c r="E28" s="242" t="s">
        <v>18</v>
      </c>
      <c r="F28" s="241">
        <v>3141</v>
      </c>
      <c r="G28" s="242" t="s">
        <v>316</v>
      </c>
      <c r="H28" s="278" t="s">
        <v>279</v>
      </c>
      <c r="I28" s="489">
        <v>880114</v>
      </c>
      <c r="J28" s="489">
        <v>645021</v>
      </c>
      <c r="K28" s="489">
        <v>0</v>
      </c>
      <c r="L28" s="489">
        <v>218017</v>
      </c>
      <c r="M28" s="489">
        <v>12900</v>
      </c>
      <c r="N28" s="489">
        <v>4176</v>
      </c>
      <c r="O28" s="490">
        <v>2.0299999999999998</v>
      </c>
      <c r="P28" s="491">
        <v>0</v>
      </c>
      <c r="Q28" s="500">
        <v>2.0299999999999998</v>
      </c>
      <c r="R28" s="502">
        <f t="shared" si="1"/>
        <v>0</v>
      </c>
      <c r="S28" s="492">
        <v>0</v>
      </c>
      <c r="T28" s="492">
        <v>0</v>
      </c>
      <c r="U28" s="492">
        <v>0</v>
      </c>
      <c r="V28" s="492">
        <f t="shared" si="2"/>
        <v>0</v>
      </c>
      <c r="W28" s="492">
        <v>0</v>
      </c>
      <c r="X28" s="492">
        <v>0</v>
      </c>
      <c r="Y28" s="492">
        <v>0</v>
      </c>
      <c r="Z28" s="492">
        <f t="shared" si="3"/>
        <v>0</v>
      </c>
      <c r="AA28" s="492">
        <f t="shared" si="4"/>
        <v>0</v>
      </c>
      <c r="AB28" s="74">
        <f t="shared" si="5"/>
        <v>0</v>
      </c>
      <c r="AC28" s="74">
        <f t="shared" si="6"/>
        <v>0</v>
      </c>
      <c r="AD28" s="492">
        <v>0</v>
      </c>
      <c r="AE28" s="492">
        <v>0</v>
      </c>
      <c r="AF28" s="492">
        <f t="shared" si="7"/>
        <v>0</v>
      </c>
      <c r="AG28" s="492">
        <f t="shared" si="8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si="29"/>
        <v>0</v>
      </c>
      <c r="AP28" s="493">
        <f t="shared" si="30"/>
        <v>0</v>
      </c>
      <c r="AQ28" s="495">
        <f t="shared" si="9"/>
        <v>0</v>
      </c>
      <c r="AR28" s="502">
        <f t="shared" si="10"/>
        <v>880114</v>
      </c>
      <c r="AS28" s="492">
        <f t="shared" si="11"/>
        <v>645021</v>
      </c>
      <c r="AT28" s="492">
        <f t="shared" si="31"/>
        <v>0</v>
      </c>
      <c r="AU28" s="492">
        <f>L28+AB28</f>
        <v>218017</v>
      </c>
      <c r="AV28" s="492">
        <f>M28+AC28</f>
        <v>12900</v>
      </c>
      <c r="AW28" s="492">
        <f t="shared" si="12"/>
        <v>4176</v>
      </c>
      <c r="AX28" s="493">
        <f t="shared" si="13"/>
        <v>2.0299999999999998</v>
      </c>
      <c r="AY28" s="493">
        <f>P28+AO28</f>
        <v>0</v>
      </c>
      <c r="AZ28" s="495">
        <f>Q28+AP28</f>
        <v>2.0299999999999998</v>
      </c>
    </row>
    <row r="29" spans="1:52" s="238" customFormat="1" ht="12.75" customHeight="1" x14ac:dyDescent="0.2">
      <c r="A29" s="164">
        <v>6</v>
      </c>
      <c r="B29" s="15">
        <v>3453</v>
      </c>
      <c r="C29" s="163">
        <v>667101411</v>
      </c>
      <c r="D29" s="163">
        <v>75109522</v>
      </c>
      <c r="E29" s="239" t="s">
        <v>19</v>
      </c>
      <c r="F29" s="15"/>
      <c r="G29" s="239"/>
      <c r="H29" s="277"/>
      <c r="I29" s="496">
        <v>7465494</v>
      </c>
      <c r="J29" s="496">
        <v>5444645</v>
      </c>
      <c r="K29" s="496">
        <v>19500</v>
      </c>
      <c r="L29" s="496">
        <v>1846881</v>
      </c>
      <c r="M29" s="496">
        <v>108892</v>
      </c>
      <c r="N29" s="496">
        <v>45576</v>
      </c>
      <c r="O29" s="456">
        <v>12.6982</v>
      </c>
      <c r="P29" s="456">
        <v>7.5</v>
      </c>
      <c r="Q29" s="456">
        <v>5.1981999999999999</v>
      </c>
      <c r="R29" s="542">
        <f t="shared" ref="R29:AZ29" si="32">SUM(R27:R28)</f>
        <v>0</v>
      </c>
      <c r="S29" s="496">
        <f t="shared" si="32"/>
        <v>0</v>
      </c>
      <c r="T29" s="496">
        <f t="shared" si="32"/>
        <v>0</v>
      </c>
      <c r="U29" s="496">
        <f t="shared" si="32"/>
        <v>0</v>
      </c>
      <c r="V29" s="496">
        <f t="shared" si="32"/>
        <v>0</v>
      </c>
      <c r="W29" s="496">
        <f t="shared" si="32"/>
        <v>0</v>
      </c>
      <c r="X29" s="496">
        <f t="shared" si="32"/>
        <v>0</v>
      </c>
      <c r="Y29" s="496">
        <f t="shared" si="32"/>
        <v>0</v>
      </c>
      <c r="Z29" s="496">
        <f t="shared" si="32"/>
        <v>0</v>
      </c>
      <c r="AA29" s="496">
        <f t="shared" si="32"/>
        <v>0</v>
      </c>
      <c r="AB29" s="496">
        <f t="shared" si="32"/>
        <v>0</v>
      </c>
      <c r="AC29" s="496">
        <f t="shared" si="32"/>
        <v>0</v>
      </c>
      <c r="AD29" s="496">
        <f t="shared" si="32"/>
        <v>0</v>
      </c>
      <c r="AE29" s="496">
        <f t="shared" si="32"/>
        <v>0</v>
      </c>
      <c r="AF29" s="496">
        <f t="shared" si="32"/>
        <v>0</v>
      </c>
      <c r="AG29" s="496">
        <f t="shared" si="32"/>
        <v>0</v>
      </c>
      <c r="AH29" s="456">
        <f t="shared" si="32"/>
        <v>0</v>
      </c>
      <c r="AI29" s="456">
        <f t="shared" si="32"/>
        <v>0</v>
      </c>
      <c r="AJ29" s="456">
        <f t="shared" si="32"/>
        <v>0</v>
      </c>
      <c r="AK29" s="456">
        <f t="shared" si="32"/>
        <v>0</v>
      </c>
      <c r="AL29" s="456">
        <f t="shared" si="32"/>
        <v>0</v>
      </c>
      <c r="AM29" s="456">
        <f t="shared" si="32"/>
        <v>0</v>
      </c>
      <c r="AN29" s="456">
        <f t="shared" si="32"/>
        <v>0</v>
      </c>
      <c r="AO29" s="456">
        <f t="shared" si="32"/>
        <v>0</v>
      </c>
      <c r="AP29" s="456">
        <f t="shared" si="32"/>
        <v>0</v>
      </c>
      <c r="AQ29" s="543">
        <f t="shared" si="32"/>
        <v>0</v>
      </c>
      <c r="AR29" s="542">
        <f t="shared" si="32"/>
        <v>7465494</v>
      </c>
      <c r="AS29" s="496">
        <f t="shared" si="32"/>
        <v>5444645</v>
      </c>
      <c r="AT29" s="496">
        <f t="shared" si="32"/>
        <v>19500</v>
      </c>
      <c r="AU29" s="496">
        <f t="shared" si="32"/>
        <v>1846881</v>
      </c>
      <c r="AV29" s="496">
        <f t="shared" si="32"/>
        <v>108892</v>
      </c>
      <c r="AW29" s="496">
        <f t="shared" si="32"/>
        <v>45576</v>
      </c>
      <c r="AX29" s="456">
        <f t="shared" si="32"/>
        <v>12.6982</v>
      </c>
      <c r="AY29" s="456">
        <f t="shared" si="32"/>
        <v>7.5</v>
      </c>
      <c r="AZ29" s="543">
        <f t="shared" si="32"/>
        <v>5.1981999999999999</v>
      </c>
    </row>
    <row r="30" spans="1:52" s="238" customFormat="1" ht="12.75" customHeight="1" x14ac:dyDescent="0.2">
      <c r="A30" s="240">
        <v>7</v>
      </c>
      <c r="B30" s="241">
        <v>3471</v>
      </c>
      <c r="C30" s="241">
        <v>691003491</v>
      </c>
      <c r="D30" s="241">
        <v>72550376</v>
      </c>
      <c r="E30" s="242" t="s">
        <v>20</v>
      </c>
      <c r="F30" s="241">
        <v>3111</v>
      </c>
      <c r="G30" s="242" t="s">
        <v>312</v>
      </c>
      <c r="H30" s="278" t="s">
        <v>278</v>
      </c>
      <c r="I30" s="489">
        <v>6887344</v>
      </c>
      <c r="J30" s="489">
        <v>5039208</v>
      </c>
      <c r="K30" s="489">
        <v>0</v>
      </c>
      <c r="L30" s="489">
        <v>1703252</v>
      </c>
      <c r="M30" s="489">
        <v>100784</v>
      </c>
      <c r="N30" s="489">
        <v>44100</v>
      </c>
      <c r="O30" s="490">
        <v>10.8682</v>
      </c>
      <c r="P30" s="491">
        <v>8</v>
      </c>
      <c r="Q30" s="500">
        <v>2.8681999999999999</v>
      </c>
      <c r="R30" s="502">
        <f t="shared" si="1"/>
        <v>0</v>
      </c>
      <c r="S30" s="492">
        <v>0</v>
      </c>
      <c r="T30" s="492">
        <v>0</v>
      </c>
      <c r="U30" s="492">
        <v>0</v>
      </c>
      <c r="V30" s="492">
        <f t="shared" si="2"/>
        <v>0</v>
      </c>
      <c r="W30" s="492">
        <v>0</v>
      </c>
      <c r="X30" s="492">
        <v>0</v>
      </c>
      <c r="Y30" s="492">
        <v>0</v>
      </c>
      <c r="Z30" s="492">
        <f t="shared" si="3"/>
        <v>0</v>
      </c>
      <c r="AA30" s="492">
        <f t="shared" si="4"/>
        <v>0</v>
      </c>
      <c r="AB30" s="74">
        <f t="shared" si="5"/>
        <v>0</v>
      </c>
      <c r="AC30" s="74">
        <f t="shared" si="6"/>
        <v>0</v>
      </c>
      <c r="AD30" s="492">
        <v>0</v>
      </c>
      <c r="AE30" s="492">
        <v>0</v>
      </c>
      <c r="AF30" s="492">
        <f t="shared" si="7"/>
        <v>0</v>
      </c>
      <c r="AG30" s="492">
        <f t="shared" si="8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ref="AO30:AO32" si="33">AH30+AJ30+AM30+AK30</f>
        <v>0</v>
      </c>
      <c r="AP30" s="493">
        <f t="shared" ref="AP30:AP32" si="34">AI30+AN30+AL30</f>
        <v>0</v>
      </c>
      <c r="AQ30" s="495">
        <f t="shared" si="9"/>
        <v>0</v>
      </c>
      <c r="AR30" s="502">
        <f t="shared" si="10"/>
        <v>6887344</v>
      </c>
      <c r="AS30" s="492">
        <f t="shared" si="11"/>
        <v>5039208</v>
      </c>
      <c r="AT30" s="492">
        <f t="shared" ref="AT30:AT32" si="35">K30+Z30</f>
        <v>0</v>
      </c>
      <c r="AU30" s="492">
        <f t="shared" ref="AU30:AV32" si="36">L30+AB30</f>
        <v>1703252</v>
      </c>
      <c r="AV30" s="492">
        <f t="shared" si="36"/>
        <v>100784</v>
      </c>
      <c r="AW30" s="492">
        <f t="shared" si="12"/>
        <v>44100</v>
      </c>
      <c r="AX30" s="493">
        <f t="shared" si="13"/>
        <v>10.8682</v>
      </c>
      <c r="AY30" s="493">
        <f t="shared" ref="AY30:AZ32" si="37">P30+AO30</f>
        <v>8</v>
      </c>
      <c r="AZ30" s="495">
        <f t="shared" si="37"/>
        <v>2.8681999999999999</v>
      </c>
    </row>
    <row r="31" spans="1:52" s="238" customFormat="1" ht="12.75" customHeight="1" x14ac:dyDescent="0.2">
      <c r="A31" s="240">
        <v>7</v>
      </c>
      <c r="B31" s="241">
        <v>3471</v>
      </c>
      <c r="C31" s="241">
        <v>691003491</v>
      </c>
      <c r="D31" s="241">
        <v>72550376</v>
      </c>
      <c r="E31" s="242" t="s">
        <v>20</v>
      </c>
      <c r="F31" s="241">
        <v>3111</v>
      </c>
      <c r="G31" s="242" t="s">
        <v>313</v>
      </c>
      <c r="H31" s="278" t="s">
        <v>279</v>
      </c>
      <c r="I31" s="489">
        <v>354104</v>
      </c>
      <c r="J31" s="489">
        <v>259833</v>
      </c>
      <c r="K31" s="489">
        <v>0</v>
      </c>
      <c r="L31" s="489">
        <v>87824</v>
      </c>
      <c r="M31" s="489">
        <v>5197</v>
      </c>
      <c r="N31" s="489">
        <v>1250</v>
      </c>
      <c r="O31" s="490">
        <v>0.75</v>
      </c>
      <c r="P31" s="491">
        <v>0.75</v>
      </c>
      <c r="Q31" s="500">
        <v>0</v>
      </c>
      <c r="R31" s="502">
        <f t="shared" si="1"/>
        <v>0</v>
      </c>
      <c r="S31" s="492">
        <v>0</v>
      </c>
      <c r="T31" s="492">
        <v>0</v>
      </c>
      <c r="U31" s="492">
        <v>0</v>
      </c>
      <c r="V31" s="492">
        <f t="shared" si="2"/>
        <v>0</v>
      </c>
      <c r="W31" s="492">
        <v>0</v>
      </c>
      <c r="X31" s="492">
        <v>0</v>
      </c>
      <c r="Y31" s="492">
        <v>0</v>
      </c>
      <c r="Z31" s="492">
        <f t="shared" si="3"/>
        <v>0</v>
      </c>
      <c r="AA31" s="492">
        <f t="shared" si="4"/>
        <v>0</v>
      </c>
      <c r="AB31" s="74">
        <f t="shared" si="5"/>
        <v>0</v>
      </c>
      <c r="AC31" s="74">
        <f t="shared" si="6"/>
        <v>0</v>
      </c>
      <c r="AD31" s="492">
        <v>0</v>
      </c>
      <c r="AE31" s="492">
        <v>0</v>
      </c>
      <c r="AF31" s="492">
        <f t="shared" si="7"/>
        <v>0</v>
      </c>
      <c r="AG31" s="492">
        <f t="shared" si="8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si="33"/>
        <v>0</v>
      </c>
      <c r="AP31" s="493">
        <f t="shared" si="34"/>
        <v>0</v>
      </c>
      <c r="AQ31" s="495">
        <f t="shared" si="9"/>
        <v>0</v>
      </c>
      <c r="AR31" s="502">
        <f t="shared" si="10"/>
        <v>354104</v>
      </c>
      <c r="AS31" s="492">
        <f t="shared" si="11"/>
        <v>259833</v>
      </c>
      <c r="AT31" s="492">
        <f t="shared" si="35"/>
        <v>0</v>
      </c>
      <c r="AU31" s="492">
        <f t="shared" si="36"/>
        <v>87824</v>
      </c>
      <c r="AV31" s="492">
        <f t="shared" si="36"/>
        <v>5197</v>
      </c>
      <c r="AW31" s="492">
        <f t="shared" si="12"/>
        <v>1250</v>
      </c>
      <c r="AX31" s="493">
        <f t="shared" si="13"/>
        <v>0.75</v>
      </c>
      <c r="AY31" s="493">
        <f t="shared" si="37"/>
        <v>0.75</v>
      </c>
      <c r="AZ31" s="495">
        <f t="shared" si="37"/>
        <v>0</v>
      </c>
    </row>
    <row r="32" spans="1:52" s="238" customFormat="1" ht="12.75" customHeight="1" x14ac:dyDescent="0.2">
      <c r="A32" s="240">
        <v>7</v>
      </c>
      <c r="B32" s="241">
        <v>3471</v>
      </c>
      <c r="C32" s="241">
        <v>691003491</v>
      </c>
      <c r="D32" s="241">
        <v>72550376</v>
      </c>
      <c r="E32" s="242" t="s">
        <v>20</v>
      </c>
      <c r="F32" s="241">
        <v>3141</v>
      </c>
      <c r="G32" s="242" t="s">
        <v>316</v>
      </c>
      <c r="H32" s="278" t="s">
        <v>279</v>
      </c>
      <c r="I32" s="489">
        <v>1089802</v>
      </c>
      <c r="J32" s="489">
        <v>798320</v>
      </c>
      <c r="K32" s="489">
        <v>0</v>
      </c>
      <c r="L32" s="489">
        <v>269832</v>
      </c>
      <c r="M32" s="489">
        <v>15966</v>
      </c>
      <c r="N32" s="489">
        <v>5684</v>
      </c>
      <c r="O32" s="490">
        <v>2.5099999999999998</v>
      </c>
      <c r="P32" s="491">
        <v>0</v>
      </c>
      <c r="Q32" s="500">
        <v>2.5099999999999998</v>
      </c>
      <c r="R32" s="502">
        <f t="shared" si="1"/>
        <v>0</v>
      </c>
      <c r="S32" s="492">
        <v>0</v>
      </c>
      <c r="T32" s="492">
        <v>0</v>
      </c>
      <c r="U32" s="492">
        <v>0</v>
      </c>
      <c r="V32" s="492">
        <f t="shared" si="2"/>
        <v>0</v>
      </c>
      <c r="W32" s="492">
        <v>0</v>
      </c>
      <c r="X32" s="492">
        <v>0</v>
      </c>
      <c r="Y32" s="492">
        <v>0</v>
      </c>
      <c r="Z32" s="492">
        <f t="shared" si="3"/>
        <v>0</v>
      </c>
      <c r="AA32" s="492">
        <f t="shared" si="4"/>
        <v>0</v>
      </c>
      <c r="AB32" s="74">
        <f t="shared" si="5"/>
        <v>0</v>
      </c>
      <c r="AC32" s="74">
        <f t="shared" si="6"/>
        <v>0</v>
      </c>
      <c r="AD32" s="492">
        <v>0</v>
      </c>
      <c r="AE32" s="492">
        <v>0</v>
      </c>
      <c r="AF32" s="492">
        <f t="shared" si="7"/>
        <v>0</v>
      </c>
      <c r="AG32" s="492">
        <f t="shared" si="8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si="33"/>
        <v>0</v>
      </c>
      <c r="AP32" s="493">
        <f t="shared" si="34"/>
        <v>0</v>
      </c>
      <c r="AQ32" s="495">
        <f t="shared" si="9"/>
        <v>0</v>
      </c>
      <c r="AR32" s="502">
        <f t="shared" si="10"/>
        <v>1089802</v>
      </c>
      <c r="AS32" s="492">
        <f t="shared" si="11"/>
        <v>798320</v>
      </c>
      <c r="AT32" s="492">
        <f t="shared" si="35"/>
        <v>0</v>
      </c>
      <c r="AU32" s="492">
        <f t="shared" si="36"/>
        <v>269832</v>
      </c>
      <c r="AV32" s="492">
        <f t="shared" si="36"/>
        <v>15966</v>
      </c>
      <c r="AW32" s="492">
        <f t="shared" si="12"/>
        <v>5684</v>
      </c>
      <c r="AX32" s="493">
        <f t="shared" si="13"/>
        <v>2.5099999999999998</v>
      </c>
      <c r="AY32" s="493">
        <f t="shared" si="37"/>
        <v>0</v>
      </c>
      <c r="AZ32" s="495">
        <f t="shared" si="37"/>
        <v>2.5099999999999998</v>
      </c>
    </row>
    <row r="33" spans="1:52" s="238" customFormat="1" ht="12.75" customHeight="1" x14ac:dyDescent="0.2">
      <c r="A33" s="164">
        <v>7</v>
      </c>
      <c r="B33" s="15">
        <v>3471</v>
      </c>
      <c r="C33" s="163">
        <v>691003491</v>
      </c>
      <c r="D33" s="163">
        <v>72550376</v>
      </c>
      <c r="E33" s="239" t="s">
        <v>21</v>
      </c>
      <c r="F33" s="15"/>
      <c r="G33" s="239"/>
      <c r="H33" s="277"/>
      <c r="I33" s="496">
        <v>8331250</v>
      </c>
      <c r="J33" s="496">
        <v>6097361</v>
      </c>
      <c r="K33" s="496">
        <v>0</v>
      </c>
      <c r="L33" s="496">
        <v>2060908</v>
      </c>
      <c r="M33" s="496">
        <v>121947</v>
      </c>
      <c r="N33" s="496">
        <v>51034</v>
      </c>
      <c r="O33" s="456">
        <v>14.1282</v>
      </c>
      <c r="P33" s="456">
        <v>8.75</v>
      </c>
      <c r="Q33" s="456">
        <v>5.3781999999999996</v>
      </c>
      <c r="R33" s="542">
        <f t="shared" ref="R33:AZ33" si="38">SUM(R30:R32)</f>
        <v>0</v>
      </c>
      <c r="S33" s="496">
        <f t="shared" si="38"/>
        <v>0</v>
      </c>
      <c r="T33" s="496">
        <f t="shared" si="38"/>
        <v>0</v>
      </c>
      <c r="U33" s="496">
        <f t="shared" si="38"/>
        <v>0</v>
      </c>
      <c r="V33" s="496">
        <f t="shared" si="38"/>
        <v>0</v>
      </c>
      <c r="W33" s="496">
        <f t="shared" si="38"/>
        <v>0</v>
      </c>
      <c r="X33" s="496">
        <f t="shared" si="38"/>
        <v>0</v>
      </c>
      <c r="Y33" s="496">
        <f t="shared" si="38"/>
        <v>0</v>
      </c>
      <c r="Z33" s="496">
        <f t="shared" si="38"/>
        <v>0</v>
      </c>
      <c r="AA33" s="496">
        <f t="shared" si="38"/>
        <v>0</v>
      </c>
      <c r="AB33" s="496">
        <f t="shared" si="38"/>
        <v>0</v>
      </c>
      <c r="AC33" s="496">
        <f t="shared" si="38"/>
        <v>0</v>
      </c>
      <c r="AD33" s="496">
        <f t="shared" si="38"/>
        <v>0</v>
      </c>
      <c r="AE33" s="496">
        <f t="shared" si="38"/>
        <v>0</v>
      </c>
      <c r="AF33" s="496">
        <f t="shared" si="38"/>
        <v>0</v>
      </c>
      <c r="AG33" s="496">
        <f t="shared" si="38"/>
        <v>0</v>
      </c>
      <c r="AH33" s="456">
        <f t="shared" si="38"/>
        <v>0</v>
      </c>
      <c r="AI33" s="456">
        <f t="shared" si="38"/>
        <v>0</v>
      </c>
      <c r="AJ33" s="456">
        <f t="shared" si="38"/>
        <v>0</v>
      </c>
      <c r="AK33" s="456">
        <f t="shared" si="38"/>
        <v>0</v>
      </c>
      <c r="AL33" s="456">
        <f t="shared" si="38"/>
        <v>0</v>
      </c>
      <c r="AM33" s="456">
        <f t="shared" si="38"/>
        <v>0</v>
      </c>
      <c r="AN33" s="456">
        <f t="shared" si="38"/>
        <v>0</v>
      </c>
      <c r="AO33" s="456">
        <f t="shared" si="38"/>
        <v>0</v>
      </c>
      <c r="AP33" s="456">
        <f t="shared" si="38"/>
        <v>0</v>
      </c>
      <c r="AQ33" s="543">
        <f t="shared" si="38"/>
        <v>0</v>
      </c>
      <c r="AR33" s="542">
        <f t="shared" si="38"/>
        <v>8331250</v>
      </c>
      <c r="AS33" s="496">
        <f t="shared" si="38"/>
        <v>6097361</v>
      </c>
      <c r="AT33" s="496">
        <f t="shared" si="38"/>
        <v>0</v>
      </c>
      <c r="AU33" s="496">
        <f t="shared" si="38"/>
        <v>2060908</v>
      </c>
      <c r="AV33" s="496">
        <f t="shared" si="38"/>
        <v>121947</v>
      </c>
      <c r="AW33" s="496">
        <f t="shared" si="38"/>
        <v>51034</v>
      </c>
      <c r="AX33" s="456">
        <f t="shared" si="38"/>
        <v>14.1282</v>
      </c>
      <c r="AY33" s="456">
        <f t="shared" si="38"/>
        <v>8.75</v>
      </c>
      <c r="AZ33" s="543">
        <f t="shared" si="38"/>
        <v>5.3781999999999996</v>
      </c>
    </row>
    <row r="34" spans="1:52" s="238" customFormat="1" ht="12.75" customHeight="1" x14ac:dyDescent="0.2">
      <c r="A34" s="240">
        <v>8</v>
      </c>
      <c r="B34" s="241">
        <v>3472</v>
      </c>
      <c r="C34" s="241">
        <v>691003564</v>
      </c>
      <c r="D34" s="241">
        <v>72550368</v>
      </c>
      <c r="E34" s="242" t="s">
        <v>22</v>
      </c>
      <c r="F34" s="241">
        <v>3111</v>
      </c>
      <c r="G34" s="242" t="s">
        <v>312</v>
      </c>
      <c r="H34" s="278" t="s">
        <v>278</v>
      </c>
      <c r="I34" s="489">
        <v>4666254</v>
      </c>
      <c r="J34" s="489">
        <v>3398684</v>
      </c>
      <c r="K34" s="489">
        <v>19500</v>
      </c>
      <c r="L34" s="489">
        <v>1155346</v>
      </c>
      <c r="M34" s="489">
        <v>67974</v>
      </c>
      <c r="N34" s="489">
        <v>24750</v>
      </c>
      <c r="O34" s="490">
        <v>7.8842000000000008</v>
      </c>
      <c r="P34" s="491">
        <v>6</v>
      </c>
      <c r="Q34" s="500">
        <v>1.8842000000000003</v>
      </c>
      <c r="R34" s="502">
        <f t="shared" si="1"/>
        <v>0</v>
      </c>
      <c r="S34" s="492">
        <v>0</v>
      </c>
      <c r="T34" s="492">
        <v>0</v>
      </c>
      <c r="U34" s="492">
        <v>0</v>
      </c>
      <c r="V34" s="492">
        <f t="shared" si="2"/>
        <v>0</v>
      </c>
      <c r="W34" s="492">
        <v>0</v>
      </c>
      <c r="X34" s="492">
        <v>0</v>
      </c>
      <c r="Y34" s="492">
        <v>0</v>
      </c>
      <c r="Z34" s="492">
        <f t="shared" si="3"/>
        <v>0</v>
      </c>
      <c r="AA34" s="492">
        <f t="shared" si="4"/>
        <v>0</v>
      </c>
      <c r="AB34" s="74">
        <f t="shared" si="5"/>
        <v>0</v>
      </c>
      <c r="AC34" s="74">
        <f t="shared" si="6"/>
        <v>0</v>
      </c>
      <c r="AD34" s="492">
        <v>0</v>
      </c>
      <c r="AE34" s="492">
        <v>0</v>
      </c>
      <c r="AF34" s="492">
        <f t="shared" si="7"/>
        <v>0</v>
      </c>
      <c r="AG34" s="492">
        <f t="shared" si="8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ref="AO34:AO35" si="39">AH34+AJ34+AM34+AK34</f>
        <v>0</v>
      </c>
      <c r="AP34" s="493">
        <f t="shared" ref="AP34:AP35" si="40">AI34+AN34+AL34</f>
        <v>0</v>
      </c>
      <c r="AQ34" s="495">
        <f t="shared" si="9"/>
        <v>0</v>
      </c>
      <c r="AR34" s="502">
        <f t="shared" si="10"/>
        <v>4666254</v>
      </c>
      <c r="AS34" s="492">
        <f t="shared" si="11"/>
        <v>3398684</v>
      </c>
      <c r="AT34" s="492">
        <f t="shared" ref="AT34:AT35" si="41">K34+Z34</f>
        <v>19500</v>
      </c>
      <c r="AU34" s="492">
        <f>L34+AB34</f>
        <v>1155346</v>
      </c>
      <c r="AV34" s="492">
        <f>M34+AC34</f>
        <v>67974</v>
      </c>
      <c r="AW34" s="492">
        <f t="shared" si="12"/>
        <v>24750</v>
      </c>
      <c r="AX34" s="493">
        <f t="shared" si="13"/>
        <v>7.8842000000000008</v>
      </c>
      <c r="AY34" s="493">
        <f>P34+AO34</f>
        <v>6</v>
      </c>
      <c r="AZ34" s="495">
        <f>Q34+AP34</f>
        <v>1.8842000000000003</v>
      </c>
    </row>
    <row r="35" spans="1:52" s="238" customFormat="1" ht="12.75" customHeight="1" x14ac:dyDescent="0.2">
      <c r="A35" s="240">
        <v>8</v>
      </c>
      <c r="B35" s="241">
        <v>3472</v>
      </c>
      <c r="C35" s="241">
        <v>691003564</v>
      </c>
      <c r="D35" s="241">
        <v>72550368</v>
      </c>
      <c r="E35" s="242" t="s">
        <v>22</v>
      </c>
      <c r="F35" s="241">
        <v>3141</v>
      </c>
      <c r="G35" s="242" t="s">
        <v>316</v>
      </c>
      <c r="H35" s="278" t="s">
        <v>279</v>
      </c>
      <c r="I35" s="489">
        <v>715571</v>
      </c>
      <c r="J35" s="489">
        <v>524667</v>
      </c>
      <c r="K35" s="489">
        <v>0</v>
      </c>
      <c r="L35" s="489">
        <v>177337</v>
      </c>
      <c r="M35" s="489">
        <v>10493</v>
      </c>
      <c r="N35" s="489">
        <v>3074</v>
      </c>
      <c r="O35" s="490">
        <v>1.65</v>
      </c>
      <c r="P35" s="491">
        <v>0</v>
      </c>
      <c r="Q35" s="500">
        <v>1.65</v>
      </c>
      <c r="R35" s="502">
        <f t="shared" si="1"/>
        <v>0</v>
      </c>
      <c r="S35" s="492">
        <v>0</v>
      </c>
      <c r="T35" s="492">
        <v>0</v>
      </c>
      <c r="U35" s="492">
        <v>0</v>
      </c>
      <c r="V35" s="492">
        <f t="shared" si="2"/>
        <v>0</v>
      </c>
      <c r="W35" s="492">
        <v>0</v>
      </c>
      <c r="X35" s="492">
        <v>0</v>
      </c>
      <c r="Y35" s="492">
        <v>0</v>
      </c>
      <c r="Z35" s="492">
        <f t="shared" si="3"/>
        <v>0</v>
      </c>
      <c r="AA35" s="492">
        <f t="shared" si="4"/>
        <v>0</v>
      </c>
      <c r="AB35" s="74">
        <f t="shared" si="5"/>
        <v>0</v>
      </c>
      <c r="AC35" s="74">
        <f t="shared" si="6"/>
        <v>0</v>
      </c>
      <c r="AD35" s="492">
        <v>0</v>
      </c>
      <c r="AE35" s="492">
        <v>0</v>
      </c>
      <c r="AF35" s="492">
        <f t="shared" si="7"/>
        <v>0</v>
      </c>
      <c r="AG35" s="492">
        <f t="shared" si="8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39"/>
        <v>0</v>
      </c>
      <c r="AP35" s="493">
        <f t="shared" si="40"/>
        <v>0</v>
      </c>
      <c r="AQ35" s="495">
        <f t="shared" si="9"/>
        <v>0</v>
      </c>
      <c r="AR35" s="502">
        <f t="shared" si="10"/>
        <v>715571</v>
      </c>
      <c r="AS35" s="492">
        <f t="shared" si="11"/>
        <v>524667</v>
      </c>
      <c r="AT35" s="492">
        <f t="shared" si="41"/>
        <v>0</v>
      </c>
      <c r="AU35" s="492">
        <f>L35+AB35</f>
        <v>177337</v>
      </c>
      <c r="AV35" s="492">
        <f>M35+AC35</f>
        <v>10493</v>
      </c>
      <c r="AW35" s="492">
        <f t="shared" si="12"/>
        <v>3074</v>
      </c>
      <c r="AX35" s="493">
        <f t="shared" si="13"/>
        <v>1.65</v>
      </c>
      <c r="AY35" s="493">
        <f>P35+AO35</f>
        <v>0</v>
      </c>
      <c r="AZ35" s="495">
        <f>Q35+AP35</f>
        <v>1.65</v>
      </c>
    </row>
    <row r="36" spans="1:52" s="238" customFormat="1" ht="12.75" customHeight="1" x14ac:dyDescent="0.2">
      <c r="A36" s="164">
        <v>8</v>
      </c>
      <c r="B36" s="15">
        <v>3472</v>
      </c>
      <c r="C36" s="163">
        <v>691003564</v>
      </c>
      <c r="D36" s="163">
        <v>72550368</v>
      </c>
      <c r="E36" s="239" t="s">
        <v>23</v>
      </c>
      <c r="F36" s="15"/>
      <c r="G36" s="239"/>
      <c r="H36" s="277"/>
      <c r="I36" s="496">
        <v>5381825</v>
      </c>
      <c r="J36" s="496">
        <v>3923351</v>
      </c>
      <c r="K36" s="496">
        <v>19500</v>
      </c>
      <c r="L36" s="496">
        <v>1332683</v>
      </c>
      <c r="M36" s="496">
        <v>78467</v>
      </c>
      <c r="N36" s="496">
        <v>27824</v>
      </c>
      <c r="O36" s="456">
        <v>9.5342000000000002</v>
      </c>
      <c r="P36" s="456">
        <v>6</v>
      </c>
      <c r="Q36" s="456">
        <v>3.5342000000000002</v>
      </c>
      <c r="R36" s="542">
        <f t="shared" ref="R36:AZ36" si="42">SUM(R34:R35)</f>
        <v>0</v>
      </c>
      <c r="S36" s="496">
        <f t="shared" si="42"/>
        <v>0</v>
      </c>
      <c r="T36" s="496">
        <f t="shared" si="42"/>
        <v>0</v>
      </c>
      <c r="U36" s="496">
        <f t="shared" si="42"/>
        <v>0</v>
      </c>
      <c r="V36" s="496">
        <f t="shared" si="42"/>
        <v>0</v>
      </c>
      <c r="W36" s="496">
        <f t="shared" si="42"/>
        <v>0</v>
      </c>
      <c r="X36" s="496">
        <f t="shared" si="42"/>
        <v>0</v>
      </c>
      <c r="Y36" s="496">
        <f t="shared" si="42"/>
        <v>0</v>
      </c>
      <c r="Z36" s="496">
        <f t="shared" si="42"/>
        <v>0</v>
      </c>
      <c r="AA36" s="496">
        <f t="shared" si="42"/>
        <v>0</v>
      </c>
      <c r="AB36" s="496">
        <f t="shared" si="42"/>
        <v>0</v>
      </c>
      <c r="AC36" s="496">
        <f t="shared" si="42"/>
        <v>0</v>
      </c>
      <c r="AD36" s="496">
        <f t="shared" si="42"/>
        <v>0</v>
      </c>
      <c r="AE36" s="496">
        <f t="shared" si="42"/>
        <v>0</v>
      </c>
      <c r="AF36" s="496">
        <f t="shared" si="42"/>
        <v>0</v>
      </c>
      <c r="AG36" s="496">
        <f t="shared" si="42"/>
        <v>0</v>
      </c>
      <c r="AH36" s="456">
        <f t="shared" si="42"/>
        <v>0</v>
      </c>
      <c r="AI36" s="456">
        <f t="shared" si="42"/>
        <v>0</v>
      </c>
      <c r="AJ36" s="456">
        <f t="shared" si="42"/>
        <v>0</v>
      </c>
      <c r="AK36" s="456">
        <f t="shared" si="42"/>
        <v>0</v>
      </c>
      <c r="AL36" s="456">
        <f t="shared" si="42"/>
        <v>0</v>
      </c>
      <c r="AM36" s="456">
        <f t="shared" si="42"/>
        <v>0</v>
      </c>
      <c r="AN36" s="456">
        <f t="shared" si="42"/>
        <v>0</v>
      </c>
      <c r="AO36" s="456">
        <f t="shared" si="42"/>
        <v>0</v>
      </c>
      <c r="AP36" s="456">
        <f t="shared" si="42"/>
        <v>0</v>
      </c>
      <c r="AQ36" s="543">
        <f t="shared" si="42"/>
        <v>0</v>
      </c>
      <c r="AR36" s="542">
        <f t="shared" si="42"/>
        <v>5381825</v>
      </c>
      <c r="AS36" s="496">
        <f t="shared" si="42"/>
        <v>3923351</v>
      </c>
      <c r="AT36" s="496">
        <f t="shared" si="42"/>
        <v>19500</v>
      </c>
      <c r="AU36" s="496">
        <f t="shared" si="42"/>
        <v>1332683</v>
      </c>
      <c r="AV36" s="496">
        <f t="shared" si="42"/>
        <v>78467</v>
      </c>
      <c r="AW36" s="496">
        <f t="shared" si="42"/>
        <v>27824</v>
      </c>
      <c r="AX36" s="456">
        <f t="shared" si="42"/>
        <v>9.5342000000000002</v>
      </c>
      <c r="AY36" s="456">
        <f t="shared" si="42"/>
        <v>6</v>
      </c>
      <c r="AZ36" s="543">
        <f t="shared" si="42"/>
        <v>3.5342000000000002</v>
      </c>
    </row>
    <row r="37" spans="1:52" s="238" customFormat="1" ht="12.75" customHeight="1" x14ac:dyDescent="0.2">
      <c r="A37" s="240">
        <v>9</v>
      </c>
      <c r="B37" s="241">
        <v>3467</v>
      </c>
      <c r="C37" s="241">
        <v>691001243</v>
      </c>
      <c r="D37" s="241">
        <v>72048174</v>
      </c>
      <c r="E37" s="242" t="s">
        <v>24</v>
      </c>
      <c r="F37" s="241">
        <v>3111</v>
      </c>
      <c r="G37" s="242" t="s">
        <v>312</v>
      </c>
      <c r="H37" s="278" t="s">
        <v>278</v>
      </c>
      <c r="I37" s="489">
        <v>8722811</v>
      </c>
      <c r="J37" s="489">
        <v>6369491</v>
      </c>
      <c r="K37" s="489">
        <v>16250</v>
      </c>
      <c r="L37" s="489">
        <v>2158380</v>
      </c>
      <c r="M37" s="489">
        <v>127390</v>
      </c>
      <c r="N37" s="489">
        <v>51300</v>
      </c>
      <c r="O37" s="490">
        <v>14.5167</v>
      </c>
      <c r="P37" s="491">
        <v>10.564500000000001</v>
      </c>
      <c r="Q37" s="500">
        <v>3.9521999999999995</v>
      </c>
      <c r="R37" s="502">
        <f t="shared" si="1"/>
        <v>0</v>
      </c>
      <c r="S37" s="492">
        <v>0</v>
      </c>
      <c r="T37" s="492">
        <v>0</v>
      </c>
      <c r="U37" s="492">
        <v>0</v>
      </c>
      <c r="V37" s="492">
        <f t="shared" si="2"/>
        <v>0</v>
      </c>
      <c r="W37" s="492">
        <v>0</v>
      </c>
      <c r="X37" s="492">
        <v>0</v>
      </c>
      <c r="Y37" s="492">
        <v>0</v>
      </c>
      <c r="Z37" s="492">
        <f t="shared" si="3"/>
        <v>0</v>
      </c>
      <c r="AA37" s="492">
        <f t="shared" si="4"/>
        <v>0</v>
      </c>
      <c r="AB37" s="74">
        <f t="shared" si="5"/>
        <v>0</v>
      </c>
      <c r="AC37" s="74">
        <f t="shared" si="6"/>
        <v>0</v>
      </c>
      <c r="AD37" s="492">
        <v>0</v>
      </c>
      <c r="AE37" s="492">
        <v>0</v>
      </c>
      <c r="AF37" s="492">
        <f t="shared" si="7"/>
        <v>0</v>
      </c>
      <c r="AG37" s="492">
        <f t="shared" si="8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ref="AO37:AO39" si="43">AH37+AJ37+AM37+AK37</f>
        <v>0</v>
      </c>
      <c r="AP37" s="493">
        <f t="shared" ref="AP37:AP39" si="44">AI37+AN37+AL37</f>
        <v>0</v>
      </c>
      <c r="AQ37" s="495">
        <f t="shared" si="9"/>
        <v>0</v>
      </c>
      <c r="AR37" s="502">
        <f t="shared" si="10"/>
        <v>8722811</v>
      </c>
      <c r="AS37" s="492">
        <f t="shared" si="11"/>
        <v>6369491</v>
      </c>
      <c r="AT37" s="492">
        <f t="shared" ref="AT37:AT39" si="45">K37+Z37</f>
        <v>16250</v>
      </c>
      <c r="AU37" s="492">
        <f t="shared" ref="AU37:AV39" si="46">L37+AB37</f>
        <v>2158380</v>
      </c>
      <c r="AV37" s="492">
        <f t="shared" si="46"/>
        <v>127390</v>
      </c>
      <c r="AW37" s="492">
        <f t="shared" si="12"/>
        <v>51300</v>
      </c>
      <c r="AX37" s="493">
        <f t="shared" si="13"/>
        <v>14.5167</v>
      </c>
      <c r="AY37" s="493">
        <f t="shared" ref="AY37:AZ39" si="47">P37+AO37</f>
        <v>10.564500000000001</v>
      </c>
      <c r="AZ37" s="495">
        <f t="shared" si="47"/>
        <v>3.9521999999999995</v>
      </c>
    </row>
    <row r="38" spans="1:52" s="238" customFormat="1" x14ac:dyDescent="0.2">
      <c r="A38" s="240">
        <v>9</v>
      </c>
      <c r="B38" s="241">
        <v>3467</v>
      </c>
      <c r="C38" s="241">
        <v>691001243</v>
      </c>
      <c r="D38" s="241">
        <v>72048174</v>
      </c>
      <c r="E38" s="242" t="s">
        <v>24</v>
      </c>
      <c r="F38" s="241">
        <v>3111</v>
      </c>
      <c r="G38" s="242" t="s">
        <v>313</v>
      </c>
      <c r="H38" s="278" t="s">
        <v>279</v>
      </c>
      <c r="I38" s="489">
        <v>352854</v>
      </c>
      <c r="J38" s="489">
        <v>259833</v>
      </c>
      <c r="K38" s="489">
        <v>0</v>
      </c>
      <c r="L38" s="489">
        <v>87824</v>
      </c>
      <c r="M38" s="489">
        <v>5197</v>
      </c>
      <c r="N38" s="489">
        <v>0</v>
      </c>
      <c r="O38" s="490">
        <v>0.75</v>
      </c>
      <c r="P38" s="491">
        <v>0.75</v>
      </c>
      <c r="Q38" s="500">
        <v>0</v>
      </c>
      <c r="R38" s="502">
        <f t="shared" si="1"/>
        <v>0</v>
      </c>
      <c r="S38" s="492">
        <v>0</v>
      </c>
      <c r="T38" s="492">
        <v>0</v>
      </c>
      <c r="U38" s="492">
        <v>0</v>
      </c>
      <c r="V38" s="492">
        <f t="shared" si="2"/>
        <v>0</v>
      </c>
      <c r="W38" s="492">
        <v>0</v>
      </c>
      <c r="X38" s="492">
        <v>0</v>
      </c>
      <c r="Y38" s="492">
        <v>0</v>
      </c>
      <c r="Z38" s="492">
        <f t="shared" si="3"/>
        <v>0</v>
      </c>
      <c r="AA38" s="492">
        <f t="shared" si="4"/>
        <v>0</v>
      </c>
      <c r="AB38" s="74">
        <f t="shared" si="5"/>
        <v>0</v>
      </c>
      <c r="AC38" s="74">
        <f t="shared" si="6"/>
        <v>0</v>
      </c>
      <c r="AD38" s="492">
        <v>0</v>
      </c>
      <c r="AE38" s="492">
        <v>0</v>
      </c>
      <c r="AF38" s="492">
        <f t="shared" si="7"/>
        <v>0</v>
      </c>
      <c r="AG38" s="492">
        <f t="shared" si="8"/>
        <v>0</v>
      </c>
      <c r="AH38" s="493">
        <v>0</v>
      </c>
      <c r="AI38" s="493">
        <v>0</v>
      </c>
      <c r="AJ38" s="493">
        <v>0</v>
      </c>
      <c r="AK38" s="493">
        <v>0</v>
      </c>
      <c r="AL38" s="493">
        <v>0</v>
      </c>
      <c r="AM38" s="493">
        <v>0</v>
      </c>
      <c r="AN38" s="493">
        <v>0</v>
      </c>
      <c r="AO38" s="493">
        <f t="shared" si="43"/>
        <v>0</v>
      </c>
      <c r="AP38" s="493">
        <f t="shared" si="44"/>
        <v>0</v>
      </c>
      <c r="AQ38" s="495">
        <f t="shared" si="9"/>
        <v>0</v>
      </c>
      <c r="AR38" s="502">
        <f t="shared" si="10"/>
        <v>352854</v>
      </c>
      <c r="AS38" s="492">
        <f t="shared" si="11"/>
        <v>259833</v>
      </c>
      <c r="AT38" s="492">
        <f t="shared" si="45"/>
        <v>0</v>
      </c>
      <c r="AU38" s="492">
        <f t="shared" si="46"/>
        <v>87824</v>
      </c>
      <c r="AV38" s="492">
        <f t="shared" si="46"/>
        <v>5197</v>
      </c>
      <c r="AW38" s="492">
        <f t="shared" si="12"/>
        <v>0</v>
      </c>
      <c r="AX38" s="493">
        <f t="shared" si="13"/>
        <v>0.75</v>
      </c>
      <c r="AY38" s="493">
        <f t="shared" si="47"/>
        <v>0.75</v>
      </c>
      <c r="AZ38" s="495">
        <f t="shared" si="47"/>
        <v>0</v>
      </c>
    </row>
    <row r="39" spans="1:52" s="238" customFormat="1" ht="12.75" customHeight="1" x14ac:dyDescent="0.2">
      <c r="A39" s="240">
        <v>9</v>
      </c>
      <c r="B39" s="241">
        <v>3467</v>
      </c>
      <c r="C39" s="241">
        <v>691001243</v>
      </c>
      <c r="D39" s="241">
        <v>72048174</v>
      </c>
      <c r="E39" s="242" t="s">
        <v>24</v>
      </c>
      <c r="F39" s="241">
        <v>3141</v>
      </c>
      <c r="G39" s="242" t="s">
        <v>316</v>
      </c>
      <c r="H39" s="278" t="s">
        <v>279</v>
      </c>
      <c r="I39" s="489">
        <v>1420609</v>
      </c>
      <c r="J39" s="489">
        <v>1040943</v>
      </c>
      <c r="K39" s="489">
        <v>0</v>
      </c>
      <c r="L39" s="489">
        <v>351839</v>
      </c>
      <c r="M39" s="489">
        <v>20819</v>
      </c>
      <c r="N39" s="489">
        <v>7008</v>
      </c>
      <c r="O39" s="490">
        <v>3.28</v>
      </c>
      <c r="P39" s="491">
        <v>0</v>
      </c>
      <c r="Q39" s="500">
        <v>3.28</v>
      </c>
      <c r="R39" s="502">
        <f t="shared" si="1"/>
        <v>0</v>
      </c>
      <c r="S39" s="492">
        <v>0</v>
      </c>
      <c r="T39" s="492">
        <v>0</v>
      </c>
      <c r="U39" s="492">
        <v>0</v>
      </c>
      <c r="V39" s="492">
        <f t="shared" si="2"/>
        <v>0</v>
      </c>
      <c r="W39" s="492">
        <v>0</v>
      </c>
      <c r="X39" s="492">
        <v>0</v>
      </c>
      <c r="Y39" s="492">
        <v>0</v>
      </c>
      <c r="Z39" s="492">
        <f t="shared" si="3"/>
        <v>0</v>
      </c>
      <c r="AA39" s="492">
        <f t="shared" si="4"/>
        <v>0</v>
      </c>
      <c r="AB39" s="74">
        <f t="shared" si="5"/>
        <v>0</v>
      </c>
      <c r="AC39" s="74">
        <f t="shared" si="6"/>
        <v>0</v>
      </c>
      <c r="AD39" s="492">
        <v>0</v>
      </c>
      <c r="AE39" s="492">
        <v>0</v>
      </c>
      <c r="AF39" s="492">
        <f t="shared" si="7"/>
        <v>0</v>
      </c>
      <c r="AG39" s="492">
        <f t="shared" si="8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si="43"/>
        <v>0</v>
      </c>
      <c r="AP39" s="493">
        <f t="shared" si="44"/>
        <v>0</v>
      </c>
      <c r="AQ39" s="495">
        <f t="shared" si="9"/>
        <v>0</v>
      </c>
      <c r="AR39" s="502">
        <f t="shared" si="10"/>
        <v>1420609</v>
      </c>
      <c r="AS39" s="492">
        <f t="shared" si="11"/>
        <v>1040943</v>
      </c>
      <c r="AT39" s="492">
        <f t="shared" si="45"/>
        <v>0</v>
      </c>
      <c r="AU39" s="492">
        <f t="shared" si="46"/>
        <v>351839</v>
      </c>
      <c r="AV39" s="492">
        <f t="shared" si="46"/>
        <v>20819</v>
      </c>
      <c r="AW39" s="492">
        <f t="shared" si="12"/>
        <v>7008</v>
      </c>
      <c r="AX39" s="493">
        <f t="shared" si="13"/>
        <v>3.28</v>
      </c>
      <c r="AY39" s="493">
        <f t="shared" si="47"/>
        <v>0</v>
      </c>
      <c r="AZ39" s="495">
        <f t="shared" si="47"/>
        <v>3.28</v>
      </c>
    </row>
    <row r="40" spans="1:52" s="238" customFormat="1" ht="12.75" customHeight="1" x14ac:dyDescent="0.2">
      <c r="A40" s="164">
        <v>9</v>
      </c>
      <c r="B40" s="15">
        <v>3467</v>
      </c>
      <c r="C40" s="163">
        <v>691001243</v>
      </c>
      <c r="D40" s="163">
        <v>72048174</v>
      </c>
      <c r="E40" s="239" t="s">
        <v>25</v>
      </c>
      <c r="F40" s="15"/>
      <c r="G40" s="239"/>
      <c r="H40" s="277"/>
      <c r="I40" s="496">
        <v>10496274</v>
      </c>
      <c r="J40" s="496">
        <v>7670267</v>
      </c>
      <c r="K40" s="496">
        <v>16250</v>
      </c>
      <c r="L40" s="496">
        <v>2598043</v>
      </c>
      <c r="M40" s="496">
        <v>153406</v>
      </c>
      <c r="N40" s="496">
        <v>58308</v>
      </c>
      <c r="O40" s="456">
        <v>18.546700000000001</v>
      </c>
      <c r="P40" s="456">
        <v>11.314500000000001</v>
      </c>
      <c r="Q40" s="456">
        <v>7.2321999999999989</v>
      </c>
      <c r="R40" s="542">
        <f t="shared" ref="R40:AZ40" si="48">SUM(R37:R39)</f>
        <v>0</v>
      </c>
      <c r="S40" s="496">
        <f t="shared" si="48"/>
        <v>0</v>
      </c>
      <c r="T40" s="496">
        <f t="shared" si="48"/>
        <v>0</v>
      </c>
      <c r="U40" s="496">
        <f t="shared" si="48"/>
        <v>0</v>
      </c>
      <c r="V40" s="496">
        <f t="shared" si="48"/>
        <v>0</v>
      </c>
      <c r="W40" s="496">
        <f t="shared" si="48"/>
        <v>0</v>
      </c>
      <c r="X40" s="496">
        <f t="shared" si="48"/>
        <v>0</v>
      </c>
      <c r="Y40" s="496">
        <f t="shared" si="48"/>
        <v>0</v>
      </c>
      <c r="Z40" s="496">
        <f t="shared" si="48"/>
        <v>0</v>
      </c>
      <c r="AA40" s="496">
        <f t="shared" si="48"/>
        <v>0</v>
      </c>
      <c r="AB40" s="496">
        <f t="shared" si="48"/>
        <v>0</v>
      </c>
      <c r="AC40" s="496">
        <f t="shared" si="48"/>
        <v>0</v>
      </c>
      <c r="AD40" s="496">
        <f t="shared" si="48"/>
        <v>0</v>
      </c>
      <c r="AE40" s="496">
        <f t="shared" si="48"/>
        <v>0</v>
      </c>
      <c r="AF40" s="496">
        <f t="shared" si="48"/>
        <v>0</v>
      </c>
      <c r="AG40" s="496">
        <f t="shared" si="48"/>
        <v>0</v>
      </c>
      <c r="AH40" s="456">
        <f t="shared" si="48"/>
        <v>0</v>
      </c>
      <c r="AI40" s="456">
        <f t="shared" si="48"/>
        <v>0</v>
      </c>
      <c r="AJ40" s="456">
        <f t="shared" si="48"/>
        <v>0</v>
      </c>
      <c r="AK40" s="456">
        <f t="shared" si="48"/>
        <v>0</v>
      </c>
      <c r="AL40" s="456">
        <f t="shared" si="48"/>
        <v>0</v>
      </c>
      <c r="AM40" s="456">
        <f t="shared" si="48"/>
        <v>0</v>
      </c>
      <c r="AN40" s="456">
        <f t="shared" si="48"/>
        <v>0</v>
      </c>
      <c r="AO40" s="456">
        <f t="shared" si="48"/>
        <v>0</v>
      </c>
      <c r="AP40" s="456">
        <f t="shared" si="48"/>
        <v>0</v>
      </c>
      <c r="AQ40" s="543">
        <f t="shared" si="48"/>
        <v>0</v>
      </c>
      <c r="AR40" s="542">
        <f t="shared" si="48"/>
        <v>10496274</v>
      </c>
      <c r="AS40" s="496">
        <f t="shared" si="48"/>
        <v>7670267</v>
      </c>
      <c r="AT40" s="496">
        <f t="shared" si="48"/>
        <v>16250</v>
      </c>
      <c r="AU40" s="496">
        <f t="shared" si="48"/>
        <v>2598043</v>
      </c>
      <c r="AV40" s="496">
        <f t="shared" si="48"/>
        <v>153406</v>
      </c>
      <c r="AW40" s="496">
        <f t="shared" si="48"/>
        <v>58308</v>
      </c>
      <c r="AX40" s="456">
        <f t="shared" si="48"/>
        <v>18.546700000000001</v>
      </c>
      <c r="AY40" s="456">
        <f t="shared" si="48"/>
        <v>11.314500000000001</v>
      </c>
      <c r="AZ40" s="543">
        <f t="shared" si="48"/>
        <v>7.2321999999999989</v>
      </c>
    </row>
    <row r="41" spans="1:52" s="238" customFormat="1" ht="12.75" customHeight="1" x14ac:dyDescent="0.2">
      <c r="A41" s="240">
        <v>10</v>
      </c>
      <c r="B41" s="241">
        <v>3461</v>
      </c>
      <c r="C41" s="241">
        <v>691001286</v>
      </c>
      <c r="D41" s="241">
        <v>72048107</v>
      </c>
      <c r="E41" s="242" t="s">
        <v>26</v>
      </c>
      <c r="F41" s="241">
        <v>3111</v>
      </c>
      <c r="G41" s="242" t="s">
        <v>312</v>
      </c>
      <c r="H41" s="278" t="s">
        <v>278</v>
      </c>
      <c r="I41" s="489">
        <v>8650805</v>
      </c>
      <c r="J41" s="489">
        <v>6301999</v>
      </c>
      <c r="K41" s="489">
        <v>34970</v>
      </c>
      <c r="L41" s="489">
        <v>2141896</v>
      </c>
      <c r="M41" s="489">
        <v>126040</v>
      </c>
      <c r="N41" s="489">
        <v>45900</v>
      </c>
      <c r="O41" s="490">
        <v>14.312200000000001</v>
      </c>
      <c r="P41" s="491">
        <v>10.7</v>
      </c>
      <c r="Q41" s="500">
        <v>3.6122000000000014</v>
      </c>
      <c r="R41" s="502">
        <f t="shared" si="1"/>
        <v>0</v>
      </c>
      <c r="S41" s="492">
        <v>0</v>
      </c>
      <c r="T41" s="492">
        <v>0</v>
      </c>
      <c r="U41" s="492">
        <v>0</v>
      </c>
      <c r="V41" s="492">
        <f t="shared" si="2"/>
        <v>0</v>
      </c>
      <c r="W41" s="492">
        <v>0</v>
      </c>
      <c r="X41" s="492">
        <v>0</v>
      </c>
      <c r="Y41" s="492">
        <v>0</v>
      </c>
      <c r="Z41" s="492">
        <f t="shared" si="3"/>
        <v>0</v>
      </c>
      <c r="AA41" s="492">
        <f t="shared" si="4"/>
        <v>0</v>
      </c>
      <c r="AB41" s="74">
        <f t="shared" si="5"/>
        <v>0</v>
      </c>
      <c r="AC41" s="74">
        <f t="shared" si="6"/>
        <v>0</v>
      </c>
      <c r="AD41" s="492">
        <v>0</v>
      </c>
      <c r="AE41" s="492">
        <v>0</v>
      </c>
      <c r="AF41" s="492">
        <f t="shared" si="7"/>
        <v>0</v>
      </c>
      <c r="AG41" s="492">
        <f t="shared" si="8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ref="AO41:AO43" si="49">AH41+AJ41+AM41+AK41</f>
        <v>0</v>
      </c>
      <c r="AP41" s="493">
        <f t="shared" ref="AP41:AP43" si="50">AI41+AN41+AL41</f>
        <v>0</v>
      </c>
      <c r="AQ41" s="495">
        <f t="shared" si="9"/>
        <v>0</v>
      </c>
      <c r="AR41" s="502">
        <f t="shared" si="10"/>
        <v>8650805</v>
      </c>
      <c r="AS41" s="492">
        <f t="shared" si="11"/>
        <v>6301999</v>
      </c>
      <c r="AT41" s="492">
        <f t="shared" ref="AT41:AT43" si="51">K41+Z41</f>
        <v>34970</v>
      </c>
      <c r="AU41" s="492">
        <f t="shared" ref="AU41:AV43" si="52">L41+AB41</f>
        <v>2141896</v>
      </c>
      <c r="AV41" s="492">
        <f t="shared" si="52"/>
        <v>126040</v>
      </c>
      <c r="AW41" s="492">
        <f t="shared" si="12"/>
        <v>45900</v>
      </c>
      <c r="AX41" s="493">
        <f t="shared" si="13"/>
        <v>14.312200000000001</v>
      </c>
      <c r="AY41" s="493">
        <f t="shared" ref="AY41:AZ43" si="53">P41+AO41</f>
        <v>10.7</v>
      </c>
      <c r="AZ41" s="495">
        <f t="shared" si="53"/>
        <v>3.6122000000000014</v>
      </c>
    </row>
    <row r="42" spans="1:52" s="238" customFormat="1" x14ac:dyDescent="0.2">
      <c r="A42" s="240">
        <v>10</v>
      </c>
      <c r="B42" s="241">
        <v>3461</v>
      </c>
      <c r="C42" s="241">
        <v>691001286</v>
      </c>
      <c r="D42" s="241">
        <v>72048107</v>
      </c>
      <c r="E42" s="242" t="s">
        <v>26</v>
      </c>
      <c r="F42" s="241">
        <v>3111</v>
      </c>
      <c r="G42" s="242" t="s">
        <v>313</v>
      </c>
      <c r="H42" s="278" t="s">
        <v>279</v>
      </c>
      <c r="I42" s="489">
        <v>344991</v>
      </c>
      <c r="J42" s="489">
        <v>254043</v>
      </c>
      <c r="K42" s="489">
        <v>0</v>
      </c>
      <c r="L42" s="489">
        <v>85867</v>
      </c>
      <c r="M42" s="489">
        <v>5081</v>
      </c>
      <c r="N42" s="489">
        <v>0</v>
      </c>
      <c r="O42" s="490">
        <v>1</v>
      </c>
      <c r="P42" s="491">
        <v>1</v>
      </c>
      <c r="Q42" s="500">
        <v>0</v>
      </c>
      <c r="R42" s="502">
        <f t="shared" si="1"/>
        <v>0</v>
      </c>
      <c r="S42" s="492">
        <v>0</v>
      </c>
      <c r="T42" s="492">
        <v>0</v>
      </c>
      <c r="U42" s="492">
        <v>0</v>
      </c>
      <c r="V42" s="492">
        <f t="shared" si="2"/>
        <v>0</v>
      </c>
      <c r="W42" s="492">
        <v>0</v>
      </c>
      <c r="X42" s="492">
        <v>0</v>
      </c>
      <c r="Y42" s="492">
        <v>0</v>
      </c>
      <c r="Z42" s="492">
        <f t="shared" si="3"/>
        <v>0</v>
      </c>
      <c r="AA42" s="492">
        <f t="shared" si="4"/>
        <v>0</v>
      </c>
      <c r="AB42" s="74">
        <f t="shared" si="5"/>
        <v>0</v>
      </c>
      <c r="AC42" s="74">
        <f t="shared" si="6"/>
        <v>0</v>
      </c>
      <c r="AD42" s="492">
        <v>0</v>
      </c>
      <c r="AE42" s="492">
        <v>0</v>
      </c>
      <c r="AF42" s="492">
        <f t="shared" si="7"/>
        <v>0</v>
      </c>
      <c r="AG42" s="492">
        <f t="shared" si="8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 t="shared" si="49"/>
        <v>0</v>
      </c>
      <c r="AP42" s="493">
        <f t="shared" si="50"/>
        <v>0</v>
      </c>
      <c r="AQ42" s="495">
        <f t="shared" si="9"/>
        <v>0</v>
      </c>
      <c r="AR42" s="502">
        <f t="shared" si="10"/>
        <v>344991</v>
      </c>
      <c r="AS42" s="492">
        <f t="shared" si="11"/>
        <v>254043</v>
      </c>
      <c r="AT42" s="492">
        <f t="shared" si="51"/>
        <v>0</v>
      </c>
      <c r="AU42" s="492">
        <f t="shared" si="52"/>
        <v>85867</v>
      </c>
      <c r="AV42" s="492">
        <f t="shared" si="52"/>
        <v>5081</v>
      </c>
      <c r="AW42" s="492">
        <f t="shared" si="12"/>
        <v>0</v>
      </c>
      <c r="AX42" s="493">
        <f t="shared" si="13"/>
        <v>1</v>
      </c>
      <c r="AY42" s="493">
        <f t="shared" si="53"/>
        <v>1</v>
      </c>
      <c r="AZ42" s="495">
        <f t="shared" si="53"/>
        <v>0</v>
      </c>
    </row>
    <row r="43" spans="1:52" s="238" customFormat="1" ht="12.75" customHeight="1" x14ac:dyDescent="0.2">
      <c r="A43" s="240">
        <v>10</v>
      </c>
      <c r="B43" s="241">
        <v>3461</v>
      </c>
      <c r="C43" s="241">
        <v>691001286</v>
      </c>
      <c r="D43" s="241">
        <v>72048107</v>
      </c>
      <c r="E43" s="242" t="s">
        <v>26</v>
      </c>
      <c r="F43" s="241">
        <v>3141</v>
      </c>
      <c r="G43" s="242" t="s">
        <v>316</v>
      </c>
      <c r="H43" s="278" t="s">
        <v>279</v>
      </c>
      <c r="I43" s="489">
        <v>1359622</v>
      </c>
      <c r="J43" s="489">
        <v>996924</v>
      </c>
      <c r="K43" s="489">
        <v>0</v>
      </c>
      <c r="L43" s="489">
        <v>336960</v>
      </c>
      <c r="M43" s="489">
        <v>19938</v>
      </c>
      <c r="N43" s="489">
        <v>5800</v>
      </c>
      <c r="O43" s="490">
        <v>3.14</v>
      </c>
      <c r="P43" s="491">
        <v>0</v>
      </c>
      <c r="Q43" s="500">
        <v>3.14</v>
      </c>
      <c r="R43" s="502">
        <f t="shared" si="1"/>
        <v>0</v>
      </c>
      <c r="S43" s="492">
        <v>0</v>
      </c>
      <c r="T43" s="492">
        <v>0</v>
      </c>
      <c r="U43" s="492">
        <v>0</v>
      </c>
      <c r="V43" s="492">
        <f t="shared" si="2"/>
        <v>0</v>
      </c>
      <c r="W43" s="492">
        <v>0</v>
      </c>
      <c r="X43" s="492">
        <v>0</v>
      </c>
      <c r="Y43" s="492">
        <v>0</v>
      </c>
      <c r="Z43" s="492">
        <f t="shared" si="3"/>
        <v>0</v>
      </c>
      <c r="AA43" s="492">
        <f t="shared" si="4"/>
        <v>0</v>
      </c>
      <c r="AB43" s="74">
        <f t="shared" si="5"/>
        <v>0</v>
      </c>
      <c r="AC43" s="74">
        <f t="shared" si="6"/>
        <v>0</v>
      </c>
      <c r="AD43" s="492">
        <v>0</v>
      </c>
      <c r="AE43" s="492">
        <v>0</v>
      </c>
      <c r="AF43" s="492">
        <f t="shared" si="7"/>
        <v>0</v>
      </c>
      <c r="AG43" s="492">
        <f t="shared" si="8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49"/>
        <v>0</v>
      </c>
      <c r="AP43" s="493">
        <f t="shared" si="50"/>
        <v>0</v>
      </c>
      <c r="AQ43" s="495">
        <f t="shared" si="9"/>
        <v>0</v>
      </c>
      <c r="AR43" s="502">
        <f t="shared" si="10"/>
        <v>1359622</v>
      </c>
      <c r="AS43" s="492">
        <f t="shared" si="11"/>
        <v>996924</v>
      </c>
      <c r="AT43" s="492">
        <f t="shared" si="51"/>
        <v>0</v>
      </c>
      <c r="AU43" s="492">
        <f t="shared" si="52"/>
        <v>336960</v>
      </c>
      <c r="AV43" s="492">
        <f t="shared" si="52"/>
        <v>19938</v>
      </c>
      <c r="AW43" s="492">
        <f t="shared" si="12"/>
        <v>5800</v>
      </c>
      <c r="AX43" s="493">
        <f t="shared" si="13"/>
        <v>3.14</v>
      </c>
      <c r="AY43" s="493">
        <f t="shared" si="53"/>
        <v>0</v>
      </c>
      <c r="AZ43" s="495">
        <f t="shared" si="53"/>
        <v>3.14</v>
      </c>
    </row>
    <row r="44" spans="1:52" s="238" customFormat="1" ht="12.75" customHeight="1" x14ac:dyDescent="0.2">
      <c r="A44" s="164">
        <v>10</v>
      </c>
      <c r="B44" s="15">
        <v>3461</v>
      </c>
      <c r="C44" s="163">
        <v>691001286</v>
      </c>
      <c r="D44" s="163">
        <v>72048107</v>
      </c>
      <c r="E44" s="239" t="s">
        <v>27</v>
      </c>
      <c r="F44" s="15"/>
      <c r="G44" s="239"/>
      <c r="H44" s="277"/>
      <c r="I44" s="496">
        <v>10355418</v>
      </c>
      <c r="J44" s="496">
        <v>7552966</v>
      </c>
      <c r="K44" s="496">
        <v>34970</v>
      </c>
      <c r="L44" s="496">
        <v>2564723</v>
      </c>
      <c r="M44" s="496">
        <v>151059</v>
      </c>
      <c r="N44" s="496">
        <v>51700</v>
      </c>
      <c r="O44" s="456">
        <v>18.452200000000001</v>
      </c>
      <c r="P44" s="456">
        <v>11.7</v>
      </c>
      <c r="Q44" s="456">
        <v>6.752200000000002</v>
      </c>
      <c r="R44" s="542">
        <f t="shared" ref="R44:AZ44" si="54">SUM(R41:R43)</f>
        <v>0</v>
      </c>
      <c r="S44" s="496">
        <f t="shared" si="54"/>
        <v>0</v>
      </c>
      <c r="T44" s="496">
        <f t="shared" si="54"/>
        <v>0</v>
      </c>
      <c r="U44" s="496">
        <f t="shared" si="54"/>
        <v>0</v>
      </c>
      <c r="V44" s="496">
        <f t="shared" si="54"/>
        <v>0</v>
      </c>
      <c r="W44" s="496">
        <f t="shared" si="54"/>
        <v>0</v>
      </c>
      <c r="X44" s="496">
        <f t="shared" si="54"/>
        <v>0</v>
      </c>
      <c r="Y44" s="496">
        <f t="shared" si="54"/>
        <v>0</v>
      </c>
      <c r="Z44" s="496">
        <f t="shared" si="54"/>
        <v>0</v>
      </c>
      <c r="AA44" s="496">
        <f t="shared" si="54"/>
        <v>0</v>
      </c>
      <c r="AB44" s="496">
        <f t="shared" si="54"/>
        <v>0</v>
      </c>
      <c r="AC44" s="496">
        <f t="shared" si="54"/>
        <v>0</v>
      </c>
      <c r="AD44" s="496">
        <f t="shared" si="54"/>
        <v>0</v>
      </c>
      <c r="AE44" s="496">
        <f t="shared" si="54"/>
        <v>0</v>
      </c>
      <c r="AF44" s="496">
        <f t="shared" si="54"/>
        <v>0</v>
      </c>
      <c r="AG44" s="496">
        <f t="shared" si="54"/>
        <v>0</v>
      </c>
      <c r="AH44" s="456">
        <f t="shared" si="54"/>
        <v>0</v>
      </c>
      <c r="AI44" s="456">
        <f t="shared" si="54"/>
        <v>0</v>
      </c>
      <c r="AJ44" s="456">
        <f t="shared" si="54"/>
        <v>0</v>
      </c>
      <c r="AK44" s="456">
        <f t="shared" si="54"/>
        <v>0</v>
      </c>
      <c r="AL44" s="456">
        <f t="shared" si="54"/>
        <v>0</v>
      </c>
      <c r="AM44" s="456">
        <f t="shared" si="54"/>
        <v>0</v>
      </c>
      <c r="AN44" s="456">
        <f t="shared" si="54"/>
        <v>0</v>
      </c>
      <c r="AO44" s="456">
        <f t="shared" si="54"/>
        <v>0</v>
      </c>
      <c r="AP44" s="456">
        <f t="shared" si="54"/>
        <v>0</v>
      </c>
      <c r="AQ44" s="543">
        <f t="shared" si="54"/>
        <v>0</v>
      </c>
      <c r="AR44" s="542">
        <f t="shared" si="54"/>
        <v>10355418</v>
      </c>
      <c r="AS44" s="496">
        <f t="shared" si="54"/>
        <v>7552966</v>
      </c>
      <c r="AT44" s="496">
        <f t="shared" si="54"/>
        <v>34970</v>
      </c>
      <c r="AU44" s="496">
        <f t="shared" si="54"/>
        <v>2564723</v>
      </c>
      <c r="AV44" s="496">
        <f t="shared" si="54"/>
        <v>151059</v>
      </c>
      <c r="AW44" s="496">
        <f t="shared" si="54"/>
        <v>51700</v>
      </c>
      <c r="AX44" s="456">
        <f t="shared" si="54"/>
        <v>18.452200000000001</v>
      </c>
      <c r="AY44" s="456">
        <f t="shared" si="54"/>
        <v>11.7</v>
      </c>
      <c r="AZ44" s="543">
        <f t="shared" si="54"/>
        <v>6.752200000000002</v>
      </c>
    </row>
    <row r="45" spans="1:52" s="238" customFormat="1" ht="12.75" customHeight="1" x14ac:dyDescent="0.2">
      <c r="A45" s="240">
        <v>11</v>
      </c>
      <c r="B45" s="241">
        <v>3468</v>
      </c>
      <c r="C45" s="241">
        <v>691000891</v>
      </c>
      <c r="D45" s="241">
        <v>72048069</v>
      </c>
      <c r="E45" s="242" t="s">
        <v>28</v>
      </c>
      <c r="F45" s="241">
        <v>3111</v>
      </c>
      <c r="G45" s="242" t="s">
        <v>312</v>
      </c>
      <c r="H45" s="278" t="s">
        <v>278</v>
      </c>
      <c r="I45" s="489">
        <v>9288619</v>
      </c>
      <c r="J45" s="489">
        <v>6739432</v>
      </c>
      <c r="K45" s="489">
        <v>65000</v>
      </c>
      <c r="L45" s="489">
        <v>2299898</v>
      </c>
      <c r="M45" s="489">
        <v>134789</v>
      </c>
      <c r="N45" s="489">
        <v>49500</v>
      </c>
      <c r="O45" s="490">
        <v>15.704500000000001</v>
      </c>
      <c r="P45" s="491">
        <v>11.5</v>
      </c>
      <c r="Q45" s="500">
        <v>4.2045000000000012</v>
      </c>
      <c r="R45" s="502">
        <f t="shared" si="1"/>
        <v>0</v>
      </c>
      <c r="S45" s="492">
        <v>0</v>
      </c>
      <c r="T45" s="492">
        <v>0</v>
      </c>
      <c r="U45" s="492">
        <v>0</v>
      </c>
      <c r="V45" s="492">
        <f t="shared" si="2"/>
        <v>0</v>
      </c>
      <c r="W45" s="492">
        <v>0</v>
      </c>
      <c r="X45" s="492">
        <v>0</v>
      </c>
      <c r="Y45" s="492">
        <v>0</v>
      </c>
      <c r="Z45" s="492">
        <f t="shared" si="3"/>
        <v>0</v>
      </c>
      <c r="AA45" s="492">
        <f t="shared" si="4"/>
        <v>0</v>
      </c>
      <c r="AB45" s="74">
        <f t="shared" si="5"/>
        <v>0</v>
      </c>
      <c r="AC45" s="74">
        <f t="shared" si="6"/>
        <v>0</v>
      </c>
      <c r="AD45" s="492">
        <v>0</v>
      </c>
      <c r="AE45" s="492">
        <v>0</v>
      </c>
      <c r="AF45" s="492">
        <f t="shared" si="7"/>
        <v>0</v>
      </c>
      <c r="AG45" s="492">
        <f t="shared" si="8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ref="AO45:AO47" si="55">AH45+AJ45+AM45+AK45</f>
        <v>0</v>
      </c>
      <c r="AP45" s="493">
        <f t="shared" ref="AP45:AP47" si="56">AI45+AN45+AL45</f>
        <v>0</v>
      </c>
      <c r="AQ45" s="495">
        <f t="shared" si="9"/>
        <v>0</v>
      </c>
      <c r="AR45" s="502">
        <f t="shared" si="10"/>
        <v>9288619</v>
      </c>
      <c r="AS45" s="492">
        <f t="shared" si="11"/>
        <v>6739432</v>
      </c>
      <c r="AT45" s="492">
        <f t="shared" ref="AT45:AT47" si="57">K45+Z45</f>
        <v>65000</v>
      </c>
      <c r="AU45" s="492">
        <f t="shared" ref="AU45:AV47" si="58">L45+AB45</f>
        <v>2299898</v>
      </c>
      <c r="AV45" s="492">
        <f t="shared" si="58"/>
        <v>134789</v>
      </c>
      <c r="AW45" s="492">
        <f t="shared" si="12"/>
        <v>49500</v>
      </c>
      <c r="AX45" s="493">
        <f t="shared" si="13"/>
        <v>15.704500000000001</v>
      </c>
      <c r="AY45" s="493">
        <f t="shared" ref="AY45:AZ47" si="59">P45+AO45</f>
        <v>11.5</v>
      </c>
      <c r="AZ45" s="495">
        <f t="shared" si="59"/>
        <v>4.2045000000000012</v>
      </c>
    </row>
    <row r="46" spans="1:52" s="238" customFormat="1" x14ac:dyDescent="0.2">
      <c r="A46" s="240">
        <v>11</v>
      </c>
      <c r="B46" s="241">
        <v>3468</v>
      </c>
      <c r="C46" s="241">
        <v>691000891</v>
      </c>
      <c r="D46" s="241">
        <v>72048069</v>
      </c>
      <c r="E46" s="242" t="s">
        <v>28</v>
      </c>
      <c r="F46" s="241">
        <v>3111</v>
      </c>
      <c r="G46" s="242" t="s">
        <v>313</v>
      </c>
      <c r="H46" s="278" t="s">
        <v>279</v>
      </c>
      <c r="I46" s="489">
        <v>628590</v>
      </c>
      <c r="J46" s="489">
        <v>462879</v>
      </c>
      <c r="K46" s="489">
        <v>0</v>
      </c>
      <c r="L46" s="489">
        <v>156453</v>
      </c>
      <c r="M46" s="489">
        <v>9258</v>
      </c>
      <c r="N46" s="489">
        <v>0</v>
      </c>
      <c r="O46" s="490">
        <v>1.46</v>
      </c>
      <c r="P46" s="491">
        <v>1.46</v>
      </c>
      <c r="Q46" s="500">
        <v>0</v>
      </c>
      <c r="R46" s="502">
        <f t="shared" si="1"/>
        <v>0</v>
      </c>
      <c r="S46" s="492">
        <v>0</v>
      </c>
      <c r="T46" s="492">
        <v>0</v>
      </c>
      <c r="U46" s="492">
        <v>0</v>
      </c>
      <c r="V46" s="492">
        <f t="shared" si="2"/>
        <v>0</v>
      </c>
      <c r="W46" s="492">
        <v>0</v>
      </c>
      <c r="X46" s="492">
        <v>0</v>
      </c>
      <c r="Y46" s="492">
        <v>0</v>
      </c>
      <c r="Z46" s="492">
        <f t="shared" si="3"/>
        <v>0</v>
      </c>
      <c r="AA46" s="492">
        <f t="shared" si="4"/>
        <v>0</v>
      </c>
      <c r="AB46" s="74">
        <f t="shared" si="5"/>
        <v>0</v>
      </c>
      <c r="AC46" s="74">
        <f t="shared" si="6"/>
        <v>0</v>
      </c>
      <c r="AD46" s="492">
        <v>0</v>
      </c>
      <c r="AE46" s="492">
        <v>0</v>
      </c>
      <c r="AF46" s="492">
        <f t="shared" si="7"/>
        <v>0</v>
      </c>
      <c r="AG46" s="492">
        <f t="shared" si="8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55"/>
        <v>0</v>
      </c>
      <c r="AP46" s="493">
        <f t="shared" si="56"/>
        <v>0</v>
      </c>
      <c r="AQ46" s="495">
        <f t="shared" si="9"/>
        <v>0</v>
      </c>
      <c r="AR46" s="502">
        <f t="shared" si="10"/>
        <v>628590</v>
      </c>
      <c r="AS46" s="492">
        <f t="shared" si="11"/>
        <v>462879</v>
      </c>
      <c r="AT46" s="492">
        <f t="shared" si="57"/>
        <v>0</v>
      </c>
      <c r="AU46" s="492">
        <f t="shared" si="58"/>
        <v>156453</v>
      </c>
      <c r="AV46" s="492">
        <f t="shared" si="58"/>
        <v>9258</v>
      </c>
      <c r="AW46" s="492">
        <f t="shared" si="12"/>
        <v>0</v>
      </c>
      <c r="AX46" s="493">
        <f t="shared" si="13"/>
        <v>1.46</v>
      </c>
      <c r="AY46" s="493">
        <f t="shared" si="59"/>
        <v>1.46</v>
      </c>
      <c r="AZ46" s="495">
        <f t="shared" si="59"/>
        <v>0</v>
      </c>
    </row>
    <row r="47" spans="1:52" s="238" customFormat="1" ht="12.75" customHeight="1" x14ac:dyDescent="0.2">
      <c r="A47" s="240">
        <v>11</v>
      </c>
      <c r="B47" s="241">
        <v>3468</v>
      </c>
      <c r="C47" s="241">
        <v>691000891</v>
      </c>
      <c r="D47" s="241">
        <v>72048069</v>
      </c>
      <c r="E47" s="242" t="s">
        <v>28</v>
      </c>
      <c r="F47" s="241">
        <v>3141</v>
      </c>
      <c r="G47" s="242" t="s">
        <v>316</v>
      </c>
      <c r="H47" s="278" t="s">
        <v>279</v>
      </c>
      <c r="I47" s="489">
        <v>945520</v>
      </c>
      <c r="J47" s="489">
        <v>692842</v>
      </c>
      <c r="K47" s="489">
        <v>0</v>
      </c>
      <c r="L47" s="489">
        <v>234181</v>
      </c>
      <c r="M47" s="489">
        <v>13857</v>
      </c>
      <c r="N47" s="489">
        <v>4640</v>
      </c>
      <c r="O47" s="490">
        <v>2.1800000000000002</v>
      </c>
      <c r="P47" s="491">
        <v>0</v>
      </c>
      <c r="Q47" s="500">
        <v>2.1800000000000002</v>
      </c>
      <c r="R47" s="502">
        <f t="shared" si="1"/>
        <v>0</v>
      </c>
      <c r="S47" s="492">
        <v>0</v>
      </c>
      <c r="T47" s="492">
        <v>0</v>
      </c>
      <c r="U47" s="492">
        <v>0</v>
      </c>
      <c r="V47" s="492">
        <f t="shared" si="2"/>
        <v>0</v>
      </c>
      <c r="W47" s="492">
        <v>0</v>
      </c>
      <c r="X47" s="492">
        <v>0</v>
      </c>
      <c r="Y47" s="492">
        <v>0</v>
      </c>
      <c r="Z47" s="492">
        <f t="shared" si="3"/>
        <v>0</v>
      </c>
      <c r="AA47" s="492">
        <f t="shared" si="4"/>
        <v>0</v>
      </c>
      <c r="AB47" s="74">
        <f t="shared" si="5"/>
        <v>0</v>
      </c>
      <c r="AC47" s="74">
        <f t="shared" si="6"/>
        <v>0</v>
      </c>
      <c r="AD47" s="492">
        <v>0</v>
      </c>
      <c r="AE47" s="492">
        <v>0</v>
      </c>
      <c r="AF47" s="492">
        <f t="shared" si="7"/>
        <v>0</v>
      </c>
      <c r="AG47" s="492">
        <f t="shared" si="8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55"/>
        <v>0</v>
      </c>
      <c r="AP47" s="493">
        <f t="shared" si="56"/>
        <v>0</v>
      </c>
      <c r="AQ47" s="495">
        <f t="shared" si="9"/>
        <v>0</v>
      </c>
      <c r="AR47" s="502">
        <f t="shared" si="10"/>
        <v>945520</v>
      </c>
      <c r="AS47" s="492">
        <f t="shared" si="11"/>
        <v>692842</v>
      </c>
      <c r="AT47" s="492">
        <f t="shared" si="57"/>
        <v>0</v>
      </c>
      <c r="AU47" s="492">
        <f t="shared" si="58"/>
        <v>234181</v>
      </c>
      <c r="AV47" s="492">
        <f t="shared" si="58"/>
        <v>13857</v>
      </c>
      <c r="AW47" s="492">
        <f t="shared" si="12"/>
        <v>4640</v>
      </c>
      <c r="AX47" s="493">
        <f t="shared" si="13"/>
        <v>2.1800000000000002</v>
      </c>
      <c r="AY47" s="493">
        <f t="shared" si="59"/>
        <v>0</v>
      </c>
      <c r="AZ47" s="495">
        <f t="shared" si="59"/>
        <v>2.1800000000000002</v>
      </c>
    </row>
    <row r="48" spans="1:52" s="238" customFormat="1" ht="12.75" customHeight="1" x14ac:dyDescent="0.2">
      <c r="A48" s="164">
        <v>11</v>
      </c>
      <c r="B48" s="15">
        <v>3468</v>
      </c>
      <c r="C48" s="163">
        <v>691000891</v>
      </c>
      <c r="D48" s="163">
        <v>72048069</v>
      </c>
      <c r="E48" s="239" t="s">
        <v>29</v>
      </c>
      <c r="F48" s="15"/>
      <c r="G48" s="239"/>
      <c r="H48" s="277"/>
      <c r="I48" s="496">
        <v>10862729</v>
      </c>
      <c r="J48" s="496">
        <v>7895153</v>
      </c>
      <c r="K48" s="496">
        <v>65000</v>
      </c>
      <c r="L48" s="496">
        <v>2690532</v>
      </c>
      <c r="M48" s="496">
        <v>157904</v>
      </c>
      <c r="N48" s="496">
        <v>54140</v>
      </c>
      <c r="O48" s="456">
        <v>19.3445</v>
      </c>
      <c r="P48" s="456">
        <v>12.96</v>
      </c>
      <c r="Q48" s="456">
        <v>6.384500000000001</v>
      </c>
      <c r="R48" s="542">
        <f t="shared" ref="R48:AZ48" si="60">SUM(R45:R47)</f>
        <v>0</v>
      </c>
      <c r="S48" s="496">
        <f t="shared" si="60"/>
        <v>0</v>
      </c>
      <c r="T48" s="496">
        <f t="shared" si="60"/>
        <v>0</v>
      </c>
      <c r="U48" s="496">
        <f t="shared" si="60"/>
        <v>0</v>
      </c>
      <c r="V48" s="496">
        <f t="shared" si="60"/>
        <v>0</v>
      </c>
      <c r="W48" s="496">
        <f t="shared" si="60"/>
        <v>0</v>
      </c>
      <c r="X48" s="496">
        <f t="shared" si="60"/>
        <v>0</v>
      </c>
      <c r="Y48" s="496">
        <f t="shared" si="60"/>
        <v>0</v>
      </c>
      <c r="Z48" s="496">
        <f t="shared" si="60"/>
        <v>0</v>
      </c>
      <c r="AA48" s="496">
        <f t="shared" si="60"/>
        <v>0</v>
      </c>
      <c r="AB48" s="496">
        <f t="shared" si="60"/>
        <v>0</v>
      </c>
      <c r="AC48" s="496">
        <f t="shared" si="60"/>
        <v>0</v>
      </c>
      <c r="AD48" s="496">
        <f t="shared" si="60"/>
        <v>0</v>
      </c>
      <c r="AE48" s="496">
        <f t="shared" si="60"/>
        <v>0</v>
      </c>
      <c r="AF48" s="496">
        <f t="shared" si="60"/>
        <v>0</v>
      </c>
      <c r="AG48" s="496">
        <f t="shared" si="60"/>
        <v>0</v>
      </c>
      <c r="AH48" s="456">
        <f t="shared" si="60"/>
        <v>0</v>
      </c>
      <c r="AI48" s="456">
        <f t="shared" si="60"/>
        <v>0</v>
      </c>
      <c r="AJ48" s="456">
        <f t="shared" si="60"/>
        <v>0</v>
      </c>
      <c r="AK48" s="456">
        <f t="shared" si="60"/>
        <v>0</v>
      </c>
      <c r="AL48" s="456">
        <f t="shared" si="60"/>
        <v>0</v>
      </c>
      <c r="AM48" s="456">
        <f t="shared" si="60"/>
        <v>0</v>
      </c>
      <c r="AN48" s="456">
        <f t="shared" si="60"/>
        <v>0</v>
      </c>
      <c r="AO48" s="456">
        <f t="shared" si="60"/>
        <v>0</v>
      </c>
      <c r="AP48" s="456">
        <f t="shared" si="60"/>
        <v>0</v>
      </c>
      <c r="AQ48" s="543">
        <f t="shared" si="60"/>
        <v>0</v>
      </c>
      <c r="AR48" s="542">
        <f t="shared" si="60"/>
        <v>10862729</v>
      </c>
      <c r="AS48" s="496">
        <f t="shared" si="60"/>
        <v>7895153</v>
      </c>
      <c r="AT48" s="496">
        <f t="shared" si="60"/>
        <v>65000</v>
      </c>
      <c r="AU48" s="496">
        <f t="shared" si="60"/>
        <v>2690532</v>
      </c>
      <c r="AV48" s="496">
        <f t="shared" si="60"/>
        <v>157904</v>
      </c>
      <c r="AW48" s="496">
        <f t="shared" si="60"/>
        <v>54140</v>
      </c>
      <c r="AX48" s="456">
        <f t="shared" si="60"/>
        <v>19.3445</v>
      </c>
      <c r="AY48" s="456">
        <f t="shared" si="60"/>
        <v>12.96</v>
      </c>
      <c r="AZ48" s="543">
        <f t="shared" si="60"/>
        <v>6.384500000000001</v>
      </c>
    </row>
    <row r="49" spans="1:52" s="238" customFormat="1" ht="12.75" customHeight="1" x14ac:dyDescent="0.2">
      <c r="A49" s="240">
        <v>12</v>
      </c>
      <c r="B49" s="241">
        <v>3465</v>
      </c>
      <c r="C49" s="241">
        <v>691001278</v>
      </c>
      <c r="D49" s="241">
        <v>72048131</v>
      </c>
      <c r="E49" s="242" t="s">
        <v>30</v>
      </c>
      <c r="F49" s="241">
        <v>3111</v>
      </c>
      <c r="G49" s="242" t="s">
        <v>312</v>
      </c>
      <c r="H49" s="278" t="s">
        <v>278</v>
      </c>
      <c r="I49" s="489">
        <v>6755239</v>
      </c>
      <c r="J49" s="489">
        <v>4943585</v>
      </c>
      <c r="K49" s="489">
        <v>0</v>
      </c>
      <c r="L49" s="489">
        <v>1670932</v>
      </c>
      <c r="M49" s="489">
        <v>98872</v>
      </c>
      <c r="N49" s="489">
        <v>41850</v>
      </c>
      <c r="O49" s="490">
        <v>10.8682</v>
      </c>
      <c r="P49" s="491">
        <v>8</v>
      </c>
      <c r="Q49" s="500">
        <v>2.8681999999999999</v>
      </c>
      <c r="R49" s="502">
        <f t="shared" si="1"/>
        <v>0</v>
      </c>
      <c r="S49" s="492">
        <v>0</v>
      </c>
      <c r="T49" s="492">
        <v>0</v>
      </c>
      <c r="U49" s="492">
        <v>0</v>
      </c>
      <c r="V49" s="492">
        <f t="shared" si="2"/>
        <v>0</v>
      </c>
      <c r="W49" s="492">
        <v>0</v>
      </c>
      <c r="X49" s="492">
        <v>0</v>
      </c>
      <c r="Y49" s="492">
        <v>0</v>
      </c>
      <c r="Z49" s="492">
        <f t="shared" si="3"/>
        <v>0</v>
      </c>
      <c r="AA49" s="492">
        <f t="shared" si="4"/>
        <v>0</v>
      </c>
      <c r="AB49" s="74">
        <f t="shared" si="5"/>
        <v>0</v>
      </c>
      <c r="AC49" s="74">
        <f t="shared" si="6"/>
        <v>0</v>
      </c>
      <c r="AD49" s="492">
        <v>0</v>
      </c>
      <c r="AE49" s="492">
        <v>0</v>
      </c>
      <c r="AF49" s="492">
        <f t="shared" si="7"/>
        <v>0</v>
      </c>
      <c r="AG49" s="492">
        <f t="shared" si="8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ref="AO49:AO51" si="61">AH49+AJ49+AM49+AK49</f>
        <v>0</v>
      </c>
      <c r="AP49" s="493">
        <f t="shared" ref="AP49:AP51" si="62">AI49+AN49+AL49</f>
        <v>0</v>
      </c>
      <c r="AQ49" s="495">
        <f t="shared" si="9"/>
        <v>0</v>
      </c>
      <c r="AR49" s="502">
        <f t="shared" si="10"/>
        <v>6755239</v>
      </c>
      <c r="AS49" s="492">
        <f t="shared" si="11"/>
        <v>4943585</v>
      </c>
      <c r="AT49" s="492">
        <f t="shared" ref="AT49:AT51" si="63">K49+Z49</f>
        <v>0</v>
      </c>
      <c r="AU49" s="492">
        <f t="shared" ref="AU49:AV51" si="64">L49+AB49</f>
        <v>1670932</v>
      </c>
      <c r="AV49" s="492">
        <f t="shared" si="64"/>
        <v>98872</v>
      </c>
      <c r="AW49" s="492">
        <f t="shared" si="12"/>
        <v>41850</v>
      </c>
      <c r="AX49" s="493">
        <f t="shared" si="13"/>
        <v>10.8682</v>
      </c>
      <c r="AY49" s="493">
        <f t="shared" ref="AY49:AZ51" si="65">P49+AO49</f>
        <v>8</v>
      </c>
      <c r="AZ49" s="495">
        <f t="shared" si="65"/>
        <v>2.8681999999999999</v>
      </c>
    </row>
    <row r="50" spans="1:52" s="238" customFormat="1" x14ac:dyDescent="0.2">
      <c r="A50" s="240">
        <v>12</v>
      </c>
      <c r="B50" s="241">
        <v>3465</v>
      </c>
      <c r="C50" s="241">
        <v>691001278</v>
      </c>
      <c r="D50" s="241">
        <v>72048131</v>
      </c>
      <c r="E50" s="242" t="s">
        <v>30</v>
      </c>
      <c r="F50" s="241">
        <v>3111</v>
      </c>
      <c r="G50" s="242" t="s">
        <v>313</v>
      </c>
      <c r="H50" s="278" t="s">
        <v>279</v>
      </c>
      <c r="I50" s="489">
        <v>172494</v>
      </c>
      <c r="J50" s="489">
        <v>127021</v>
      </c>
      <c r="K50" s="489">
        <v>0</v>
      </c>
      <c r="L50" s="489">
        <v>42933</v>
      </c>
      <c r="M50" s="489">
        <v>2540</v>
      </c>
      <c r="N50" s="489">
        <v>0</v>
      </c>
      <c r="O50" s="490">
        <v>0.5</v>
      </c>
      <c r="P50" s="491">
        <v>0.5</v>
      </c>
      <c r="Q50" s="500">
        <v>0</v>
      </c>
      <c r="R50" s="502">
        <f t="shared" si="1"/>
        <v>0</v>
      </c>
      <c r="S50" s="492">
        <v>0</v>
      </c>
      <c r="T50" s="492">
        <v>0</v>
      </c>
      <c r="U50" s="492">
        <v>0</v>
      </c>
      <c r="V50" s="492">
        <f t="shared" si="2"/>
        <v>0</v>
      </c>
      <c r="W50" s="492">
        <v>0</v>
      </c>
      <c r="X50" s="492">
        <v>0</v>
      </c>
      <c r="Y50" s="492">
        <v>0</v>
      </c>
      <c r="Z50" s="492">
        <f t="shared" si="3"/>
        <v>0</v>
      </c>
      <c r="AA50" s="492">
        <f t="shared" si="4"/>
        <v>0</v>
      </c>
      <c r="AB50" s="74">
        <f t="shared" si="5"/>
        <v>0</v>
      </c>
      <c r="AC50" s="74">
        <f t="shared" si="6"/>
        <v>0</v>
      </c>
      <c r="AD50" s="492">
        <v>0</v>
      </c>
      <c r="AE50" s="492">
        <v>0</v>
      </c>
      <c r="AF50" s="492">
        <f t="shared" si="7"/>
        <v>0</v>
      </c>
      <c r="AG50" s="492">
        <f t="shared" si="8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61"/>
        <v>0</v>
      </c>
      <c r="AP50" s="493">
        <f t="shared" si="62"/>
        <v>0</v>
      </c>
      <c r="AQ50" s="495">
        <f t="shared" si="9"/>
        <v>0</v>
      </c>
      <c r="AR50" s="502">
        <f t="shared" si="10"/>
        <v>172494</v>
      </c>
      <c r="AS50" s="492">
        <f t="shared" si="11"/>
        <v>127021</v>
      </c>
      <c r="AT50" s="492">
        <f t="shared" si="63"/>
        <v>0</v>
      </c>
      <c r="AU50" s="492">
        <f t="shared" si="64"/>
        <v>42933</v>
      </c>
      <c r="AV50" s="492">
        <f t="shared" si="64"/>
        <v>2540</v>
      </c>
      <c r="AW50" s="492">
        <f t="shared" si="12"/>
        <v>0</v>
      </c>
      <c r="AX50" s="493">
        <f t="shared" si="13"/>
        <v>0.5</v>
      </c>
      <c r="AY50" s="493">
        <f t="shared" si="65"/>
        <v>0.5</v>
      </c>
      <c r="AZ50" s="495">
        <f t="shared" si="65"/>
        <v>0</v>
      </c>
    </row>
    <row r="51" spans="1:52" s="238" customFormat="1" ht="12.75" customHeight="1" x14ac:dyDescent="0.2">
      <c r="A51" s="240">
        <v>12</v>
      </c>
      <c r="B51" s="241">
        <v>3465</v>
      </c>
      <c r="C51" s="241">
        <v>691001278</v>
      </c>
      <c r="D51" s="241">
        <v>72048131</v>
      </c>
      <c r="E51" s="242" t="s">
        <v>30</v>
      </c>
      <c r="F51" s="241">
        <v>3141</v>
      </c>
      <c r="G51" s="242" t="s">
        <v>316</v>
      </c>
      <c r="H51" s="278" t="s">
        <v>279</v>
      </c>
      <c r="I51" s="489">
        <v>1049833</v>
      </c>
      <c r="J51" s="489">
        <v>769101</v>
      </c>
      <c r="K51" s="489">
        <v>0</v>
      </c>
      <c r="L51" s="489">
        <v>259956</v>
      </c>
      <c r="M51" s="489">
        <v>15382</v>
      </c>
      <c r="N51" s="489">
        <v>5394</v>
      </c>
      <c r="O51" s="490">
        <v>2.42</v>
      </c>
      <c r="P51" s="491">
        <v>0</v>
      </c>
      <c r="Q51" s="500">
        <v>2.42</v>
      </c>
      <c r="R51" s="502">
        <f t="shared" si="1"/>
        <v>0</v>
      </c>
      <c r="S51" s="492">
        <v>0</v>
      </c>
      <c r="T51" s="492">
        <v>0</v>
      </c>
      <c r="U51" s="492">
        <v>0</v>
      </c>
      <c r="V51" s="492">
        <f t="shared" si="2"/>
        <v>0</v>
      </c>
      <c r="W51" s="492">
        <v>0</v>
      </c>
      <c r="X51" s="492">
        <v>0</v>
      </c>
      <c r="Y51" s="492">
        <v>0</v>
      </c>
      <c r="Z51" s="492">
        <f t="shared" si="3"/>
        <v>0</v>
      </c>
      <c r="AA51" s="492">
        <f t="shared" si="4"/>
        <v>0</v>
      </c>
      <c r="AB51" s="74">
        <f t="shared" si="5"/>
        <v>0</v>
      </c>
      <c r="AC51" s="74">
        <f t="shared" si="6"/>
        <v>0</v>
      </c>
      <c r="AD51" s="492">
        <v>0</v>
      </c>
      <c r="AE51" s="492">
        <v>0</v>
      </c>
      <c r="AF51" s="492">
        <f t="shared" si="7"/>
        <v>0</v>
      </c>
      <c r="AG51" s="492">
        <f t="shared" si="8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61"/>
        <v>0</v>
      </c>
      <c r="AP51" s="493">
        <f t="shared" si="62"/>
        <v>0</v>
      </c>
      <c r="AQ51" s="495">
        <f t="shared" si="9"/>
        <v>0</v>
      </c>
      <c r="AR51" s="502">
        <f t="shared" si="10"/>
        <v>1049833</v>
      </c>
      <c r="AS51" s="492">
        <f t="shared" si="11"/>
        <v>769101</v>
      </c>
      <c r="AT51" s="492">
        <f t="shared" si="63"/>
        <v>0</v>
      </c>
      <c r="AU51" s="492">
        <f t="shared" si="64"/>
        <v>259956</v>
      </c>
      <c r="AV51" s="492">
        <f t="shared" si="64"/>
        <v>15382</v>
      </c>
      <c r="AW51" s="492">
        <f t="shared" si="12"/>
        <v>5394</v>
      </c>
      <c r="AX51" s="493">
        <f t="shared" si="13"/>
        <v>2.42</v>
      </c>
      <c r="AY51" s="493">
        <f t="shared" si="65"/>
        <v>0</v>
      </c>
      <c r="AZ51" s="495">
        <f t="shared" si="65"/>
        <v>2.42</v>
      </c>
    </row>
    <row r="52" spans="1:52" s="238" customFormat="1" ht="12.75" customHeight="1" x14ac:dyDescent="0.2">
      <c r="A52" s="164">
        <v>12</v>
      </c>
      <c r="B52" s="15">
        <v>3465</v>
      </c>
      <c r="C52" s="163">
        <v>691001278</v>
      </c>
      <c r="D52" s="163">
        <v>72048131</v>
      </c>
      <c r="E52" s="239" t="s">
        <v>31</v>
      </c>
      <c r="F52" s="15"/>
      <c r="G52" s="239"/>
      <c r="H52" s="277"/>
      <c r="I52" s="496">
        <v>7977566</v>
      </c>
      <c r="J52" s="496">
        <v>5839707</v>
      </c>
      <c r="K52" s="496">
        <v>0</v>
      </c>
      <c r="L52" s="496">
        <v>1973821</v>
      </c>
      <c r="M52" s="496">
        <v>116794</v>
      </c>
      <c r="N52" s="496">
        <v>47244</v>
      </c>
      <c r="O52" s="456">
        <v>13.7882</v>
      </c>
      <c r="P52" s="456">
        <v>8.5</v>
      </c>
      <c r="Q52" s="456">
        <v>5.2881999999999998</v>
      </c>
      <c r="R52" s="542">
        <f t="shared" ref="R52:AZ52" si="66">SUM(R49:R51)</f>
        <v>0</v>
      </c>
      <c r="S52" s="496">
        <f t="shared" si="66"/>
        <v>0</v>
      </c>
      <c r="T52" s="496">
        <f t="shared" si="66"/>
        <v>0</v>
      </c>
      <c r="U52" s="496">
        <f t="shared" si="66"/>
        <v>0</v>
      </c>
      <c r="V52" s="496">
        <f t="shared" si="66"/>
        <v>0</v>
      </c>
      <c r="W52" s="496">
        <f t="shared" si="66"/>
        <v>0</v>
      </c>
      <c r="X52" s="496">
        <f t="shared" si="66"/>
        <v>0</v>
      </c>
      <c r="Y52" s="496">
        <f t="shared" si="66"/>
        <v>0</v>
      </c>
      <c r="Z52" s="496">
        <f t="shared" si="66"/>
        <v>0</v>
      </c>
      <c r="AA52" s="496">
        <f t="shared" si="66"/>
        <v>0</v>
      </c>
      <c r="AB52" s="496">
        <f t="shared" si="66"/>
        <v>0</v>
      </c>
      <c r="AC52" s="496">
        <f t="shared" si="66"/>
        <v>0</v>
      </c>
      <c r="AD52" s="496">
        <f t="shared" si="66"/>
        <v>0</v>
      </c>
      <c r="AE52" s="496">
        <f t="shared" si="66"/>
        <v>0</v>
      </c>
      <c r="AF52" s="496">
        <f t="shared" si="66"/>
        <v>0</v>
      </c>
      <c r="AG52" s="496">
        <f t="shared" si="66"/>
        <v>0</v>
      </c>
      <c r="AH52" s="456">
        <f t="shared" si="66"/>
        <v>0</v>
      </c>
      <c r="AI52" s="456">
        <f t="shared" si="66"/>
        <v>0</v>
      </c>
      <c r="AJ52" s="456">
        <f t="shared" si="66"/>
        <v>0</v>
      </c>
      <c r="AK52" s="456">
        <f t="shared" si="66"/>
        <v>0</v>
      </c>
      <c r="AL52" s="456">
        <f t="shared" si="66"/>
        <v>0</v>
      </c>
      <c r="AM52" s="456">
        <f t="shared" si="66"/>
        <v>0</v>
      </c>
      <c r="AN52" s="456">
        <f t="shared" si="66"/>
        <v>0</v>
      </c>
      <c r="AO52" s="456">
        <f t="shared" si="66"/>
        <v>0</v>
      </c>
      <c r="AP52" s="456">
        <f t="shared" si="66"/>
        <v>0</v>
      </c>
      <c r="AQ52" s="543">
        <f t="shared" si="66"/>
        <v>0</v>
      </c>
      <c r="AR52" s="542">
        <f t="shared" si="66"/>
        <v>7977566</v>
      </c>
      <c r="AS52" s="496">
        <f t="shared" si="66"/>
        <v>5839707</v>
      </c>
      <c r="AT52" s="496">
        <f t="shared" si="66"/>
        <v>0</v>
      </c>
      <c r="AU52" s="496">
        <f t="shared" si="66"/>
        <v>1973821</v>
      </c>
      <c r="AV52" s="496">
        <f t="shared" si="66"/>
        <v>116794</v>
      </c>
      <c r="AW52" s="496">
        <f t="shared" si="66"/>
        <v>47244</v>
      </c>
      <c r="AX52" s="456">
        <f t="shared" si="66"/>
        <v>13.7882</v>
      </c>
      <c r="AY52" s="456">
        <f t="shared" si="66"/>
        <v>8.5</v>
      </c>
      <c r="AZ52" s="543">
        <f t="shared" si="66"/>
        <v>5.2881999999999998</v>
      </c>
    </row>
    <row r="53" spans="1:52" s="238" customFormat="1" ht="12.75" customHeight="1" x14ac:dyDescent="0.2">
      <c r="A53" s="240">
        <v>13</v>
      </c>
      <c r="B53" s="241">
        <v>3473</v>
      </c>
      <c r="C53" s="241">
        <v>691003530</v>
      </c>
      <c r="D53" s="241">
        <v>72550392</v>
      </c>
      <c r="E53" s="242" t="s">
        <v>32</v>
      </c>
      <c r="F53" s="241">
        <v>3111</v>
      </c>
      <c r="G53" s="242" t="s">
        <v>312</v>
      </c>
      <c r="H53" s="278" t="s">
        <v>278</v>
      </c>
      <c r="I53" s="489">
        <v>8303983</v>
      </c>
      <c r="J53" s="489">
        <v>6047716</v>
      </c>
      <c r="K53" s="489">
        <v>32500</v>
      </c>
      <c r="L53" s="489">
        <v>2055113</v>
      </c>
      <c r="M53" s="489">
        <v>120954</v>
      </c>
      <c r="N53" s="489">
        <v>47700</v>
      </c>
      <c r="O53" s="490">
        <v>13.452199999999999</v>
      </c>
      <c r="P53" s="491">
        <v>10</v>
      </c>
      <c r="Q53" s="500">
        <v>3.452199999999999</v>
      </c>
      <c r="R53" s="502">
        <f t="shared" si="1"/>
        <v>0</v>
      </c>
      <c r="S53" s="492">
        <v>0</v>
      </c>
      <c r="T53" s="492">
        <v>0</v>
      </c>
      <c r="U53" s="492">
        <v>0</v>
      </c>
      <c r="V53" s="492">
        <f t="shared" si="2"/>
        <v>0</v>
      </c>
      <c r="W53" s="492">
        <v>0</v>
      </c>
      <c r="X53" s="492">
        <v>0</v>
      </c>
      <c r="Y53" s="492">
        <v>0</v>
      </c>
      <c r="Z53" s="492">
        <f t="shared" si="3"/>
        <v>0</v>
      </c>
      <c r="AA53" s="492">
        <f t="shared" si="4"/>
        <v>0</v>
      </c>
      <c r="AB53" s="74">
        <f t="shared" si="5"/>
        <v>0</v>
      </c>
      <c r="AC53" s="74">
        <f t="shared" si="6"/>
        <v>0</v>
      </c>
      <c r="AD53" s="492">
        <v>0</v>
      </c>
      <c r="AE53" s="492">
        <v>0</v>
      </c>
      <c r="AF53" s="492">
        <f t="shared" si="7"/>
        <v>0</v>
      </c>
      <c r="AG53" s="492">
        <f t="shared" si="8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ref="AO53:AO54" si="67">AH53+AJ53+AM53+AK53</f>
        <v>0</v>
      </c>
      <c r="AP53" s="493">
        <f t="shared" ref="AP53:AP54" si="68">AI53+AN53+AL53</f>
        <v>0</v>
      </c>
      <c r="AQ53" s="495">
        <f t="shared" si="9"/>
        <v>0</v>
      </c>
      <c r="AR53" s="502">
        <f t="shared" si="10"/>
        <v>8303983</v>
      </c>
      <c r="AS53" s="492">
        <f t="shared" si="11"/>
        <v>6047716</v>
      </c>
      <c r="AT53" s="492">
        <f t="shared" ref="AT53:AT54" si="69">K53+Z53</f>
        <v>32500</v>
      </c>
      <c r="AU53" s="492">
        <f>L53+AB53</f>
        <v>2055113</v>
      </c>
      <c r="AV53" s="492">
        <f>M53+AC53</f>
        <v>120954</v>
      </c>
      <c r="AW53" s="492">
        <f t="shared" si="12"/>
        <v>47700</v>
      </c>
      <c r="AX53" s="493">
        <f t="shared" si="13"/>
        <v>13.452199999999999</v>
      </c>
      <c r="AY53" s="493">
        <f>P53+AO53</f>
        <v>10</v>
      </c>
      <c r="AZ53" s="495">
        <f>Q53+AP53</f>
        <v>3.452199999999999</v>
      </c>
    </row>
    <row r="54" spans="1:52" s="238" customFormat="1" ht="12.75" customHeight="1" x14ac:dyDescent="0.2">
      <c r="A54" s="240">
        <v>13</v>
      </c>
      <c r="B54" s="241">
        <v>3473</v>
      </c>
      <c r="C54" s="241">
        <v>691003530</v>
      </c>
      <c r="D54" s="241">
        <v>72550392</v>
      </c>
      <c r="E54" s="242" t="s">
        <v>33</v>
      </c>
      <c r="F54" s="241">
        <v>3141</v>
      </c>
      <c r="G54" s="242" t="s">
        <v>316</v>
      </c>
      <c r="H54" s="278" t="s">
        <v>279</v>
      </c>
      <c r="I54" s="489">
        <v>1154084</v>
      </c>
      <c r="J54" s="489">
        <v>845314</v>
      </c>
      <c r="K54" s="489">
        <v>0</v>
      </c>
      <c r="L54" s="489">
        <v>285716</v>
      </c>
      <c r="M54" s="489">
        <v>16906</v>
      </c>
      <c r="N54" s="489">
        <v>6148</v>
      </c>
      <c r="O54" s="490">
        <v>2.66</v>
      </c>
      <c r="P54" s="491">
        <v>0</v>
      </c>
      <c r="Q54" s="500">
        <v>2.66</v>
      </c>
      <c r="R54" s="502">
        <f t="shared" si="1"/>
        <v>0</v>
      </c>
      <c r="S54" s="492">
        <v>0</v>
      </c>
      <c r="T54" s="492">
        <v>0</v>
      </c>
      <c r="U54" s="492">
        <v>0</v>
      </c>
      <c r="V54" s="492">
        <f t="shared" si="2"/>
        <v>0</v>
      </c>
      <c r="W54" s="492">
        <v>0</v>
      </c>
      <c r="X54" s="492">
        <v>0</v>
      </c>
      <c r="Y54" s="492">
        <v>0</v>
      </c>
      <c r="Z54" s="492">
        <f t="shared" si="3"/>
        <v>0</v>
      </c>
      <c r="AA54" s="492">
        <f t="shared" si="4"/>
        <v>0</v>
      </c>
      <c r="AB54" s="74">
        <f t="shared" si="5"/>
        <v>0</v>
      </c>
      <c r="AC54" s="74">
        <f t="shared" si="6"/>
        <v>0</v>
      </c>
      <c r="AD54" s="492">
        <v>0</v>
      </c>
      <c r="AE54" s="492">
        <v>0</v>
      </c>
      <c r="AF54" s="492">
        <f t="shared" si="7"/>
        <v>0</v>
      </c>
      <c r="AG54" s="492">
        <f t="shared" si="8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67"/>
        <v>0</v>
      </c>
      <c r="AP54" s="493">
        <f t="shared" si="68"/>
        <v>0</v>
      </c>
      <c r="AQ54" s="495">
        <f t="shared" si="9"/>
        <v>0</v>
      </c>
      <c r="AR54" s="502">
        <f t="shared" si="10"/>
        <v>1154084</v>
      </c>
      <c r="AS54" s="492">
        <f t="shared" si="11"/>
        <v>845314</v>
      </c>
      <c r="AT54" s="492">
        <f t="shared" si="69"/>
        <v>0</v>
      </c>
      <c r="AU54" s="492">
        <f>L54+AB54</f>
        <v>285716</v>
      </c>
      <c r="AV54" s="492">
        <f>M54+AC54</f>
        <v>16906</v>
      </c>
      <c r="AW54" s="492">
        <f t="shared" si="12"/>
        <v>6148</v>
      </c>
      <c r="AX54" s="493">
        <f t="shared" si="13"/>
        <v>2.66</v>
      </c>
      <c r="AY54" s="493">
        <f>P54+AO54</f>
        <v>0</v>
      </c>
      <c r="AZ54" s="495">
        <f>Q54+AP54</f>
        <v>2.66</v>
      </c>
    </row>
    <row r="55" spans="1:52" s="238" customFormat="1" ht="12.75" customHeight="1" x14ac:dyDescent="0.2">
      <c r="A55" s="164">
        <v>13</v>
      </c>
      <c r="B55" s="15">
        <v>3473</v>
      </c>
      <c r="C55" s="163">
        <v>691003530</v>
      </c>
      <c r="D55" s="163">
        <v>72550392</v>
      </c>
      <c r="E55" s="239" t="s">
        <v>34</v>
      </c>
      <c r="F55" s="15"/>
      <c r="G55" s="239"/>
      <c r="H55" s="277"/>
      <c r="I55" s="496">
        <v>9458067</v>
      </c>
      <c r="J55" s="496">
        <v>6893030</v>
      </c>
      <c r="K55" s="496">
        <v>32500</v>
      </c>
      <c r="L55" s="496">
        <v>2340829</v>
      </c>
      <c r="M55" s="496">
        <v>137860</v>
      </c>
      <c r="N55" s="496">
        <v>53848</v>
      </c>
      <c r="O55" s="456">
        <v>16.112200000000001</v>
      </c>
      <c r="P55" s="456">
        <v>10</v>
      </c>
      <c r="Q55" s="456">
        <v>6.1121999999999996</v>
      </c>
      <c r="R55" s="542">
        <f t="shared" ref="R55:AZ55" si="70">SUM(R53:R54)</f>
        <v>0</v>
      </c>
      <c r="S55" s="496">
        <f t="shared" si="70"/>
        <v>0</v>
      </c>
      <c r="T55" s="496">
        <f t="shared" si="70"/>
        <v>0</v>
      </c>
      <c r="U55" s="496">
        <f t="shared" si="70"/>
        <v>0</v>
      </c>
      <c r="V55" s="496">
        <f t="shared" si="70"/>
        <v>0</v>
      </c>
      <c r="W55" s="496">
        <f t="shared" si="70"/>
        <v>0</v>
      </c>
      <c r="X55" s="496">
        <f t="shared" si="70"/>
        <v>0</v>
      </c>
      <c r="Y55" s="496">
        <f t="shared" si="70"/>
        <v>0</v>
      </c>
      <c r="Z55" s="496">
        <f t="shared" si="70"/>
        <v>0</v>
      </c>
      <c r="AA55" s="496">
        <f t="shared" si="70"/>
        <v>0</v>
      </c>
      <c r="AB55" s="496">
        <f t="shared" si="70"/>
        <v>0</v>
      </c>
      <c r="AC55" s="496">
        <f t="shared" si="70"/>
        <v>0</v>
      </c>
      <c r="AD55" s="496">
        <f t="shared" si="70"/>
        <v>0</v>
      </c>
      <c r="AE55" s="496">
        <f t="shared" si="70"/>
        <v>0</v>
      </c>
      <c r="AF55" s="496">
        <f t="shared" si="70"/>
        <v>0</v>
      </c>
      <c r="AG55" s="496">
        <f t="shared" si="70"/>
        <v>0</v>
      </c>
      <c r="AH55" s="456">
        <f t="shared" si="70"/>
        <v>0</v>
      </c>
      <c r="AI55" s="456">
        <f t="shared" si="70"/>
        <v>0</v>
      </c>
      <c r="AJ55" s="456">
        <f t="shared" si="70"/>
        <v>0</v>
      </c>
      <c r="AK55" s="456">
        <f t="shared" si="70"/>
        <v>0</v>
      </c>
      <c r="AL55" s="456">
        <f t="shared" si="70"/>
        <v>0</v>
      </c>
      <c r="AM55" s="456">
        <f t="shared" si="70"/>
        <v>0</v>
      </c>
      <c r="AN55" s="456">
        <f t="shared" si="70"/>
        <v>0</v>
      </c>
      <c r="AO55" s="456">
        <f t="shared" si="70"/>
        <v>0</v>
      </c>
      <c r="AP55" s="456">
        <f t="shared" si="70"/>
        <v>0</v>
      </c>
      <c r="AQ55" s="543">
        <f t="shared" si="70"/>
        <v>0</v>
      </c>
      <c r="AR55" s="542">
        <f t="shared" si="70"/>
        <v>9458067</v>
      </c>
      <c r="AS55" s="496">
        <f t="shared" si="70"/>
        <v>6893030</v>
      </c>
      <c r="AT55" s="496">
        <f t="shared" si="70"/>
        <v>32500</v>
      </c>
      <c r="AU55" s="496">
        <f t="shared" si="70"/>
        <v>2340829</v>
      </c>
      <c r="AV55" s="496">
        <f t="shared" si="70"/>
        <v>137860</v>
      </c>
      <c r="AW55" s="496">
        <f t="shared" si="70"/>
        <v>53848</v>
      </c>
      <c r="AX55" s="456">
        <f t="shared" si="70"/>
        <v>16.112200000000001</v>
      </c>
      <c r="AY55" s="456">
        <f t="shared" si="70"/>
        <v>10</v>
      </c>
      <c r="AZ55" s="543">
        <f t="shared" si="70"/>
        <v>6.1121999999999996</v>
      </c>
    </row>
    <row r="56" spans="1:52" s="238" customFormat="1" ht="12.75" customHeight="1" x14ac:dyDescent="0.2">
      <c r="A56" s="240">
        <v>14</v>
      </c>
      <c r="B56" s="241">
        <v>3474</v>
      </c>
      <c r="C56" s="241">
        <v>691003505</v>
      </c>
      <c r="D56" s="241">
        <v>72550406</v>
      </c>
      <c r="E56" s="242" t="s">
        <v>35</v>
      </c>
      <c r="F56" s="241">
        <v>3111</v>
      </c>
      <c r="G56" s="242" t="s">
        <v>312</v>
      </c>
      <c r="H56" s="278" t="s">
        <v>278</v>
      </c>
      <c r="I56" s="489">
        <v>4959206</v>
      </c>
      <c r="J56" s="489">
        <v>3611358</v>
      </c>
      <c r="K56" s="489">
        <v>17550</v>
      </c>
      <c r="L56" s="489">
        <v>1226571</v>
      </c>
      <c r="M56" s="489">
        <v>72227</v>
      </c>
      <c r="N56" s="489">
        <v>31500</v>
      </c>
      <c r="O56" s="490">
        <v>8.3260999999999985</v>
      </c>
      <c r="P56" s="491">
        <v>6.2419000000000002</v>
      </c>
      <c r="Q56" s="500">
        <v>2.0841999999999992</v>
      </c>
      <c r="R56" s="502">
        <f t="shared" si="1"/>
        <v>0</v>
      </c>
      <c r="S56" s="492">
        <v>0</v>
      </c>
      <c r="T56" s="492">
        <v>0</v>
      </c>
      <c r="U56" s="492">
        <v>0</v>
      </c>
      <c r="V56" s="492">
        <f t="shared" si="2"/>
        <v>0</v>
      </c>
      <c r="W56" s="492">
        <v>0</v>
      </c>
      <c r="X56" s="492">
        <v>0</v>
      </c>
      <c r="Y56" s="492">
        <v>0</v>
      </c>
      <c r="Z56" s="492">
        <f t="shared" si="3"/>
        <v>0</v>
      </c>
      <c r="AA56" s="492">
        <f t="shared" si="4"/>
        <v>0</v>
      </c>
      <c r="AB56" s="74">
        <f t="shared" si="5"/>
        <v>0</v>
      </c>
      <c r="AC56" s="74">
        <f t="shared" si="6"/>
        <v>0</v>
      </c>
      <c r="AD56" s="492">
        <v>0</v>
      </c>
      <c r="AE56" s="492">
        <v>0</v>
      </c>
      <c r="AF56" s="492">
        <f t="shared" si="7"/>
        <v>0</v>
      </c>
      <c r="AG56" s="492">
        <f t="shared" si="8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ref="AO56:AO58" si="71">AH56+AJ56+AM56+AK56</f>
        <v>0</v>
      </c>
      <c r="AP56" s="493">
        <f t="shared" ref="AP56:AP58" si="72">AI56+AN56+AL56</f>
        <v>0</v>
      </c>
      <c r="AQ56" s="495">
        <f t="shared" si="9"/>
        <v>0</v>
      </c>
      <c r="AR56" s="502">
        <f t="shared" si="10"/>
        <v>4959206</v>
      </c>
      <c r="AS56" s="492">
        <f t="shared" si="11"/>
        <v>3611358</v>
      </c>
      <c r="AT56" s="492">
        <f t="shared" ref="AT56:AT58" si="73">K56+Z56</f>
        <v>17550</v>
      </c>
      <c r="AU56" s="492">
        <f t="shared" ref="AU56:AV58" si="74">L56+AB56</f>
        <v>1226571</v>
      </c>
      <c r="AV56" s="492">
        <f t="shared" si="74"/>
        <v>72227</v>
      </c>
      <c r="AW56" s="492">
        <f t="shared" si="12"/>
        <v>31500</v>
      </c>
      <c r="AX56" s="493">
        <f t="shared" si="13"/>
        <v>8.3260999999999985</v>
      </c>
      <c r="AY56" s="493">
        <f t="shared" ref="AY56:AZ58" si="75">P56+AO56</f>
        <v>6.2419000000000002</v>
      </c>
      <c r="AZ56" s="495">
        <f t="shared" si="75"/>
        <v>2.0841999999999992</v>
      </c>
    </row>
    <row r="57" spans="1:52" s="238" customFormat="1" ht="12.75" customHeight="1" x14ac:dyDescent="0.2">
      <c r="A57" s="240">
        <v>14</v>
      </c>
      <c r="B57" s="241">
        <v>3474</v>
      </c>
      <c r="C57" s="241">
        <v>691003505</v>
      </c>
      <c r="D57" s="241">
        <v>72550406</v>
      </c>
      <c r="E57" s="242" t="s">
        <v>35</v>
      </c>
      <c r="F57" s="241">
        <v>3111</v>
      </c>
      <c r="G57" s="242" t="s">
        <v>313</v>
      </c>
      <c r="H57" s="278" t="s">
        <v>279</v>
      </c>
      <c r="I57" s="489">
        <v>352854</v>
      </c>
      <c r="J57" s="489">
        <v>259833</v>
      </c>
      <c r="K57" s="489">
        <v>0</v>
      </c>
      <c r="L57" s="489">
        <v>87824</v>
      </c>
      <c r="M57" s="489">
        <v>5197</v>
      </c>
      <c r="N57" s="489">
        <v>0</v>
      </c>
      <c r="O57" s="490">
        <v>0.75</v>
      </c>
      <c r="P57" s="491">
        <v>0.75</v>
      </c>
      <c r="Q57" s="500">
        <v>0</v>
      </c>
      <c r="R57" s="502">
        <f t="shared" si="1"/>
        <v>0</v>
      </c>
      <c r="S57" s="492">
        <v>0</v>
      </c>
      <c r="T57" s="492">
        <v>0</v>
      </c>
      <c r="U57" s="492">
        <v>0</v>
      </c>
      <c r="V57" s="492">
        <f t="shared" si="2"/>
        <v>0</v>
      </c>
      <c r="W57" s="492">
        <v>0</v>
      </c>
      <c r="X57" s="492">
        <v>0</v>
      </c>
      <c r="Y57" s="492">
        <v>0</v>
      </c>
      <c r="Z57" s="492">
        <f t="shared" si="3"/>
        <v>0</v>
      </c>
      <c r="AA57" s="492">
        <f t="shared" si="4"/>
        <v>0</v>
      </c>
      <c r="AB57" s="74">
        <f t="shared" si="5"/>
        <v>0</v>
      </c>
      <c r="AC57" s="74">
        <f t="shared" si="6"/>
        <v>0</v>
      </c>
      <c r="AD57" s="492">
        <v>0</v>
      </c>
      <c r="AE57" s="492">
        <v>0</v>
      </c>
      <c r="AF57" s="492">
        <f t="shared" si="7"/>
        <v>0</v>
      </c>
      <c r="AG57" s="492">
        <f t="shared" si="8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71"/>
        <v>0</v>
      </c>
      <c r="AP57" s="493">
        <f t="shared" si="72"/>
        <v>0</v>
      </c>
      <c r="AQ57" s="495">
        <f t="shared" si="9"/>
        <v>0</v>
      </c>
      <c r="AR57" s="502">
        <f t="shared" si="10"/>
        <v>352854</v>
      </c>
      <c r="AS57" s="492">
        <f t="shared" si="11"/>
        <v>259833</v>
      </c>
      <c r="AT57" s="492">
        <f t="shared" si="73"/>
        <v>0</v>
      </c>
      <c r="AU57" s="492">
        <f t="shared" si="74"/>
        <v>87824</v>
      </c>
      <c r="AV57" s="492">
        <f t="shared" si="74"/>
        <v>5197</v>
      </c>
      <c r="AW57" s="492">
        <f t="shared" si="12"/>
        <v>0</v>
      </c>
      <c r="AX57" s="493">
        <f t="shared" si="13"/>
        <v>0.75</v>
      </c>
      <c r="AY57" s="493">
        <f t="shared" si="75"/>
        <v>0.75</v>
      </c>
      <c r="AZ57" s="495">
        <f t="shared" si="75"/>
        <v>0</v>
      </c>
    </row>
    <row r="58" spans="1:52" s="238" customFormat="1" ht="12.75" customHeight="1" x14ac:dyDescent="0.2">
      <c r="A58" s="240">
        <v>14</v>
      </c>
      <c r="B58" s="241">
        <v>3474</v>
      </c>
      <c r="C58" s="241">
        <v>691003505</v>
      </c>
      <c r="D58" s="241">
        <v>72550406</v>
      </c>
      <c r="E58" s="242" t="s">
        <v>36</v>
      </c>
      <c r="F58" s="241">
        <v>3141</v>
      </c>
      <c r="G58" s="242" t="s">
        <v>316</v>
      </c>
      <c r="H58" s="278" t="s">
        <v>279</v>
      </c>
      <c r="I58" s="489">
        <v>846771</v>
      </c>
      <c r="J58" s="489">
        <v>620638</v>
      </c>
      <c r="K58" s="489">
        <v>0</v>
      </c>
      <c r="L58" s="489">
        <v>209776</v>
      </c>
      <c r="M58" s="489">
        <v>12413</v>
      </c>
      <c r="N58" s="489">
        <v>3944</v>
      </c>
      <c r="O58" s="490">
        <v>1.95</v>
      </c>
      <c r="P58" s="491">
        <v>0</v>
      </c>
      <c r="Q58" s="500">
        <v>1.95</v>
      </c>
      <c r="R58" s="502">
        <f t="shared" si="1"/>
        <v>0</v>
      </c>
      <c r="S58" s="492">
        <v>0</v>
      </c>
      <c r="T58" s="492">
        <v>0</v>
      </c>
      <c r="U58" s="492">
        <v>0</v>
      </c>
      <c r="V58" s="492">
        <f t="shared" si="2"/>
        <v>0</v>
      </c>
      <c r="W58" s="492">
        <v>0</v>
      </c>
      <c r="X58" s="492">
        <v>0</v>
      </c>
      <c r="Y58" s="492">
        <v>0</v>
      </c>
      <c r="Z58" s="492">
        <f t="shared" si="3"/>
        <v>0</v>
      </c>
      <c r="AA58" s="492">
        <f t="shared" si="4"/>
        <v>0</v>
      </c>
      <c r="AB58" s="74">
        <f t="shared" si="5"/>
        <v>0</v>
      </c>
      <c r="AC58" s="74">
        <f t="shared" si="6"/>
        <v>0</v>
      </c>
      <c r="AD58" s="492">
        <v>0</v>
      </c>
      <c r="AE58" s="492">
        <v>0</v>
      </c>
      <c r="AF58" s="492">
        <f t="shared" si="7"/>
        <v>0</v>
      </c>
      <c r="AG58" s="492">
        <f t="shared" si="8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71"/>
        <v>0</v>
      </c>
      <c r="AP58" s="493">
        <f t="shared" si="72"/>
        <v>0</v>
      </c>
      <c r="AQ58" s="495">
        <f t="shared" si="9"/>
        <v>0</v>
      </c>
      <c r="AR58" s="502">
        <f t="shared" si="10"/>
        <v>846771</v>
      </c>
      <c r="AS58" s="492">
        <f t="shared" si="11"/>
        <v>620638</v>
      </c>
      <c r="AT58" s="492">
        <f t="shared" si="73"/>
        <v>0</v>
      </c>
      <c r="AU58" s="492">
        <f t="shared" si="74"/>
        <v>209776</v>
      </c>
      <c r="AV58" s="492">
        <f t="shared" si="74"/>
        <v>12413</v>
      </c>
      <c r="AW58" s="492">
        <f t="shared" si="12"/>
        <v>3944</v>
      </c>
      <c r="AX58" s="493">
        <f t="shared" si="13"/>
        <v>1.95</v>
      </c>
      <c r="AY58" s="493">
        <f t="shared" si="75"/>
        <v>0</v>
      </c>
      <c r="AZ58" s="495">
        <f t="shared" si="75"/>
        <v>1.95</v>
      </c>
    </row>
    <row r="59" spans="1:52" s="238" customFormat="1" ht="12.75" customHeight="1" x14ac:dyDescent="0.2">
      <c r="A59" s="164">
        <v>14</v>
      </c>
      <c r="B59" s="15">
        <v>3474</v>
      </c>
      <c r="C59" s="163">
        <v>691003505</v>
      </c>
      <c r="D59" s="163">
        <v>72550406</v>
      </c>
      <c r="E59" s="239" t="s">
        <v>37</v>
      </c>
      <c r="F59" s="15"/>
      <c r="G59" s="239"/>
      <c r="H59" s="277"/>
      <c r="I59" s="496">
        <v>6158831</v>
      </c>
      <c r="J59" s="496">
        <v>4491829</v>
      </c>
      <c r="K59" s="496">
        <v>17550</v>
      </c>
      <c r="L59" s="496">
        <v>1524171</v>
      </c>
      <c r="M59" s="496">
        <v>89837</v>
      </c>
      <c r="N59" s="496">
        <v>35444</v>
      </c>
      <c r="O59" s="456">
        <v>11.026099999999998</v>
      </c>
      <c r="P59" s="456">
        <v>6.9919000000000002</v>
      </c>
      <c r="Q59" s="456">
        <v>4.0341999999999993</v>
      </c>
      <c r="R59" s="542">
        <f t="shared" ref="R59:AZ59" si="76">SUM(R56:R58)</f>
        <v>0</v>
      </c>
      <c r="S59" s="496">
        <f t="shared" si="76"/>
        <v>0</v>
      </c>
      <c r="T59" s="496">
        <f t="shared" si="76"/>
        <v>0</v>
      </c>
      <c r="U59" s="496">
        <f t="shared" si="76"/>
        <v>0</v>
      </c>
      <c r="V59" s="496">
        <f t="shared" si="76"/>
        <v>0</v>
      </c>
      <c r="W59" s="496">
        <f t="shared" si="76"/>
        <v>0</v>
      </c>
      <c r="X59" s="496">
        <f t="shared" si="76"/>
        <v>0</v>
      </c>
      <c r="Y59" s="496">
        <f t="shared" si="76"/>
        <v>0</v>
      </c>
      <c r="Z59" s="496">
        <f t="shared" si="76"/>
        <v>0</v>
      </c>
      <c r="AA59" s="496">
        <f t="shared" si="76"/>
        <v>0</v>
      </c>
      <c r="AB59" s="496">
        <f t="shared" si="76"/>
        <v>0</v>
      </c>
      <c r="AC59" s="496">
        <f t="shared" si="76"/>
        <v>0</v>
      </c>
      <c r="AD59" s="496">
        <f t="shared" si="76"/>
        <v>0</v>
      </c>
      <c r="AE59" s="496">
        <f t="shared" si="76"/>
        <v>0</v>
      </c>
      <c r="AF59" s="496">
        <f t="shared" si="76"/>
        <v>0</v>
      </c>
      <c r="AG59" s="496">
        <f t="shared" si="76"/>
        <v>0</v>
      </c>
      <c r="AH59" s="456">
        <f t="shared" si="76"/>
        <v>0</v>
      </c>
      <c r="AI59" s="456">
        <f t="shared" si="76"/>
        <v>0</v>
      </c>
      <c r="AJ59" s="456">
        <f t="shared" si="76"/>
        <v>0</v>
      </c>
      <c r="AK59" s="456">
        <f t="shared" si="76"/>
        <v>0</v>
      </c>
      <c r="AL59" s="456">
        <f t="shared" si="76"/>
        <v>0</v>
      </c>
      <c r="AM59" s="456">
        <f t="shared" si="76"/>
        <v>0</v>
      </c>
      <c r="AN59" s="456">
        <f t="shared" si="76"/>
        <v>0</v>
      </c>
      <c r="AO59" s="456">
        <f t="shared" si="76"/>
        <v>0</v>
      </c>
      <c r="AP59" s="456">
        <f t="shared" si="76"/>
        <v>0</v>
      </c>
      <c r="AQ59" s="543">
        <f t="shared" si="76"/>
        <v>0</v>
      </c>
      <c r="AR59" s="542">
        <f t="shared" si="76"/>
        <v>6158831</v>
      </c>
      <c r="AS59" s="496">
        <f t="shared" si="76"/>
        <v>4491829</v>
      </c>
      <c r="AT59" s="496">
        <f t="shared" si="76"/>
        <v>17550</v>
      </c>
      <c r="AU59" s="496">
        <f t="shared" si="76"/>
        <v>1524171</v>
      </c>
      <c r="AV59" s="496">
        <f t="shared" si="76"/>
        <v>89837</v>
      </c>
      <c r="AW59" s="496">
        <f t="shared" si="76"/>
        <v>35444</v>
      </c>
      <c r="AX59" s="456">
        <f t="shared" si="76"/>
        <v>11.026099999999998</v>
      </c>
      <c r="AY59" s="456">
        <f t="shared" si="76"/>
        <v>6.9919000000000002</v>
      </c>
      <c r="AZ59" s="543">
        <f t="shared" si="76"/>
        <v>4.0341999999999993</v>
      </c>
    </row>
    <row r="60" spans="1:52" s="238" customFormat="1" ht="12.75" customHeight="1" x14ac:dyDescent="0.2">
      <c r="A60" s="240">
        <v>15</v>
      </c>
      <c r="B60" s="241">
        <v>3466</v>
      </c>
      <c r="C60" s="241">
        <v>691001260</v>
      </c>
      <c r="D60" s="241">
        <v>72048085</v>
      </c>
      <c r="E60" s="242" t="s">
        <v>38</v>
      </c>
      <c r="F60" s="241">
        <v>3111</v>
      </c>
      <c r="G60" s="242" t="s">
        <v>312</v>
      </c>
      <c r="H60" s="278" t="s">
        <v>278</v>
      </c>
      <c r="I60" s="489">
        <v>5167123</v>
      </c>
      <c r="J60" s="489">
        <v>3762874</v>
      </c>
      <c r="K60" s="489">
        <v>19500</v>
      </c>
      <c r="L60" s="489">
        <v>1278442</v>
      </c>
      <c r="M60" s="489">
        <v>75257</v>
      </c>
      <c r="N60" s="489">
        <v>31050</v>
      </c>
      <c r="O60" s="490">
        <v>8.0342000000000002</v>
      </c>
      <c r="P60" s="491">
        <v>6</v>
      </c>
      <c r="Q60" s="500">
        <v>2.0341999999999998</v>
      </c>
      <c r="R60" s="502">
        <f t="shared" si="1"/>
        <v>0</v>
      </c>
      <c r="S60" s="492">
        <v>0</v>
      </c>
      <c r="T60" s="492">
        <v>0</v>
      </c>
      <c r="U60" s="492">
        <v>0</v>
      </c>
      <c r="V60" s="492">
        <f t="shared" si="2"/>
        <v>0</v>
      </c>
      <c r="W60" s="492">
        <v>0</v>
      </c>
      <c r="X60" s="492">
        <v>0</v>
      </c>
      <c r="Y60" s="492">
        <v>0</v>
      </c>
      <c r="Z60" s="492">
        <f t="shared" si="3"/>
        <v>0</v>
      </c>
      <c r="AA60" s="492">
        <f t="shared" si="4"/>
        <v>0</v>
      </c>
      <c r="AB60" s="74">
        <f t="shared" si="5"/>
        <v>0</v>
      </c>
      <c r="AC60" s="74">
        <f t="shared" si="6"/>
        <v>0</v>
      </c>
      <c r="AD60" s="492">
        <v>0</v>
      </c>
      <c r="AE60" s="492">
        <v>0</v>
      </c>
      <c r="AF60" s="492">
        <f t="shared" si="7"/>
        <v>0</v>
      </c>
      <c r="AG60" s="492">
        <f t="shared" si="8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ref="AO60:AO62" si="77">AH60+AJ60+AM60+AK60</f>
        <v>0</v>
      </c>
      <c r="AP60" s="493">
        <f t="shared" ref="AP60:AP62" si="78">AI60+AN60+AL60</f>
        <v>0</v>
      </c>
      <c r="AQ60" s="495">
        <f t="shared" si="9"/>
        <v>0</v>
      </c>
      <c r="AR60" s="502">
        <f t="shared" si="10"/>
        <v>5167123</v>
      </c>
      <c r="AS60" s="492">
        <f t="shared" si="11"/>
        <v>3762874</v>
      </c>
      <c r="AT60" s="492">
        <f t="shared" ref="AT60:AT62" si="79">K60+Z60</f>
        <v>19500</v>
      </c>
      <c r="AU60" s="492">
        <f t="shared" ref="AU60:AV62" si="80">L60+AB60</f>
        <v>1278442</v>
      </c>
      <c r="AV60" s="492">
        <f t="shared" si="80"/>
        <v>75257</v>
      </c>
      <c r="AW60" s="492">
        <f t="shared" si="12"/>
        <v>31050</v>
      </c>
      <c r="AX60" s="493">
        <f t="shared" si="13"/>
        <v>8.0342000000000002</v>
      </c>
      <c r="AY60" s="493">
        <f t="shared" ref="AY60:AZ62" si="81">P60+AO60</f>
        <v>6</v>
      </c>
      <c r="AZ60" s="495">
        <f t="shared" si="81"/>
        <v>2.0341999999999998</v>
      </c>
    </row>
    <row r="61" spans="1:52" s="238" customFormat="1" x14ac:dyDescent="0.2">
      <c r="A61" s="240">
        <v>15</v>
      </c>
      <c r="B61" s="241">
        <v>3466</v>
      </c>
      <c r="C61" s="241">
        <v>691001260</v>
      </c>
      <c r="D61" s="241">
        <v>72048085</v>
      </c>
      <c r="E61" s="242" t="s">
        <v>38</v>
      </c>
      <c r="F61" s="241">
        <v>3111</v>
      </c>
      <c r="G61" s="242" t="s">
        <v>313</v>
      </c>
      <c r="H61" s="278" t="s">
        <v>279</v>
      </c>
      <c r="I61" s="489">
        <v>470471</v>
      </c>
      <c r="J61" s="489">
        <v>346444</v>
      </c>
      <c r="K61" s="489">
        <v>0</v>
      </c>
      <c r="L61" s="489">
        <v>117098</v>
      </c>
      <c r="M61" s="489">
        <v>6929</v>
      </c>
      <c r="N61" s="489">
        <v>0</v>
      </c>
      <c r="O61" s="490">
        <v>1</v>
      </c>
      <c r="P61" s="491">
        <v>1</v>
      </c>
      <c r="Q61" s="500">
        <v>0</v>
      </c>
      <c r="R61" s="502">
        <f t="shared" si="1"/>
        <v>0</v>
      </c>
      <c r="S61" s="492">
        <v>0</v>
      </c>
      <c r="T61" s="492">
        <v>0</v>
      </c>
      <c r="U61" s="492">
        <v>0</v>
      </c>
      <c r="V61" s="492">
        <f t="shared" si="2"/>
        <v>0</v>
      </c>
      <c r="W61" s="492">
        <v>0</v>
      </c>
      <c r="X61" s="492">
        <v>0</v>
      </c>
      <c r="Y61" s="492">
        <v>0</v>
      </c>
      <c r="Z61" s="492">
        <f t="shared" si="3"/>
        <v>0</v>
      </c>
      <c r="AA61" s="492">
        <f t="shared" si="4"/>
        <v>0</v>
      </c>
      <c r="AB61" s="74">
        <f t="shared" si="5"/>
        <v>0</v>
      </c>
      <c r="AC61" s="74">
        <f t="shared" si="6"/>
        <v>0</v>
      </c>
      <c r="AD61" s="492">
        <v>0</v>
      </c>
      <c r="AE61" s="492">
        <v>0</v>
      </c>
      <c r="AF61" s="492">
        <f t="shared" si="7"/>
        <v>0</v>
      </c>
      <c r="AG61" s="492">
        <f t="shared" si="8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77"/>
        <v>0</v>
      </c>
      <c r="AP61" s="493">
        <f t="shared" si="78"/>
        <v>0</v>
      </c>
      <c r="AQ61" s="495">
        <f t="shared" si="9"/>
        <v>0</v>
      </c>
      <c r="AR61" s="502">
        <f t="shared" si="10"/>
        <v>470471</v>
      </c>
      <c r="AS61" s="492">
        <f t="shared" si="11"/>
        <v>346444</v>
      </c>
      <c r="AT61" s="492">
        <f t="shared" si="79"/>
        <v>0</v>
      </c>
      <c r="AU61" s="492">
        <f t="shared" si="80"/>
        <v>117098</v>
      </c>
      <c r="AV61" s="492">
        <f t="shared" si="80"/>
        <v>6929</v>
      </c>
      <c r="AW61" s="492">
        <f t="shared" si="12"/>
        <v>0</v>
      </c>
      <c r="AX61" s="493">
        <f t="shared" si="13"/>
        <v>1</v>
      </c>
      <c r="AY61" s="493">
        <f t="shared" si="81"/>
        <v>1</v>
      </c>
      <c r="AZ61" s="495">
        <f t="shared" si="81"/>
        <v>0</v>
      </c>
    </row>
    <row r="62" spans="1:52" s="238" customFormat="1" ht="12.75" customHeight="1" x14ac:dyDescent="0.2">
      <c r="A62" s="240">
        <v>15</v>
      </c>
      <c r="B62" s="241">
        <v>3466</v>
      </c>
      <c r="C62" s="241">
        <v>691001260</v>
      </c>
      <c r="D62" s="241">
        <v>72048085</v>
      </c>
      <c r="E62" s="242" t="s">
        <v>38</v>
      </c>
      <c r="F62" s="241">
        <v>3141</v>
      </c>
      <c r="G62" s="242" t="s">
        <v>316</v>
      </c>
      <c r="H62" s="278" t="s">
        <v>279</v>
      </c>
      <c r="I62" s="489">
        <v>855155</v>
      </c>
      <c r="J62" s="489">
        <v>626770</v>
      </c>
      <c r="K62" s="489">
        <v>0</v>
      </c>
      <c r="L62" s="489">
        <v>211848</v>
      </c>
      <c r="M62" s="489">
        <v>12535</v>
      </c>
      <c r="N62" s="489">
        <v>4002</v>
      </c>
      <c r="O62" s="490">
        <v>1.97</v>
      </c>
      <c r="P62" s="491">
        <v>0</v>
      </c>
      <c r="Q62" s="500">
        <v>1.97</v>
      </c>
      <c r="R62" s="502">
        <f t="shared" si="1"/>
        <v>0</v>
      </c>
      <c r="S62" s="492">
        <v>0</v>
      </c>
      <c r="T62" s="492">
        <v>0</v>
      </c>
      <c r="U62" s="492">
        <v>0</v>
      </c>
      <c r="V62" s="492">
        <f t="shared" si="2"/>
        <v>0</v>
      </c>
      <c r="W62" s="492">
        <v>0</v>
      </c>
      <c r="X62" s="492">
        <v>0</v>
      </c>
      <c r="Y62" s="492">
        <v>0</v>
      </c>
      <c r="Z62" s="492">
        <f t="shared" si="3"/>
        <v>0</v>
      </c>
      <c r="AA62" s="492">
        <f t="shared" si="4"/>
        <v>0</v>
      </c>
      <c r="AB62" s="74">
        <f t="shared" si="5"/>
        <v>0</v>
      </c>
      <c r="AC62" s="74">
        <f t="shared" si="6"/>
        <v>0</v>
      </c>
      <c r="AD62" s="492">
        <v>0</v>
      </c>
      <c r="AE62" s="492">
        <v>0</v>
      </c>
      <c r="AF62" s="492">
        <f t="shared" si="7"/>
        <v>0</v>
      </c>
      <c r="AG62" s="492">
        <f t="shared" si="8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77"/>
        <v>0</v>
      </c>
      <c r="AP62" s="493">
        <f t="shared" si="78"/>
        <v>0</v>
      </c>
      <c r="AQ62" s="495">
        <f t="shared" si="9"/>
        <v>0</v>
      </c>
      <c r="AR62" s="502">
        <f t="shared" si="10"/>
        <v>855155</v>
      </c>
      <c r="AS62" s="492">
        <f t="shared" si="11"/>
        <v>626770</v>
      </c>
      <c r="AT62" s="492">
        <f t="shared" si="79"/>
        <v>0</v>
      </c>
      <c r="AU62" s="492">
        <f t="shared" si="80"/>
        <v>211848</v>
      </c>
      <c r="AV62" s="492">
        <f t="shared" si="80"/>
        <v>12535</v>
      </c>
      <c r="AW62" s="492">
        <f t="shared" si="12"/>
        <v>4002</v>
      </c>
      <c r="AX62" s="493">
        <f t="shared" si="13"/>
        <v>1.97</v>
      </c>
      <c r="AY62" s="493">
        <f t="shared" si="81"/>
        <v>0</v>
      </c>
      <c r="AZ62" s="495">
        <f t="shared" si="81"/>
        <v>1.97</v>
      </c>
    </row>
    <row r="63" spans="1:52" s="238" customFormat="1" ht="12.75" customHeight="1" x14ac:dyDescent="0.2">
      <c r="A63" s="164">
        <v>15</v>
      </c>
      <c r="B63" s="15">
        <v>3466</v>
      </c>
      <c r="C63" s="163">
        <v>691001260</v>
      </c>
      <c r="D63" s="163">
        <v>72048085</v>
      </c>
      <c r="E63" s="239" t="s">
        <v>39</v>
      </c>
      <c r="F63" s="15"/>
      <c r="G63" s="239"/>
      <c r="H63" s="277"/>
      <c r="I63" s="496">
        <v>6492749</v>
      </c>
      <c r="J63" s="496">
        <v>4736088</v>
      </c>
      <c r="K63" s="496">
        <v>19500</v>
      </c>
      <c r="L63" s="496">
        <v>1607388</v>
      </c>
      <c r="M63" s="496">
        <v>94721</v>
      </c>
      <c r="N63" s="496">
        <v>35052</v>
      </c>
      <c r="O63" s="456">
        <v>11.004200000000001</v>
      </c>
      <c r="P63" s="456">
        <v>7</v>
      </c>
      <c r="Q63" s="456">
        <v>4.0042</v>
      </c>
      <c r="R63" s="542">
        <f t="shared" ref="R63:AZ63" si="82">SUM(R60:R62)</f>
        <v>0</v>
      </c>
      <c r="S63" s="496">
        <f t="shared" si="82"/>
        <v>0</v>
      </c>
      <c r="T63" s="496">
        <f t="shared" si="82"/>
        <v>0</v>
      </c>
      <c r="U63" s="496">
        <f t="shared" si="82"/>
        <v>0</v>
      </c>
      <c r="V63" s="496">
        <f t="shared" si="82"/>
        <v>0</v>
      </c>
      <c r="W63" s="496">
        <f t="shared" si="82"/>
        <v>0</v>
      </c>
      <c r="X63" s="496">
        <f t="shared" si="82"/>
        <v>0</v>
      </c>
      <c r="Y63" s="496">
        <f t="shared" si="82"/>
        <v>0</v>
      </c>
      <c r="Z63" s="496">
        <f t="shared" si="82"/>
        <v>0</v>
      </c>
      <c r="AA63" s="496">
        <f t="shared" si="82"/>
        <v>0</v>
      </c>
      <c r="AB63" s="496">
        <f t="shared" si="82"/>
        <v>0</v>
      </c>
      <c r="AC63" s="496">
        <f t="shared" si="82"/>
        <v>0</v>
      </c>
      <c r="AD63" s="496">
        <f t="shared" si="82"/>
        <v>0</v>
      </c>
      <c r="AE63" s="496">
        <f t="shared" si="82"/>
        <v>0</v>
      </c>
      <c r="AF63" s="496">
        <f t="shared" si="82"/>
        <v>0</v>
      </c>
      <c r="AG63" s="496">
        <f t="shared" si="82"/>
        <v>0</v>
      </c>
      <c r="AH63" s="456">
        <f t="shared" si="82"/>
        <v>0</v>
      </c>
      <c r="AI63" s="456">
        <f t="shared" si="82"/>
        <v>0</v>
      </c>
      <c r="AJ63" s="456">
        <f t="shared" si="82"/>
        <v>0</v>
      </c>
      <c r="AK63" s="456">
        <f t="shared" si="82"/>
        <v>0</v>
      </c>
      <c r="AL63" s="456">
        <f t="shared" si="82"/>
        <v>0</v>
      </c>
      <c r="AM63" s="456">
        <f t="shared" si="82"/>
        <v>0</v>
      </c>
      <c r="AN63" s="456">
        <f t="shared" si="82"/>
        <v>0</v>
      </c>
      <c r="AO63" s="456">
        <f t="shared" si="82"/>
        <v>0</v>
      </c>
      <c r="AP63" s="456">
        <f t="shared" si="82"/>
        <v>0</v>
      </c>
      <c r="AQ63" s="543">
        <f t="shared" si="82"/>
        <v>0</v>
      </c>
      <c r="AR63" s="542">
        <f t="shared" si="82"/>
        <v>6492749</v>
      </c>
      <c r="AS63" s="496">
        <f t="shared" si="82"/>
        <v>4736088</v>
      </c>
      <c r="AT63" s="496">
        <f t="shared" si="82"/>
        <v>19500</v>
      </c>
      <c r="AU63" s="496">
        <f t="shared" si="82"/>
        <v>1607388</v>
      </c>
      <c r="AV63" s="496">
        <f t="shared" si="82"/>
        <v>94721</v>
      </c>
      <c r="AW63" s="496">
        <f t="shared" si="82"/>
        <v>35052</v>
      </c>
      <c r="AX63" s="456">
        <f t="shared" si="82"/>
        <v>11.004200000000001</v>
      </c>
      <c r="AY63" s="456">
        <f t="shared" si="82"/>
        <v>7</v>
      </c>
      <c r="AZ63" s="543">
        <f t="shared" si="82"/>
        <v>4.0042</v>
      </c>
    </row>
    <row r="64" spans="1:52" s="238" customFormat="1" ht="12.75" customHeight="1" x14ac:dyDescent="0.2">
      <c r="A64" s="240">
        <v>16</v>
      </c>
      <c r="B64" s="241">
        <v>3407</v>
      </c>
      <c r="C64" s="241">
        <v>667000089</v>
      </c>
      <c r="D64" s="241">
        <v>72743778</v>
      </c>
      <c r="E64" s="242" t="s">
        <v>40</v>
      </c>
      <c r="F64" s="241">
        <v>3111</v>
      </c>
      <c r="G64" s="242" t="s">
        <v>312</v>
      </c>
      <c r="H64" s="278" t="s">
        <v>278</v>
      </c>
      <c r="I64" s="489">
        <v>11646700</v>
      </c>
      <c r="J64" s="489">
        <v>8508438</v>
      </c>
      <c r="K64" s="489">
        <v>19500</v>
      </c>
      <c r="L64" s="489">
        <v>2882443</v>
      </c>
      <c r="M64" s="489">
        <v>170169</v>
      </c>
      <c r="N64" s="489">
        <v>66150</v>
      </c>
      <c r="O64" s="490">
        <v>19.234999999999999</v>
      </c>
      <c r="P64" s="491">
        <v>14</v>
      </c>
      <c r="Q64" s="500">
        <v>5.2349999999999994</v>
      </c>
      <c r="R64" s="502">
        <f t="shared" si="1"/>
        <v>0</v>
      </c>
      <c r="S64" s="492">
        <v>0</v>
      </c>
      <c r="T64" s="492">
        <v>0</v>
      </c>
      <c r="U64" s="492">
        <v>0</v>
      </c>
      <c r="V64" s="492">
        <f t="shared" si="2"/>
        <v>0</v>
      </c>
      <c r="W64" s="492">
        <v>0</v>
      </c>
      <c r="X64" s="492">
        <v>0</v>
      </c>
      <c r="Y64" s="492">
        <v>0</v>
      </c>
      <c r="Z64" s="492">
        <f t="shared" si="3"/>
        <v>0</v>
      </c>
      <c r="AA64" s="492">
        <f t="shared" si="4"/>
        <v>0</v>
      </c>
      <c r="AB64" s="74">
        <f t="shared" si="5"/>
        <v>0</v>
      </c>
      <c r="AC64" s="74">
        <f t="shared" si="6"/>
        <v>0</v>
      </c>
      <c r="AD64" s="492">
        <v>0</v>
      </c>
      <c r="AE64" s="492">
        <v>0</v>
      </c>
      <c r="AF64" s="492">
        <f t="shared" si="7"/>
        <v>0</v>
      </c>
      <c r="AG64" s="492">
        <f t="shared" si="8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ref="AO64:AO66" si="83">AH64+AJ64+AM64+AK64</f>
        <v>0</v>
      </c>
      <c r="AP64" s="493">
        <f t="shared" ref="AP64:AP66" si="84">AI64+AN64+AL64</f>
        <v>0</v>
      </c>
      <c r="AQ64" s="495">
        <f t="shared" si="9"/>
        <v>0</v>
      </c>
      <c r="AR64" s="502">
        <f t="shared" si="10"/>
        <v>11646700</v>
      </c>
      <c r="AS64" s="492">
        <f t="shared" si="11"/>
        <v>8508438</v>
      </c>
      <c r="AT64" s="492">
        <f t="shared" ref="AT64:AT66" si="85">K64+Z64</f>
        <v>19500</v>
      </c>
      <c r="AU64" s="492">
        <f t="shared" ref="AU64:AV66" si="86">L64+AB64</f>
        <v>2882443</v>
      </c>
      <c r="AV64" s="492">
        <f t="shared" si="86"/>
        <v>170169</v>
      </c>
      <c r="AW64" s="492">
        <f t="shared" si="12"/>
        <v>66150</v>
      </c>
      <c r="AX64" s="493">
        <f t="shared" si="13"/>
        <v>19.234999999999999</v>
      </c>
      <c r="AY64" s="493">
        <f t="shared" ref="AY64:AZ66" si="87">P64+AO64</f>
        <v>14</v>
      </c>
      <c r="AZ64" s="495">
        <f t="shared" si="87"/>
        <v>5.2349999999999994</v>
      </c>
    </row>
    <row r="65" spans="1:52" s="238" customFormat="1" ht="12.75" customHeight="1" x14ac:dyDescent="0.2">
      <c r="A65" s="240">
        <v>16</v>
      </c>
      <c r="B65" s="241">
        <v>3407</v>
      </c>
      <c r="C65" s="241">
        <v>667000089</v>
      </c>
      <c r="D65" s="241">
        <v>72743778</v>
      </c>
      <c r="E65" s="242" t="s">
        <v>40</v>
      </c>
      <c r="F65" s="241">
        <v>3111</v>
      </c>
      <c r="G65" s="242" t="s">
        <v>313</v>
      </c>
      <c r="H65" s="278" t="s">
        <v>279</v>
      </c>
      <c r="I65" s="489">
        <v>352854</v>
      </c>
      <c r="J65" s="489">
        <v>259833</v>
      </c>
      <c r="K65" s="489">
        <v>0</v>
      </c>
      <c r="L65" s="489">
        <v>87824</v>
      </c>
      <c r="M65" s="489">
        <v>5197</v>
      </c>
      <c r="N65" s="489">
        <v>0</v>
      </c>
      <c r="O65" s="490">
        <v>0.75</v>
      </c>
      <c r="P65" s="491">
        <v>0.75</v>
      </c>
      <c r="Q65" s="500">
        <v>0</v>
      </c>
      <c r="R65" s="502">
        <f t="shared" si="1"/>
        <v>0</v>
      </c>
      <c r="S65" s="492">
        <v>0</v>
      </c>
      <c r="T65" s="492">
        <v>0</v>
      </c>
      <c r="U65" s="492">
        <v>0</v>
      </c>
      <c r="V65" s="492">
        <f t="shared" si="2"/>
        <v>0</v>
      </c>
      <c r="W65" s="492">
        <v>0</v>
      </c>
      <c r="X65" s="492">
        <v>0</v>
      </c>
      <c r="Y65" s="492">
        <v>0</v>
      </c>
      <c r="Z65" s="492">
        <f t="shared" si="3"/>
        <v>0</v>
      </c>
      <c r="AA65" s="492">
        <f t="shared" si="4"/>
        <v>0</v>
      </c>
      <c r="AB65" s="74">
        <f t="shared" si="5"/>
        <v>0</v>
      </c>
      <c r="AC65" s="74">
        <f t="shared" si="6"/>
        <v>0</v>
      </c>
      <c r="AD65" s="492">
        <v>0</v>
      </c>
      <c r="AE65" s="492">
        <v>0</v>
      </c>
      <c r="AF65" s="492">
        <f t="shared" si="7"/>
        <v>0</v>
      </c>
      <c r="AG65" s="492">
        <f t="shared" si="8"/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si="83"/>
        <v>0</v>
      </c>
      <c r="AP65" s="493">
        <f t="shared" si="84"/>
        <v>0</v>
      </c>
      <c r="AQ65" s="495">
        <f t="shared" si="9"/>
        <v>0</v>
      </c>
      <c r="AR65" s="502">
        <f t="shared" si="10"/>
        <v>352854</v>
      </c>
      <c r="AS65" s="492">
        <f t="shared" si="11"/>
        <v>259833</v>
      </c>
      <c r="AT65" s="492">
        <f t="shared" si="85"/>
        <v>0</v>
      </c>
      <c r="AU65" s="492">
        <f t="shared" si="86"/>
        <v>87824</v>
      </c>
      <c r="AV65" s="492">
        <f t="shared" si="86"/>
        <v>5197</v>
      </c>
      <c r="AW65" s="492">
        <f t="shared" si="12"/>
        <v>0</v>
      </c>
      <c r="AX65" s="493">
        <f t="shared" si="13"/>
        <v>0.75</v>
      </c>
      <c r="AY65" s="493">
        <f t="shared" si="87"/>
        <v>0.75</v>
      </c>
      <c r="AZ65" s="495">
        <f t="shared" si="87"/>
        <v>0</v>
      </c>
    </row>
    <row r="66" spans="1:52" s="238" customFormat="1" ht="12.75" customHeight="1" x14ac:dyDescent="0.2">
      <c r="A66" s="240">
        <v>16</v>
      </c>
      <c r="B66" s="241">
        <v>3407</v>
      </c>
      <c r="C66" s="241">
        <v>667000089</v>
      </c>
      <c r="D66" s="241">
        <v>72743778</v>
      </c>
      <c r="E66" s="242" t="s">
        <v>40</v>
      </c>
      <c r="F66" s="241">
        <v>3141</v>
      </c>
      <c r="G66" s="242" t="s">
        <v>316</v>
      </c>
      <c r="H66" s="278" t="s">
        <v>279</v>
      </c>
      <c r="I66" s="489">
        <v>1779327</v>
      </c>
      <c r="J66" s="489">
        <v>1303977</v>
      </c>
      <c r="K66" s="489">
        <v>0</v>
      </c>
      <c r="L66" s="489">
        <v>440744</v>
      </c>
      <c r="M66" s="489">
        <v>26080</v>
      </c>
      <c r="N66" s="489">
        <v>8526</v>
      </c>
      <c r="O66" s="490">
        <v>4.1100000000000003</v>
      </c>
      <c r="P66" s="491">
        <v>0</v>
      </c>
      <c r="Q66" s="500">
        <v>4.1100000000000003</v>
      </c>
      <c r="R66" s="502">
        <f t="shared" si="1"/>
        <v>0</v>
      </c>
      <c r="S66" s="492">
        <v>0</v>
      </c>
      <c r="T66" s="492">
        <v>0</v>
      </c>
      <c r="U66" s="492">
        <v>0</v>
      </c>
      <c r="V66" s="492">
        <f t="shared" si="2"/>
        <v>0</v>
      </c>
      <c r="W66" s="492">
        <v>0</v>
      </c>
      <c r="X66" s="492">
        <v>0</v>
      </c>
      <c r="Y66" s="492">
        <v>0</v>
      </c>
      <c r="Z66" s="492">
        <f t="shared" si="3"/>
        <v>0</v>
      </c>
      <c r="AA66" s="492">
        <f t="shared" si="4"/>
        <v>0</v>
      </c>
      <c r="AB66" s="74">
        <f t="shared" si="5"/>
        <v>0</v>
      </c>
      <c r="AC66" s="74">
        <f t="shared" si="6"/>
        <v>0</v>
      </c>
      <c r="AD66" s="492">
        <v>0</v>
      </c>
      <c r="AE66" s="492">
        <v>0</v>
      </c>
      <c r="AF66" s="492">
        <f t="shared" si="7"/>
        <v>0</v>
      </c>
      <c r="AG66" s="492">
        <f t="shared" si="8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83"/>
        <v>0</v>
      </c>
      <c r="AP66" s="493">
        <f t="shared" si="84"/>
        <v>0</v>
      </c>
      <c r="AQ66" s="495">
        <f t="shared" si="9"/>
        <v>0</v>
      </c>
      <c r="AR66" s="502">
        <f t="shared" si="10"/>
        <v>1779327</v>
      </c>
      <c r="AS66" s="492">
        <f t="shared" si="11"/>
        <v>1303977</v>
      </c>
      <c r="AT66" s="492">
        <f t="shared" si="85"/>
        <v>0</v>
      </c>
      <c r="AU66" s="492">
        <f t="shared" si="86"/>
        <v>440744</v>
      </c>
      <c r="AV66" s="492">
        <f t="shared" si="86"/>
        <v>26080</v>
      </c>
      <c r="AW66" s="492">
        <f t="shared" si="12"/>
        <v>8526</v>
      </c>
      <c r="AX66" s="493">
        <f t="shared" si="13"/>
        <v>4.1100000000000003</v>
      </c>
      <c r="AY66" s="493">
        <f t="shared" si="87"/>
        <v>0</v>
      </c>
      <c r="AZ66" s="495">
        <f t="shared" si="87"/>
        <v>4.1100000000000003</v>
      </c>
    </row>
    <row r="67" spans="1:52" s="238" customFormat="1" ht="12.75" customHeight="1" x14ac:dyDescent="0.2">
      <c r="A67" s="164">
        <v>16</v>
      </c>
      <c r="B67" s="15">
        <v>3407</v>
      </c>
      <c r="C67" s="163">
        <v>667000089</v>
      </c>
      <c r="D67" s="163">
        <v>72743778</v>
      </c>
      <c r="E67" s="239" t="s">
        <v>41</v>
      </c>
      <c r="F67" s="15"/>
      <c r="G67" s="239"/>
      <c r="H67" s="277"/>
      <c r="I67" s="496">
        <v>13778881</v>
      </c>
      <c r="J67" s="496">
        <v>10072248</v>
      </c>
      <c r="K67" s="496">
        <v>19500</v>
      </c>
      <c r="L67" s="496">
        <v>3411011</v>
      </c>
      <c r="M67" s="496">
        <v>201446</v>
      </c>
      <c r="N67" s="496">
        <v>74676</v>
      </c>
      <c r="O67" s="456">
        <v>24.094999999999999</v>
      </c>
      <c r="P67" s="456">
        <v>14.75</v>
      </c>
      <c r="Q67" s="456">
        <v>9.3449999999999989</v>
      </c>
      <c r="R67" s="542">
        <f t="shared" ref="R67:AZ67" si="88">SUM(R64:R66)</f>
        <v>0</v>
      </c>
      <c r="S67" s="496">
        <f t="shared" si="88"/>
        <v>0</v>
      </c>
      <c r="T67" s="496">
        <f t="shared" si="88"/>
        <v>0</v>
      </c>
      <c r="U67" s="496">
        <f t="shared" si="88"/>
        <v>0</v>
      </c>
      <c r="V67" s="496">
        <f t="shared" si="88"/>
        <v>0</v>
      </c>
      <c r="W67" s="496">
        <f t="shared" si="88"/>
        <v>0</v>
      </c>
      <c r="X67" s="496">
        <f t="shared" si="88"/>
        <v>0</v>
      </c>
      <c r="Y67" s="496">
        <f t="shared" si="88"/>
        <v>0</v>
      </c>
      <c r="Z67" s="496">
        <f t="shared" si="88"/>
        <v>0</v>
      </c>
      <c r="AA67" s="496">
        <f t="shared" si="88"/>
        <v>0</v>
      </c>
      <c r="AB67" s="496">
        <f t="shared" si="88"/>
        <v>0</v>
      </c>
      <c r="AC67" s="496">
        <f t="shared" si="88"/>
        <v>0</v>
      </c>
      <c r="AD67" s="496">
        <f t="shared" si="88"/>
        <v>0</v>
      </c>
      <c r="AE67" s="496">
        <f t="shared" si="88"/>
        <v>0</v>
      </c>
      <c r="AF67" s="496">
        <f t="shared" si="88"/>
        <v>0</v>
      </c>
      <c r="AG67" s="496">
        <f t="shared" si="88"/>
        <v>0</v>
      </c>
      <c r="AH67" s="456">
        <f t="shared" si="88"/>
        <v>0</v>
      </c>
      <c r="AI67" s="456">
        <f t="shared" si="88"/>
        <v>0</v>
      </c>
      <c r="AJ67" s="456">
        <f t="shared" si="88"/>
        <v>0</v>
      </c>
      <c r="AK67" s="456">
        <f t="shared" si="88"/>
        <v>0</v>
      </c>
      <c r="AL67" s="456">
        <f t="shared" si="88"/>
        <v>0</v>
      </c>
      <c r="AM67" s="456">
        <f t="shared" si="88"/>
        <v>0</v>
      </c>
      <c r="AN67" s="456">
        <f t="shared" si="88"/>
        <v>0</v>
      </c>
      <c r="AO67" s="456">
        <f t="shared" si="88"/>
        <v>0</v>
      </c>
      <c r="AP67" s="456">
        <f t="shared" si="88"/>
        <v>0</v>
      </c>
      <c r="AQ67" s="543">
        <f t="shared" si="88"/>
        <v>0</v>
      </c>
      <c r="AR67" s="542">
        <f t="shared" si="88"/>
        <v>13778881</v>
      </c>
      <c r="AS67" s="496">
        <f t="shared" si="88"/>
        <v>10072248</v>
      </c>
      <c r="AT67" s="496">
        <f t="shared" si="88"/>
        <v>19500</v>
      </c>
      <c r="AU67" s="496">
        <f t="shared" si="88"/>
        <v>3411011</v>
      </c>
      <c r="AV67" s="496">
        <f t="shared" si="88"/>
        <v>201446</v>
      </c>
      <c r="AW67" s="496">
        <f t="shared" si="88"/>
        <v>74676</v>
      </c>
      <c r="AX67" s="456">
        <f t="shared" si="88"/>
        <v>24.094999999999999</v>
      </c>
      <c r="AY67" s="456">
        <f t="shared" si="88"/>
        <v>14.75</v>
      </c>
      <c r="AZ67" s="543">
        <f t="shared" si="88"/>
        <v>9.3449999999999989</v>
      </c>
    </row>
    <row r="68" spans="1:52" s="238" customFormat="1" ht="12.75" customHeight="1" x14ac:dyDescent="0.2">
      <c r="A68" s="240">
        <v>17</v>
      </c>
      <c r="B68" s="241">
        <v>3463</v>
      </c>
      <c r="C68" s="241">
        <v>691001308</v>
      </c>
      <c r="D68" s="241">
        <v>72048166</v>
      </c>
      <c r="E68" s="242" t="s">
        <v>42</v>
      </c>
      <c r="F68" s="241">
        <v>3111</v>
      </c>
      <c r="G68" s="242" t="s">
        <v>312</v>
      </c>
      <c r="H68" s="278" t="s">
        <v>278</v>
      </c>
      <c r="I68" s="489">
        <v>6989889</v>
      </c>
      <c r="J68" s="489">
        <v>5028374</v>
      </c>
      <c r="K68" s="489">
        <v>91000</v>
      </c>
      <c r="L68" s="489">
        <v>1730348</v>
      </c>
      <c r="M68" s="489">
        <v>100567</v>
      </c>
      <c r="N68" s="489">
        <v>39600</v>
      </c>
      <c r="O68" s="490">
        <v>11.1297</v>
      </c>
      <c r="P68" s="491">
        <v>8.4514999999999993</v>
      </c>
      <c r="Q68" s="500">
        <v>2.6781999999999999</v>
      </c>
      <c r="R68" s="502">
        <f t="shared" si="1"/>
        <v>0</v>
      </c>
      <c r="S68" s="492">
        <v>0</v>
      </c>
      <c r="T68" s="492">
        <v>0</v>
      </c>
      <c r="U68" s="492">
        <v>0</v>
      </c>
      <c r="V68" s="492">
        <f t="shared" si="2"/>
        <v>0</v>
      </c>
      <c r="W68" s="492">
        <v>0</v>
      </c>
      <c r="X68" s="492">
        <v>0</v>
      </c>
      <c r="Y68" s="492">
        <v>0</v>
      </c>
      <c r="Z68" s="492">
        <f t="shared" si="3"/>
        <v>0</v>
      </c>
      <c r="AA68" s="492">
        <f t="shared" si="4"/>
        <v>0</v>
      </c>
      <c r="AB68" s="74">
        <f t="shared" si="5"/>
        <v>0</v>
      </c>
      <c r="AC68" s="74">
        <f t="shared" si="6"/>
        <v>0</v>
      </c>
      <c r="AD68" s="492">
        <v>0</v>
      </c>
      <c r="AE68" s="492">
        <v>0</v>
      </c>
      <c r="AF68" s="492">
        <f t="shared" si="7"/>
        <v>0</v>
      </c>
      <c r="AG68" s="492">
        <f t="shared" si="8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ref="AO68:AO70" si="89">AH68+AJ68+AM68+AK68</f>
        <v>0</v>
      </c>
      <c r="AP68" s="493">
        <f t="shared" ref="AP68:AP70" si="90">AI68+AN68+AL68</f>
        <v>0</v>
      </c>
      <c r="AQ68" s="495">
        <f t="shared" si="9"/>
        <v>0</v>
      </c>
      <c r="AR68" s="502">
        <f t="shared" si="10"/>
        <v>6989889</v>
      </c>
      <c r="AS68" s="492">
        <f t="shared" si="11"/>
        <v>5028374</v>
      </c>
      <c r="AT68" s="492">
        <f t="shared" ref="AT68:AT70" si="91">K68+Z68</f>
        <v>91000</v>
      </c>
      <c r="AU68" s="492">
        <f t="shared" ref="AU68:AV70" si="92">L68+AB68</f>
        <v>1730348</v>
      </c>
      <c r="AV68" s="492">
        <f t="shared" si="92"/>
        <v>100567</v>
      </c>
      <c r="AW68" s="492">
        <f t="shared" si="12"/>
        <v>39600</v>
      </c>
      <c r="AX68" s="493">
        <f t="shared" si="13"/>
        <v>11.1297</v>
      </c>
      <c r="AY68" s="493">
        <f t="shared" ref="AY68:AZ70" si="93">P68+AO68</f>
        <v>8.4514999999999993</v>
      </c>
      <c r="AZ68" s="495">
        <f t="shared" si="93"/>
        <v>2.6781999999999999</v>
      </c>
    </row>
    <row r="69" spans="1:52" s="238" customFormat="1" x14ac:dyDescent="0.2">
      <c r="A69" s="240">
        <v>17</v>
      </c>
      <c r="B69" s="241">
        <v>3463</v>
      </c>
      <c r="C69" s="241">
        <v>691001308</v>
      </c>
      <c r="D69" s="241">
        <v>72048166</v>
      </c>
      <c r="E69" s="242" t="s">
        <v>42</v>
      </c>
      <c r="F69" s="241">
        <v>3111</v>
      </c>
      <c r="G69" s="242" t="s">
        <v>313</v>
      </c>
      <c r="H69" s="278" t="s">
        <v>279</v>
      </c>
      <c r="I69" s="489">
        <v>1426591</v>
      </c>
      <c r="J69" s="489">
        <v>1047011</v>
      </c>
      <c r="K69" s="489">
        <v>0</v>
      </c>
      <c r="L69" s="489">
        <v>353890</v>
      </c>
      <c r="M69" s="489">
        <v>20940</v>
      </c>
      <c r="N69" s="489">
        <v>4750</v>
      </c>
      <c r="O69" s="490">
        <v>3</v>
      </c>
      <c r="P69" s="491">
        <v>3</v>
      </c>
      <c r="Q69" s="500">
        <v>0</v>
      </c>
      <c r="R69" s="502">
        <f t="shared" si="1"/>
        <v>0</v>
      </c>
      <c r="S69" s="492">
        <v>0</v>
      </c>
      <c r="T69" s="492">
        <v>0</v>
      </c>
      <c r="U69" s="492">
        <v>0</v>
      </c>
      <c r="V69" s="492">
        <f t="shared" si="2"/>
        <v>0</v>
      </c>
      <c r="W69" s="492">
        <v>0</v>
      </c>
      <c r="X69" s="492">
        <v>0</v>
      </c>
      <c r="Y69" s="492">
        <v>0</v>
      </c>
      <c r="Z69" s="492">
        <f t="shared" si="3"/>
        <v>0</v>
      </c>
      <c r="AA69" s="492">
        <f t="shared" si="4"/>
        <v>0</v>
      </c>
      <c r="AB69" s="74">
        <f t="shared" si="5"/>
        <v>0</v>
      </c>
      <c r="AC69" s="74">
        <f t="shared" si="6"/>
        <v>0</v>
      </c>
      <c r="AD69" s="492">
        <v>0</v>
      </c>
      <c r="AE69" s="492">
        <v>0</v>
      </c>
      <c r="AF69" s="492">
        <f t="shared" si="7"/>
        <v>0</v>
      </c>
      <c r="AG69" s="492">
        <f t="shared" si="8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89"/>
        <v>0</v>
      </c>
      <c r="AP69" s="493">
        <f t="shared" si="90"/>
        <v>0</v>
      </c>
      <c r="AQ69" s="495">
        <f t="shared" si="9"/>
        <v>0</v>
      </c>
      <c r="AR69" s="502">
        <f t="shared" si="10"/>
        <v>1426591</v>
      </c>
      <c r="AS69" s="492">
        <f t="shared" si="11"/>
        <v>1047011</v>
      </c>
      <c r="AT69" s="492">
        <f t="shared" si="91"/>
        <v>0</v>
      </c>
      <c r="AU69" s="492">
        <f t="shared" si="92"/>
        <v>353890</v>
      </c>
      <c r="AV69" s="492">
        <f t="shared" si="92"/>
        <v>20940</v>
      </c>
      <c r="AW69" s="492">
        <f t="shared" si="12"/>
        <v>4750</v>
      </c>
      <c r="AX69" s="493">
        <f t="shared" si="13"/>
        <v>3</v>
      </c>
      <c r="AY69" s="493">
        <f t="shared" si="93"/>
        <v>3</v>
      </c>
      <c r="AZ69" s="495">
        <f t="shared" si="93"/>
        <v>0</v>
      </c>
    </row>
    <row r="70" spans="1:52" s="238" customFormat="1" ht="12.75" customHeight="1" x14ac:dyDescent="0.2">
      <c r="A70" s="240">
        <v>17</v>
      </c>
      <c r="B70" s="241">
        <v>3463</v>
      </c>
      <c r="C70" s="241">
        <v>691001308</v>
      </c>
      <c r="D70" s="241">
        <v>72048166</v>
      </c>
      <c r="E70" s="242" t="s">
        <v>42</v>
      </c>
      <c r="F70" s="241">
        <v>3141</v>
      </c>
      <c r="G70" s="242" t="s">
        <v>316</v>
      </c>
      <c r="H70" s="278" t="s">
        <v>279</v>
      </c>
      <c r="I70" s="489">
        <v>1009600</v>
      </c>
      <c r="J70" s="489">
        <v>726879</v>
      </c>
      <c r="K70" s="489">
        <v>13000</v>
      </c>
      <c r="L70" s="489">
        <v>250079</v>
      </c>
      <c r="M70" s="489">
        <v>14538</v>
      </c>
      <c r="N70" s="489">
        <v>5104</v>
      </c>
      <c r="O70" s="490">
        <v>2.33</v>
      </c>
      <c r="P70" s="491">
        <v>0</v>
      </c>
      <c r="Q70" s="500">
        <v>2.33</v>
      </c>
      <c r="R70" s="502">
        <f t="shared" si="1"/>
        <v>0</v>
      </c>
      <c r="S70" s="492">
        <v>0</v>
      </c>
      <c r="T70" s="492">
        <v>0</v>
      </c>
      <c r="U70" s="492">
        <v>0</v>
      </c>
      <c r="V70" s="492">
        <f t="shared" si="2"/>
        <v>0</v>
      </c>
      <c r="W70" s="492">
        <v>0</v>
      </c>
      <c r="X70" s="492">
        <v>0</v>
      </c>
      <c r="Y70" s="492">
        <v>0</v>
      </c>
      <c r="Z70" s="492">
        <f t="shared" si="3"/>
        <v>0</v>
      </c>
      <c r="AA70" s="492">
        <f t="shared" si="4"/>
        <v>0</v>
      </c>
      <c r="AB70" s="74">
        <f t="shared" si="5"/>
        <v>0</v>
      </c>
      <c r="AC70" s="74">
        <f t="shared" si="6"/>
        <v>0</v>
      </c>
      <c r="AD70" s="492">
        <v>0</v>
      </c>
      <c r="AE70" s="492">
        <v>0</v>
      </c>
      <c r="AF70" s="492">
        <f t="shared" si="7"/>
        <v>0</v>
      </c>
      <c r="AG70" s="492">
        <f t="shared" si="8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89"/>
        <v>0</v>
      </c>
      <c r="AP70" s="493">
        <f t="shared" si="90"/>
        <v>0</v>
      </c>
      <c r="AQ70" s="495">
        <f t="shared" si="9"/>
        <v>0</v>
      </c>
      <c r="AR70" s="502">
        <f t="shared" si="10"/>
        <v>1009600</v>
      </c>
      <c r="AS70" s="492">
        <f t="shared" si="11"/>
        <v>726879</v>
      </c>
      <c r="AT70" s="492">
        <f t="shared" si="91"/>
        <v>13000</v>
      </c>
      <c r="AU70" s="492">
        <f t="shared" si="92"/>
        <v>250079</v>
      </c>
      <c r="AV70" s="492">
        <f t="shared" si="92"/>
        <v>14538</v>
      </c>
      <c r="AW70" s="492">
        <f t="shared" si="12"/>
        <v>5104</v>
      </c>
      <c r="AX70" s="493">
        <f t="shared" si="13"/>
        <v>2.33</v>
      </c>
      <c r="AY70" s="493">
        <f t="shared" si="93"/>
        <v>0</v>
      </c>
      <c r="AZ70" s="495">
        <f t="shared" si="93"/>
        <v>2.33</v>
      </c>
    </row>
    <row r="71" spans="1:52" s="238" customFormat="1" ht="12.75" customHeight="1" x14ac:dyDescent="0.2">
      <c r="A71" s="164">
        <v>17</v>
      </c>
      <c r="B71" s="15">
        <v>3463</v>
      </c>
      <c r="C71" s="163">
        <v>691001308</v>
      </c>
      <c r="D71" s="163">
        <v>72048166</v>
      </c>
      <c r="E71" s="239" t="s">
        <v>43</v>
      </c>
      <c r="F71" s="15"/>
      <c r="G71" s="239"/>
      <c r="H71" s="277"/>
      <c r="I71" s="496">
        <v>9426080</v>
      </c>
      <c r="J71" s="496">
        <v>6802264</v>
      </c>
      <c r="K71" s="496">
        <v>104000</v>
      </c>
      <c r="L71" s="496">
        <v>2334317</v>
      </c>
      <c r="M71" s="496">
        <v>136045</v>
      </c>
      <c r="N71" s="496">
        <v>49454</v>
      </c>
      <c r="O71" s="456">
        <v>16.459699999999998</v>
      </c>
      <c r="P71" s="456">
        <v>11.451499999999999</v>
      </c>
      <c r="Q71" s="456">
        <v>5.0082000000000004</v>
      </c>
      <c r="R71" s="542">
        <f t="shared" ref="R71:AZ71" si="94">SUM(R68:R70)</f>
        <v>0</v>
      </c>
      <c r="S71" s="496">
        <f t="shared" si="94"/>
        <v>0</v>
      </c>
      <c r="T71" s="496">
        <f t="shared" si="94"/>
        <v>0</v>
      </c>
      <c r="U71" s="496">
        <f t="shared" si="94"/>
        <v>0</v>
      </c>
      <c r="V71" s="496">
        <f t="shared" si="94"/>
        <v>0</v>
      </c>
      <c r="W71" s="496">
        <f t="shared" si="94"/>
        <v>0</v>
      </c>
      <c r="X71" s="496">
        <f t="shared" si="94"/>
        <v>0</v>
      </c>
      <c r="Y71" s="496">
        <f t="shared" si="94"/>
        <v>0</v>
      </c>
      <c r="Z71" s="496">
        <f t="shared" si="94"/>
        <v>0</v>
      </c>
      <c r="AA71" s="496">
        <f t="shared" si="94"/>
        <v>0</v>
      </c>
      <c r="AB71" s="496">
        <f t="shared" si="94"/>
        <v>0</v>
      </c>
      <c r="AC71" s="496">
        <f t="shared" si="94"/>
        <v>0</v>
      </c>
      <c r="AD71" s="496">
        <f t="shared" si="94"/>
        <v>0</v>
      </c>
      <c r="AE71" s="496">
        <f t="shared" si="94"/>
        <v>0</v>
      </c>
      <c r="AF71" s="496">
        <f t="shared" si="94"/>
        <v>0</v>
      </c>
      <c r="AG71" s="496">
        <f t="shared" si="94"/>
        <v>0</v>
      </c>
      <c r="AH71" s="456">
        <f t="shared" si="94"/>
        <v>0</v>
      </c>
      <c r="AI71" s="456">
        <f t="shared" si="94"/>
        <v>0</v>
      </c>
      <c r="AJ71" s="456">
        <f t="shared" si="94"/>
        <v>0</v>
      </c>
      <c r="AK71" s="456">
        <f t="shared" si="94"/>
        <v>0</v>
      </c>
      <c r="AL71" s="456">
        <f t="shared" si="94"/>
        <v>0</v>
      </c>
      <c r="AM71" s="456">
        <f t="shared" si="94"/>
        <v>0</v>
      </c>
      <c r="AN71" s="456">
        <f t="shared" si="94"/>
        <v>0</v>
      </c>
      <c r="AO71" s="456">
        <f t="shared" si="94"/>
        <v>0</v>
      </c>
      <c r="AP71" s="456">
        <f t="shared" si="94"/>
        <v>0</v>
      </c>
      <c r="AQ71" s="543">
        <f t="shared" si="94"/>
        <v>0</v>
      </c>
      <c r="AR71" s="542">
        <f t="shared" si="94"/>
        <v>9426080</v>
      </c>
      <c r="AS71" s="496">
        <f t="shared" si="94"/>
        <v>6802264</v>
      </c>
      <c r="AT71" s="496">
        <f t="shared" si="94"/>
        <v>104000</v>
      </c>
      <c r="AU71" s="496">
        <f t="shared" si="94"/>
        <v>2334317</v>
      </c>
      <c r="AV71" s="496">
        <f t="shared" si="94"/>
        <v>136045</v>
      </c>
      <c r="AW71" s="496">
        <f t="shared" si="94"/>
        <v>49454</v>
      </c>
      <c r="AX71" s="456">
        <f t="shared" si="94"/>
        <v>16.459699999999998</v>
      </c>
      <c r="AY71" s="456">
        <f t="shared" si="94"/>
        <v>11.451499999999999</v>
      </c>
      <c r="AZ71" s="543">
        <f t="shared" si="94"/>
        <v>5.0082000000000004</v>
      </c>
    </row>
    <row r="72" spans="1:52" s="238" customFormat="1" ht="12.75" customHeight="1" x14ac:dyDescent="0.2">
      <c r="A72" s="240">
        <v>18</v>
      </c>
      <c r="B72" s="241">
        <v>3460</v>
      </c>
      <c r="C72" s="241">
        <v>691000387</v>
      </c>
      <c r="D72" s="241">
        <v>86797034</v>
      </c>
      <c r="E72" s="242" t="s">
        <v>44</v>
      </c>
      <c r="F72" s="241">
        <v>3111</v>
      </c>
      <c r="G72" s="242" t="s">
        <v>312</v>
      </c>
      <c r="H72" s="278" t="s">
        <v>278</v>
      </c>
      <c r="I72" s="489">
        <v>9215481</v>
      </c>
      <c r="J72" s="489">
        <v>6748624</v>
      </c>
      <c r="K72" s="489">
        <v>0</v>
      </c>
      <c r="L72" s="489">
        <v>2281035</v>
      </c>
      <c r="M72" s="489">
        <v>134972</v>
      </c>
      <c r="N72" s="489">
        <v>50850</v>
      </c>
      <c r="O72" s="490">
        <v>15.867000000000001</v>
      </c>
      <c r="P72" s="491">
        <v>11.9625</v>
      </c>
      <c r="Q72" s="500">
        <v>3.9045000000000005</v>
      </c>
      <c r="R72" s="502">
        <f t="shared" si="1"/>
        <v>0</v>
      </c>
      <c r="S72" s="492">
        <v>0</v>
      </c>
      <c r="T72" s="492">
        <v>153804</v>
      </c>
      <c r="U72" s="492">
        <v>0</v>
      </c>
      <c r="V72" s="492">
        <f t="shared" si="2"/>
        <v>153804</v>
      </c>
      <c r="W72" s="492">
        <v>0</v>
      </c>
      <c r="X72" s="492">
        <v>0</v>
      </c>
      <c r="Y72" s="492">
        <v>0</v>
      </c>
      <c r="Z72" s="492">
        <f t="shared" si="3"/>
        <v>0</v>
      </c>
      <c r="AA72" s="492">
        <f t="shared" si="4"/>
        <v>153804</v>
      </c>
      <c r="AB72" s="74">
        <f t="shared" si="5"/>
        <v>51986</v>
      </c>
      <c r="AC72" s="74">
        <f t="shared" si="6"/>
        <v>3076</v>
      </c>
      <c r="AD72" s="492">
        <v>0</v>
      </c>
      <c r="AE72" s="492">
        <v>0</v>
      </c>
      <c r="AF72" s="492">
        <f t="shared" si="7"/>
        <v>0</v>
      </c>
      <c r="AG72" s="492">
        <f t="shared" si="8"/>
        <v>208866</v>
      </c>
      <c r="AH72" s="493">
        <v>0</v>
      </c>
      <c r="AI72" s="493">
        <v>0</v>
      </c>
      <c r="AJ72" s="493">
        <v>0</v>
      </c>
      <c r="AK72" s="493">
        <v>9.6799999999999997E-2</v>
      </c>
      <c r="AL72" s="493">
        <v>0.4</v>
      </c>
      <c r="AM72" s="493">
        <v>0</v>
      </c>
      <c r="AN72" s="493">
        <v>0</v>
      </c>
      <c r="AO72" s="493">
        <f t="shared" ref="AO72:AO74" si="95">AH72+AJ72+AM72+AK72</f>
        <v>9.6799999999999997E-2</v>
      </c>
      <c r="AP72" s="493">
        <f t="shared" ref="AP72:AP74" si="96">AI72+AN72+AL72</f>
        <v>0.4</v>
      </c>
      <c r="AQ72" s="495">
        <f t="shared" si="9"/>
        <v>0.49680000000000002</v>
      </c>
      <c r="AR72" s="502">
        <f t="shared" si="10"/>
        <v>9424347</v>
      </c>
      <c r="AS72" s="492">
        <f t="shared" si="11"/>
        <v>6902428</v>
      </c>
      <c r="AT72" s="492">
        <f t="shared" ref="AT72:AT74" si="97">K72+Z72</f>
        <v>0</v>
      </c>
      <c r="AU72" s="492">
        <f t="shared" ref="AU72:AV74" si="98">L72+AB72</f>
        <v>2333021</v>
      </c>
      <c r="AV72" s="492">
        <f t="shared" si="98"/>
        <v>138048</v>
      </c>
      <c r="AW72" s="492">
        <f t="shared" si="12"/>
        <v>50850</v>
      </c>
      <c r="AX72" s="493">
        <f t="shared" si="13"/>
        <v>16.363800000000001</v>
      </c>
      <c r="AY72" s="493">
        <f t="shared" ref="AY72:AZ74" si="99">P72+AO72</f>
        <v>12.0593</v>
      </c>
      <c r="AZ72" s="495">
        <f t="shared" si="99"/>
        <v>4.3045000000000009</v>
      </c>
    </row>
    <row r="73" spans="1:52" s="238" customFormat="1" ht="12.75" customHeight="1" x14ac:dyDescent="0.2">
      <c r="A73" s="240">
        <v>18</v>
      </c>
      <c r="B73" s="241">
        <v>3460</v>
      </c>
      <c r="C73" s="241">
        <v>691000387</v>
      </c>
      <c r="D73" s="241">
        <v>86797034</v>
      </c>
      <c r="E73" s="242" t="s">
        <v>44</v>
      </c>
      <c r="F73" s="241">
        <v>3111</v>
      </c>
      <c r="G73" s="242" t="s">
        <v>313</v>
      </c>
      <c r="H73" s="278" t="s">
        <v>279</v>
      </c>
      <c r="I73" s="489">
        <v>172494</v>
      </c>
      <c r="J73" s="489">
        <v>127021</v>
      </c>
      <c r="K73" s="489">
        <v>0</v>
      </c>
      <c r="L73" s="489">
        <v>42933</v>
      </c>
      <c r="M73" s="489">
        <v>2540</v>
      </c>
      <c r="N73" s="489">
        <v>0</v>
      </c>
      <c r="O73" s="490">
        <v>0.5</v>
      </c>
      <c r="P73" s="491">
        <v>0.5</v>
      </c>
      <c r="Q73" s="500">
        <v>0</v>
      </c>
      <c r="R73" s="502">
        <f t="shared" si="1"/>
        <v>0</v>
      </c>
      <c r="S73" s="492">
        <v>0</v>
      </c>
      <c r="T73" s="492">
        <v>0</v>
      </c>
      <c r="U73" s="492">
        <v>0</v>
      </c>
      <c r="V73" s="492">
        <f t="shared" si="2"/>
        <v>0</v>
      </c>
      <c r="W73" s="492">
        <v>0</v>
      </c>
      <c r="X73" s="492">
        <v>0</v>
      </c>
      <c r="Y73" s="492">
        <v>0</v>
      </c>
      <c r="Z73" s="492">
        <f t="shared" si="3"/>
        <v>0</v>
      </c>
      <c r="AA73" s="492">
        <f t="shared" si="4"/>
        <v>0</v>
      </c>
      <c r="AB73" s="74">
        <f t="shared" si="5"/>
        <v>0</v>
      </c>
      <c r="AC73" s="74">
        <f t="shared" si="6"/>
        <v>0</v>
      </c>
      <c r="AD73" s="492">
        <v>0</v>
      </c>
      <c r="AE73" s="492">
        <v>0</v>
      </c>
      <c r="AF73" s="492">
        <f t="shared" si="7"/>
        <v>0</v>
      </c>
      <c r="AG73" s="492">
        <f t="shared" si="8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95"/>
        <v>0</v>
      </c>
      <c r="AP73" s="493">
        <f t="shared" si="96"/>
        <v>0</v>
      </c>
      <c r="AQ73" s="495">
        <f t="shared" si="9"/>
        <v>0</v>
      </c>
      <c r="AR73" s="502">
        <f t="shared" si="10"/>
        <v>172494</v>
      </c>
      <c r="AS73" s="492">
        <f t="shared" si="11"/>
        <v>127021</v>
      </c>
      <c r="AT73" s="492">
        <f t="shared" si="97"/>
        <v>0</v>
      </c>
      <c r="AU73" s="492">
        <f t="shared" si="98"/>
        <v>42933</v>
      </c>
      <c r="AV73" s="492">
        <f t="shared" si="98"/>
        <v>2540</v>
      </c>
      <c r="AW73" s="492">
        <f t="shared" si="12"/>
        <v>0</v>
      </c>
      <c r="AX73" s="493">
        <f t="shared" si="13"/>
        <v>0.5</v>
      </c>
      <c r="AY73" s="493">
        <f t="shared" si="99"/>
        <v>0.5</v>
      </c>
      <c r="AZ73" s="495">
        <f t="shared" si="99"/>
        <v>0</v>
      </c>
    </row>
    <row r="74" spans="1:52" s="238" customFormat="1" ht="12.75" customHeight="1" x14ac:dyDescent="0.2">
      <c r="A74" s="240">
        <v>18</v>
      </c>
      <c r="B74" s="241">
        <v>3460</v>
      </c>
      <c r="C74" s="241">
        <v>691000387</v>
      </c>
      <c r="D74" s="241">
        <v>86797034</v>
      </c>
      <c r="E74" s="242" t="s">
        <v>44</v>
      </c>
      <c r="F74" s="241">
        <v>3141</v>
      </c>
      <c r="G74" s="242" t="s">
        <v>316</v>
      </c>
      <c r="H74" s="278" t="s">
        <v>279</v>
      </c>
      <c r="I74" s="489">
        <v>912995</v>
      </c>
      <c r="J74" s="489">
        <v>669063</v>
      </c>
      <c r="K74" s="489">
        <v>0</v>
      </c>
      <c r="L74" s="489">
        <v>226143</v>
      </c>
      <c r="M74" s="489">
        <v>13381</v>
      </c>
      <c r="N74" s="489">
        <v>4408</v>
      </c>
      <c r="O74" s="490">
        <v>2.11</v>
      </c>
      <c r="P74" s="491">
        <v>0</v>
      </c>
      <c r="Q74" s="500">
        <v>2.11</v>
      </c>
      <c r="R74" s="502">
        <f t="shared" si="1"/>
        <v>0</v>
      </c>
      <c r="S74" s="492">
        <v>0</v>
      </c>
      <c r="T74" s="492">
        <v>0</v>
      </c>
      <c r="U74" s="492">
        <v>0</v>
      </c>
      <c r="V74" s="492">
        <f t="shared" si="2"/>
        <v>0</v>
      </c>
      <c r="W74" s="492">
        <v>0</v>
      </c>
      <c r="X74" s="492">
        <v>0</v>
      </c>
      <c r="Y74" s="492">
        <v>0</v>
      </c>
      <c r="Z74" s="492">
        <f t="shared" si="3"/>
        <v>0</v>
      </c>
      <c r="AA74" s="492">
        <f t="shared" si="4"/>
        <v>0</v>
      </c>
      <c r="AB74" s="74">
        <f t="shared" si="5"/>
        <v>0</v>
      </c>
      <c r="AC74" s="74">
        <f t="shared" si="6"/>
        <v>0</v>
      </c>
      <c r="AD74" s="492">
        <v>0</v>
      </c>
      <c r="AE74" s="492">
        <v>0</v>
      </c>
      <c r="AF74" s="492">
        <f t="shared" si="7"/>
        <v>0</v>
      </c>
      <c r="AG74" s="492">
        <f t="shared" si="8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95"/>
        <v>0</v>
      </c>
      <c r="AP74" s="493">
        <f t="shared" si="96"/>
        <v>0</v>
      </c>
      <c r="AQ74" s="495">
        <f t="shared" si="9"/>
        <v>0</v>
      </c>
      <c r="AR74" s="502">
        <f t="shared" si="10"/>
        <v>912995</v>
      </c>
      <c r="AS74" s="492">
        <f t="shared" si="11"/>
        <v>669063</v>
      </c>
      <c r="AT74" s="492">
        <f t="shared" si="97"/>
        <v>0</v>
      </c>
      <c r="AU74" s="492">
        <f t="shared" si="98"/>
        <v>226143</v>
      </c>
      <c r="AV74" s="492">
        <f t="shared" si="98"/>
        <v>13381</v>
      </c>
      <c r="AW74" s="492">
        <f t="shared" si="12"/>
        <v>4408</v>
      </c>
      <c r="AX74" s="493">
        <f t="shared" si="13"/>
        <v>2.11</v>
      </c>
      <c r="AY74" s="493">
        <f t="shared" si="99"/>
        <v>0</v>
      </c>
      <c r="AZ74" s="495">
        <f t="shared" si="99"/>
        <v>2.11</v>
      </c>
    </row>
    <row r="75" spans="1:52" s="238" customFormat="1" ht="12.75" customHeight="1" x14ac:dyDescent="0.2">
      <c r="A75" s="164">
        <v>18</v>
      </c>
      <c r="B75" s="15">
        <v>3460</v>
      </c>
      <c r="C75" s="163">
        <v>691000387</v>
      </c>
      <c r="D75" s="163">
        <v>86797034</v>
      </c>
      <c r="E75" s="239" t="s">
        <v>45</v>
      </c>
      <c r="F75" s="15"/>
      <c r="G75" s="239"/>
      <c r="H75" s="277"/>
      <c r="I75" s="496">
        <v>10300970</v>
      </c>
      <c r="J75" s="496">
        <v>7544708</v>
      </c>
      <c r="K75" s="496">
        <v>0</v>
      </c>
      <c r="L75" s="496">
        <v>2550111</v>
      </c>
      <c r="M75" s="496">
        <v>150893</v>
      </c>
      <c r="N75" s="496">
        <v>55258</v>
      </c>
      <c r="O75" s="456">
        <v>18.477</v>
      </c>
      <c r="P75" s="456">
        <v>12.4625</v>
      </c>
      <c r="Q75" s="456">
        <v>6.0145</v>
      </c>
      <c r="R75" s="542">
        <f t="shared" ref="R75:AZ75" si="100">SUM(R72:R74)</f>
        <v>0</v>
      </c>
      <c r="S75" s="496">
        <f t="shared" si="100"/>
        <v>0</v>
      </c>
      <c r="T75" s="496">
        <f t="shared" si="100"/>
        <v>153804</v>
      </c>
      <c r="U75" s="496">
        <f t="shared" si="100"/>
        <v>0</v>
      </c>
      <c r="V75" s="496">
        <f t="shared" si="100"/>
        <v>153804</v>
      </c>
      <c r="W75" s="496">
        <f t="shared" si="100"/>
        <v>0</v>
      </c>
      <c r="X75" s="496">
        <f t="shared" si="100"/>
        <v>0</v>
      </c>
      <c r="Y75" s="496">
        <f t="shared" si="100"/>
        <v>0</v>
      </c>
      <c r="Z75" s="496">
        <f t="shared" si="100"/>
        <v>0</v>
      </c>
      <c r="AA75" s="496">
        <f t="shared" si="100"/>
        <v>153804</v>
      </c>
      <c r="AB75" s="496">
        <f t="shared" si="100"/>
        <v>51986</v>
      </c>
      <c r="AC75" s="496">
        <f t="shared" si="100"/>
        <v>3076</v>
      </c>
      <c r="AD75" s="496">
        <f t="shared" si="100"/>
        <v>0</v>
      </c>
      <c r="AE75" s="496">
        <f t="shared" si="100"/>
        <v>0</v>
      </c>
      <c r="AF75" s="496">
        <f t="shared" si="100"/>
        <v>0</v>
      </c>
      <c r="AG75" s="496">
        <f t="shared" si="100"/>
        <v>208866</v>
      </c>
      <c r="AH75" s="456">
        <f t="shared" si="100"/>
        <v>0</v>
      </c>
      <c r="AI75" s="456">
        <f t="shared" si="100"/>
        <v>0</v>
      </c>
      <c r="AJ75" s="456">
        <f t="shared" si="100"/>
        <v>0</v>
      </c>
      <c r="AK75" s="456">
        <f t="shared" si="100"/>
        <v>9.6799999999999997E-2</v>
      </c>
      <c r="AL75" s="456">
        <f t="shared" si="100"/>
        <v>0.4</v>
      </c>
      <c r="AM75" s="456">
        <f t="shared" si="100"/>
        <v>0</v>
      </c>
      <c r="AN75" s="456">
        <f t="shared" si="100"/>
        <v>0</v>
      </c>
      <c r="AO75" s="456">
        <f t="shared" si="100"/>
        <v>9.6799999999999997E-2</v>
      </c>
      <c r="AP75" s="456">
        <f t="shared" si="100"/>
        <v>0.4</v>
      </c>
      <c r="AQ75" s="543">
        <f t="shared" si="100"/>
        <v>0.49680000000000002</v>
      </c>
      <c r="AR75" s="542">
        <f t="shared" si="100"/>
        <v>10509836</v>
      </c>
      <c r="AS75" s="496">
        <f t="shared" si="100"/>
        <v>7698512</v>
      </c>
      <c r="AT75" s="496">
        <f t="shared" si="100"/>
        <v>0</v>
      </c>
      <c r="AU75" s="496">
        <f t="shared" si="100"/>
        <v>2602097</v>
      </c>
      <c r="AV75" s="496">
        <f t="shared" si="100"/>
        <v>153969</v>
      </c>
      <c r="AW75" s="496">
        <f t="shared" si="100"/>
        <v>55258</v>
      </c>
      <c r="AX75" s="456">
        <f t="shared" si="100"/>
        <v>18.973800000000001</v>
      </c>
      <c r="AY75" s="456">
        <f t="shared" si="100"/>
        <v>12.5593</v>
      </c>
      <c r="AZ75" s="543">
        <f t="shared" si="100"/>
        <v>6.4145000000000003</v>
      </c>
    </row>
    <row r="76" spans="1:52" s="238" customFormat="1" ht="12.75" customHeight="1" x14ac:dyDescent="0.2">
      <c r="A76" s="240">
        <v>19</v>
      </c>
      <c r="B76" s="241">
        <v>3413</v>
      </c>
      <c r="C76" s="241">
        <v>600077918</v>
      </c>
      <c r="D76" s="241">
        <v>72743433</v>
      </c>
      <c r="E76" s="242" t="s">
        <v>280</v>
      </c>
      <c r="F76" s="241">
        <v>3111</v>
      </c>
      <c r="G76" s="242" t="s">
        <v>312</v>
      </c>
      <c r="H76" s="278" t="s">
        <v>278</v>
      </c>
      <c r="I76" s="489">
        <v>11154645</v>
      </c>
      <c r="J76" s="489">
        <v>8161189</v>
      </c>
      <c r="K76" s="489">
        <v>0</v>
      </c>
      <c r="L76" s="489">
        <v>2758482</v>
      </c>
      <c r="M76" s="489">
        <v>163224</v>
      </c>
      <c r="N76" s="489">
        <v>71750</v>
      </c>
      <c r="O76" s="490">
        <v>17.7</v>
      </c>
      <c r="P76" s="491">
        <v>12.7097</v>
      </c>
      <c r="Q76" s="500">
        <v>4.9902999999999995</v>
      </c>
      <c r="R76" s="502">
        <f t="shared" si="1"/>
        <v>0</v>
      </c>
      <c r="S76" s="492">
        <v>0</v>
      </c>
      <c r="T76" s="492">
        <v>0</v>
      </c>
      <c r="U76" s="492">
        <v>0</v>
      </c>
      <c r="V76" s="492">
        <f t="shared" si="2"/>
        <v>0</v>
      </c>
      <c r="W76" s="492">
        <v>0</v>
      </c>
      <c r="X76" s="492">
        <v>0</v>
      </c>
      <c r="Y76" s="492">
        <v>0</v>
      </c>
      <c r="Z76" s="492">
        <f t="shared" si="3"/>
        <v>0</v>
      </c>
      <c r="AA76" s="492">
        <f t="shared" si="4"/>
        <v>0</v>
      </c>
      <c r="AB76" s="74">
        <f t="shared" si="5"/>
        <v>0</v>
      </c>
      <c r="AC76" s="74">
        <f t="shared" si="6"/>
        <v>0</v>
      </c>
      <c r="AD76" s="492">
        <v>0</v>
      </c>
      <c r="AE76" s="492">
        <v>0</v>
      </c>
      <c r="AF76" s="492">
        <f t="shared" si="7"/>
        <v>0</v>
      </c>
      <c r="AG76" s="492">
        <f t="shared" si="8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ref="AO76:AO79" si="101">AH76+AJ76+AM76+AK76</f>
        <v>0</v>
      </c>
      <c r="AP76" s="493">
        <f t="shared" ref="AP76:AP79" si="102">AI76+AN76+AL76</f>
        <v>0</v>
      </c>
      <c r="AQ76" s="495">
        <f t="shared" si="9"/>
        <v>0</v>
      </c>
      <c r="AR76" s="502">
        <f t="shared" si="10"/>
        <v>11154645</v>
      </c>
      <c r="AS76" s="492">
        <f t="shared" si="11"/>
        <v>8161189</v>
      </c>
      <c r="AT76" s="492">
        <f t="shared" ref="AT76:AT79" si="103">K76+Z76</f>
        <v>0</v>
      </c>
      <c r="AU76" s="492">
        <f t="shared" ref="AU76:AV79" si="104">L76+AB76</f>
        <v>2758482</v>
      </c>
      <c r="AV76" s="492">
        <f t="shared" si="104"/>
        <v>163224</v>
      </c>
      <c r="AW76" s="492">
        <f t="shared" si="12"/>
        <v>71750</v>
      </c>
      <c r="AX76" s="493">
        <f t="shared" si="13"/>
        <v>17.7</v>
      </c>
      <c r="AY76" s="493">
        <f t="shared" ref="AY76:AZ79" si="105">P76+AO76</f>
        <v>12.7097</v>
      </c>
      <c r="AZ76" s="495">
        <f t="shared" si="105"/>
        <v>4.9902999999999995</v>
      </c>
    </row>
    <row r="77" spans="1:52" s="238" customFormat="1" ht="12.75" customHeight="1" x14ac:dyDescent="0.2">
      <c r="A77" s="240">
        <v>19</v>
      </c>
      <c r="B77" s="241">
        <v>3413</v>
      </c>
      <c r="C77" s="241">
        <v>600077918</v>
      </c>
      <c r="D77" s="241">
        <v>72743433</v>
      </c>
      <c r="E77" s="242" t="s">
        <v>280</v>
      </c>
      <c r="F77" s="241">
        <v>3111</v>
      </c>
      <c r="G77" s="242" t="s">
        <v>314</v>
      </c>
      <c r="H77" s="278" t="s">
        <v>278</v>
      </c>
      <c r="I77" s="489">
        <v>1917159</v>
      </c>
      <c r="J77" s="489">
        <v>1411752</v>
      </c>
      <c r="K77" s="489">
        <v>0</v>
      </c>
      <c r="L77" s="489">
        <v>477172</v>
      </c>
      <c r="M77" s="489">
        <v>28235</v>
      </c>
      <c r="N77" s="489">
        <v>0</v>
      </c>
      <c r="O77" s="490">
        <v>4</v>
      </c>
      <c r="P77" s="491">
        <v>4</v>
      </c>
      <c r="Q77" s="500">
        <v>0</v>
      </c>
      <c r="R77" s="502">
        <f t="shared" si="1"/>
        <v>0</v>
      </c>
      <c r="S77" s="492">
        <v>0</v>
      </c>
      <c r="T77" s="492">
        <v>0</v>
      </c>
      <c r="U77" s="492">
        <v>0</v>
      </c>
      <c r="V77" s="492">
        <f t="shared" si="2"/>
        <v>0</v>
      </c>
      <c r="W77" s="492">
        <v>0</v>
      </c>
      <c r="X77" s="492">
        <v>0</v>
      </c>
      <c r="Y77" s="492">
        <v>0</v>
      </c>
      <c r="Z77" s="492">
        <f t="shared" si="3"/>
        <v>0</v>
      </c>
      <c r="AA77" s="492">
        <f t="shared" si="4"/>
        <v>0</v>
      </c>
      <c r="AB77" s="74">
        <f t="shared" si="5"/>
        <v>0</v>
      </c>
      <c r="AC77" s="74">
        <f t="shared" si="6"/>
        <v>0</v>
      </c>
      <c r="AD77" s="492">
        <v>0</v>
      </c>
      <c r="AE77" s="492">
        <v>0</v>
      </c>
      <c r="AF77" s="492">
        <f t="shared" si="7"/>
        <v>0</v>
      </c>
      <c r="AG77" s="492">
        <f t="shared" si="8"/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si="101"/>
        <v>0</v>
      </c>
      <c r="AP77" s="493">
        <f t="shared" si="102"/>
        <v>0</v>
      </c>
      <c r="AQ77" s="495">
        <f t="shared" si="9"/>
        <v>0</v>
      </c>
      <c r="AR77" s="502">
        <f t="shared" si="10"/>
        <v>1917159</v>
      </c>
      <c r="AS77" s="492">
        <f t="shared" si="11"/>
        <v>1411752</v>
      </c>
      <c r="AT77" s="492">
        <f t="shared" si="103"/>
        <v>0</v>
      </c>
      <c r="AU77" s="492">
        <f t="shared" si="104"/>
        <v>477172</v>
      </c>
      <c r="AV77" s="492">
        <f t="shared" si="104"/>
        <v>28235</v>
      </c>
      <c r="AW77" s="492">
        <f t="shared" si="12"/>
        <v>0</v>
      </c>
      <c r="AX77" s="493">
        <f t="shared" si="13"/>
        <v>4</v>
      </c>
      <c r="AY77" s="493">
        <f t="shared" si="105"/>
        <v>4</v>
      </c>
      <c r="AZ77" s="495">
        <f t="shared" si="105"/>
        <v>0</v>
      </c>
    </row>
    <row r="78" spans="1:52" s="238" customFormat="1" x14ac:dyDescent="0.2">
      <c r="A78" s="240">
        <v>19</v>
      </c>
      <c r="B78" s="241">
        <v>3413</v>
      </c>
      <c r="C78" s="241">
        <v>600077918</v>
      </c>
      <c r="D78" s="241">
        <v>72743433</v>
      </c>
      <c r="E78" s="242" t="s">
        <v>280</v>
      </c>
      <c r="F78" s="241">
        <v>3111</v>
      </c>
      <c r="G78" s="242" t="s">
        <v>313</v>
      </c>
      <c r="H78" s="278" t="s">
        <v>279</v>
      </c>
      <c r="I78" s="489">
        <v>0</v>
      </c>
      <c r="J78" s="489">
        <v>0</v>
      </c>
      <c r="K78" s="489">
        <v>0</v>
      </c>
      <c r="L78" s="489">
        <v>0</v>
      </c>
      <c r="M78" s="489">
        <v>0</v>
      </c>
      <c r="N78" s="489">
        <v>0</v>
      </c>
      <c r="O78" s="490">
        <v>0</v>
      </c>
      <c r="P78" s="491">
        <v>0</v>
      </c>
      <c r="Q78" s="500">
        <v>0</v>
      </c>
      <c r="R78" s="502">
        <f t="shared" ref="R78:R141" si="106">W78*-1</f>
        <v>0</v>
      </c>
      <c r="S78" s="492">
        <v>0</v>
      </c>
      <c r="T78" s="492">
        <v>0</v>
      </c>
      <c r="U78" s="492">
        <v>0</v>
      </c>
      <c r="V78" s="492">
        <f t="shared" ref="V78:V141" si="107">SUM(R78:U78)</f>
        <v>0</v>
      </c>
      <c r="W78" s="492">
        <v>0</v>
      </c>
      <c r="X78" s="492">
        <v>0</v>
      </c>
      <c r="Y78" s="492">
        <v>0</v>
      </c>
      <c r="Z78" s="492">
        <f t="shared" ref="Z78:Z141" si="108">SUM(W78:Y78)</f>
        <v>0</v>
      </c>
      <c r="AA78" s="492">
        <f t="shared" ref="AA78:AA141" si="109">V78+Z78</f>
        <v>0</v>
      </c>
      <c r="AB78" s="74">
        <f t="shared" ref="AB78:AB141" si="110">ROUND((V78+W78+X78)*33.8%,0)</f>
        <v>0</v>
      </c>
      <c r="AC78" s="74">
        <f t="shared" ref="AC78:AC141" si="111">ROUND(V78*2%,0)</f>
        <v>0</v>
      </c>
      <c r="AD78" s="492">
        <v>0</v>
      </c>
      <c r="AE78" s="492">
        <v>0</v>
      </c>
      <c r="AF78" s="492">
        <f t="shared" ref="AF78:AF141" si="112">SUM(AD78:AE78)</f>
        <v>0</v>
      </c>
      <c r="AG78" s="492">
        <f t="shared" ref="AG78:AG141" si="113"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101"/>
        <v>0</v>
      </c>
      <c r="AP78" s="493">
        <f t="shared" si="102"/>
        <v>0</v>
      </c>
      <c r="AQ78" s="495">
        <f t="shared" ref="AQ78:AQ141" si="114">SUM(AO78:AP78)</f>
        <v>0</v>
      </c>
      <c r="AR78" s="502">
        <f t="shared" ref="AR78:AR141" si="115">I78+AG78</f>
        <v>0</v>
      </c>
      <c r="AS78" s="492">
        <f t="shared" ref="AS78:AS141" si="116">J78+V78</f>
        <v>0</v>
      </c>
      <c r="AT78" s="492">
        <f t="shared" si="103"/>
        <v>0</v>
      </c>
      <c r="AU78" s="492">
        <f t="shared" si="104"/>
        <v>0</v>
      </c>
      <c r="AV78" s="492">
        <f t="shared" si="104"/>
        <v>0</v>
      </c>
      <c r="AW78" s="492">
        <f t="shared" ref="AW78:AW141" si="117">N78+AF78</f>
        <v>0</v>
      </c>
      <c r="AX78" s="493">
        <f t="shared" ref="AX78:AX141" si="118">O78+AQ78</f>
        <v>0</v>
      </c>
      <c r="AY78" s="493">
        <f t="shared" si="105"/>
        <v>0</v>
      </c>
      <c r="AZ78" s="495">
        <f t="shared" si="105"/>
        <v>0</v>
      </c>
    </row>
    <row r="79" spans="1:52" s="238" customFormat="1" ht="12.75" customHeight="1" x14ac:dyDescent="0.2">
      <c r="A79" s="240">
        <v>19</v>
      </c>
      <c r="B79" s="241">
        <v>3413</v>
      </c>
      <c r="C79" s="241">
        <v>600077918</v>
      </c>
      <c r="D79" s="241">
        <v>72743433</v>
      </c>
      <c r="E79" s="242" t="s">
        <v>280</v>
      </c>
      <c r="F79" s="241">
        <v>3141</v>
      </c>
      <c r="G79" s="242" t="s">
        <v>316</v>
      </c>
      <c r="H79" s="278" t="s">
        <v>279</v>
      </c>
      <c r="I79" s="489">
        <v>1289728</v>
      </c>
      <c r="J79" s="489">
        <v>945256</v>
      </c>
      <c r="K79" s="489">
        <v>0</v>
      </c>
      <c r="L79" s="489">
        <v>319497</v>
      </c>
      <c r="M79" s="489">
        <v>18905</v>
      </c>
      <c r="N79" s="489">
        <v>6070</v>
      </c>
      <c r="O79" s="490">
        <v>2.98</v>
      </c>
      <c r="P79" s="491">
        <v>0</v>
      </c>
      <c r="Q79" s="500">
        <v>2.98</v>
      </c>
      <c r="R79" s="502">
        <f t="shared" si="106"/>
        <v>0</v>
      </c>
      <c r="S79" s="492">
        <v>0</v>
      </c>
      <c r="T79" s="492">
        <v>0</v>
      </c>
      <c r="U79" s="492">
        <v>0</v>
      </c>
      <c r="V79" s="492">
        <f t="shared" si="107"/>
        <v>0</v>
      </c>
      <c r="W79" s="492">
        <v>0</v>
      </c>
      <c r="X79" s="492">
        <v>0</v>
      </c>
      <c r="Y79" s="492">
        <v>0</v>
      </c>
      <c r="Z79" s="492">
        <f t="shared" si="108"/>
        <v>0</v>
      </c>
      <c r="AA79" s="492">
        <f t="shared" si="109"/>
        <v>0</v>
      </c>
      <c r="AB79" s="74">
        <f t="shared" si="110"/>
        <v>0</v>
      </c>
      <c r="AC79" s="74">
        <f t="shared" si="111"/>
        <v>0</v>
      </c>
      <c r="AD79" s="492">
        <v>0</v>
      </c>
      <c r="AE79" s="492">
        <v>0</v>
      </c>
      <c r="AF79" s="492">
        <f t="shared" si="112"/>
        <v>0</v>
      </c>
      <c r="AG79" s="492">
        <f t="shared" si="113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101"/>
        <v>0</v>
      </c>
      <c r="AP79" s="493">
        <f t="shared" si="102"/>
        <v>0</v>
      </c>
      <c r="AQ79" s="495">
        <f t="shared" si="114"/>
        <v>0</v>
      </c>
      <c r="AR79" s="502">
        <f t="shared" si="115"/>
        <v>1289728</v>
      </c>
      <c r="AS79" s="492">
        <f t="shared" si="116"/>
        <v>945256</v>
      </c>
      <c r="AT79" s="492">
        <f t="shared" si="103"/>
        <v>0</v>
      </c>
      <c r="AU79" s="492">
        <f t="shared" si="104"/>
        <v>319497</v>
      </c>
      <c r="AV79" s="492">
        <f t="shared" si="104"/>
        <v>18905</v>
      </c>
      <c r="AW79" s="492">
        <f t="shared" si="117"/>
        <v>6070</v>
      </c>
      <c r="AX79" s="493">
        <f t="shared" si="118"/>
        <v>2.98</v>
      </c>
      <c r="AY79" s="493">
        <f t="shared" si="105"/>
        <v>0</v>
      </c>
      <c r="AZ79" s="495">
        <f t="shared" si="105"/>
        <v>2.98</v>
      </c>
    </row>
    <row r="80" spans="1:52" s="238" customFormat="1" ht="12.75" customHeight="1" x14ac:dyDescent="0.2">
      <c r="A80" s="164">
        <v>19</v>
      </c>
      <c r="B80" s="15">
        <v>3413</v>
      </c>
      <c r="C80" s="163">
        <v>600077918</v>
      </c>
      <c r="D80" s="163">
        <v>72743433</v>
      </c>
      <c r="E80" s="239" t="s">
        <v>46</v>
      </c>
      <c r="F80" s="15"/>
      <c r="G80" s="239"/>
      <c r="H80" s="277"/>
      <c r="I80" s="496">
        <v>14361532</v>
      </c>
      <c r="J80" s="496">
        <v>10518197</v>
      </c>
      <c r="K80" s="496">
        <v>0</v>
      </c>
      <c r="L80" s="496">
        <v>3555151</v>
      </c>
      <c r="M80" s="496">
        <v>210364</v>
      </c>
      <c r="N80" s="496">
        <v>77820</v>
      </c>
      <c r="O80" s="456">
        <v>24.68</v>
      </c>
      <c r="P80" s="456">
        <v>16.709699999999998</v>
      </c>
      <c r="Q80" s="456">
        <v>7.9702999999999999</v>
      </c>
      <c r="R80" s="542">
        <f t="shared" ref="R80:AZ80" si="119">SUM(R76:R79)</f>
        <v>0</v>
      </c>
      <c r="S80" s="496">
        <f t="shared" si="119"/>
        <v>0</v>
      </c>
      <c r="T80" s="496">
        <f t="shared" si="119"/>
        <v>0</v>
      </c>
      <c r="U80" s="496">
        <f t="shared" si="119"/>
        <v>0</v>
      </c>
      <c r="V80" s="496">
        <f t="shared" si="119"/>
        <v>0</v>
      </c>
      <c r="W80" s="496">
        <f t="shared" si="119"/>
        <v>0</v>
      </c>
      <c r="X80" s="496">
        <f t="shared" si="119"/>
        <v>0</v>
      </c>
      <c r="Y80" s="496">
        <f t="shared" si="119"/>
        <v>0</v>
      </c>
      <c r="Z80" s="496">
        <f t="shared" si="119"/>
        <v>0</v>
      </c>
      <c r="AA80" s="496">
        <f t="shared" si="119"/>
        <v>0</v>
      </c>
      <c r="AB80" s="496">
        <f t="shared" si="119"/>
        <v>0</v>
      </c>
      <c r="AC80" s="496">
        <f t="shared" si="119"/>
        <v>0</v>
      </c>
      <c r="AD80" s="496">
        <f t="shared" si="119"/>
        <v>0</v>
      </c>
      <c r="AE80" s="496">
        <f t="shared" si="119"/>
        <v>0</v>
      </c>
      <c r="AF80" s="496">
        <f t="shared" si="119"/>
        <v>0</v>
      </c>
      <c r="AG80" s="496">
        <f t="shared" si="119"/>
        <v>0</v>
      </c>
      <c r="AH80" s="456">
        <f t="shared" si="119"/>
        <v>0</v>
      </c>
      <c r="AI80" s="456">
        <f t="shared" si="119"/>
        <v>0</v>
      </c>
      <c r="AJ80" s="456">
        <f t="shared" si="119"/>
        <v>0</v>
      </c>
      <c r="AK80" s="456">
        <f t="shared" si="119"/>
        <v>0</v>
      </c>
      <c r="AL80" s="456">
        <f t="shared" si="119"/>
        <v>0</v>
      </c>
      <c r="AM80" s="456">
        <f t="shared" si="119"/>
        <v>0</v>
      </c>
      <c r="AN80" s="456">
        <f t="shared" si="119"/>
        <v>0</v>
      </c>
      <c r="AO80" s="456">
        <f t="shared" si="119"/>
        <v>0</v>
      </c>
      <c r="AP80" s="456">
        <f t="shared" si="119"/>
        <v>0</v>
      </c>
      <c r="AQ80" s="543">
        <f t="shared" si="119"/>
        <v>0</v>
      </c>
      <c r="AR80" s="542">
        <f t="shared" si="119"/>
        <v>14361532</v>
      </c>
      <c r="AS80" s="496">
        <f t="shared" si="119"/>
        <v>10518197</v>
      </c>
      <c r="AT80" s="496">
        <f t="shared" si="119"/>
        <v>0</v>
      </c>
      <c r="AU80" s="496">
        <f t="shared" si="119"/>
        <v>3555151</v>
      </c>
      <c r="AV80" s="496">
        <f t="shared" si="119"/>
        <v>210364</v>
      </c>
      <c r="AW80" s="496">
        <f t="shared" si="119"/>
        <v>77820</v>
      </c>
      <c r="AX80" s="456">
        <f t="shared" si="119"/>
        <v>24.68</v>
      </c>
      <c r="AY80" s="456">
        <f t="shared" si="119"/>
        <v>16.709699999999998</v>
      </c>
      <c r="AZ80" s="543">
        <f t="shared" si="119"/>
        <v>7.9702999999999999</v>
      </c>
    </row>
    <row r="81" spans="1:52" s="238" customFormat="1" ht="12.75" customHeight="1" x14ac:dyDescent="0.2">
      <c r="A81" s="240">
        <v>20</v>
      </c>
      <c r="B81" s="241">
        <v>3409</v>
      </c>
      <c r="C81" s="241">
        <v>600078396</v>
      </c>
      <c r="D81" s="241">
        <v>43257399</v>
      </c>
      <c r="E81" s="242" t="s">
        <v>47</v>
      </c>
      <c r="F81" s="241">
        <v>3113</v>
      </c>
      <c r="G81" s="242" t="s">
        <v>315</v>
      </c>
      <c r="H81" s="278" t="s">
        <v>278</v>
      </c>
      <c r="I81" s="489">
        <v>24621874</v>
      </c>
      <c r="J81" s="489">
        <v>17670392</v>
      </c>
      <c r="K81" s="489">
        <v>39650</v>
      </c>
      <c r="L81" s="489">
        <v>5985994</v>
      </c>
      <c r="M81" s="489">
        <v>353408</v>
      </c>
      <c r="N81" s="489">
        <v>572430</v>
      </c>
      <c r="O81" s="490">
        <v>33.1982</v>
      </c>
      <c r="P81" s="491">
        <v>25.308799999999998</v>
      </c>
      <c r="Q81" s="500">
        <v>7.8894000000000002</v>
      </c>
      <c r="R81" s="502">
        <f t="shared" si="106"/>
        <v>0</v>
      </c>
      <c r="S81" s="492">
        <v>0</v>
      </c>
      <c r="T81" s="492">
        <v>147680</v>
      </c>
      <c r="U81" s="492">
        <v>0</v>
      </c>
      <c r="V81" s="492">
        <f t="shared" si="107"/>
        <v>147680</v>
      </c>
      <c r="W81" s="492">
        <v>0</v>
      </c>
      <c r="X81" s="492">
        <v>0</v>
      </c>
      <c r="Y81" s="492">
        <v>0</v>
      </c>
      <c r="Z81" s="492">
        <f t="shared" si="108"/>
        <v>0</v>
      </c>
      <c r="AA81" s="492">
        <f t="shared" si="109"/>
        <v>147680</v>
      </c>
      <c r="AB81" s="74">
        <f t="shared" si="110"/>
        <v>49916</v>
      </c>
      <c r="AC81" s="74">
        <f t="shared" si="111"/>
        <v>2954</v>
      </c>
      <c r="AD81" s="492">
        <v>0</v>
      </c>
      <c r="AE81" s="492">
        <v>0</v>
      </c>
      <c r="AF81" s="492">
        <f t="shared" si="112"/>
        <v>0</v>
      </c>
      <c r="AG81" s="492">
        <f t="shared" si="113"/>
        <v>200550</v>
      </c>
      <c r="AH81" s="493">
        <v>0</v>
      </c>
      <c r="AI81" s="493">
        <v>0</v>
      </c>
      <c r="AJ81" s="493">
        <v>0</v>
      </c>
      <c r="AK81" s="493">
        <v>0.25</v>
      </c>
      <c r="AL81" s="493">
        <v>0</v>
      </c>
      <c r="AM81" s="493">
        <v>0</v>
      </c>
      <c r="AN81" s="493">
        <v>0</v>
      </c>
      <c r="AO81" s="493">
        <f t="shared" ref="AO81:AO85" si="120">AH81+AJ81+AM81+AK81</f>
        <v>0.25</v>
      </c>
      <c r="AP81" s="493">
        <f t="shared" ref="AP81:AP85" si="121">AI81+AN81+AL81</f>
        <v>0</v>
      </c>
      <c r="AQ81" s="495">
        <f t="shared" si="114"/>
        <v>0.25</v>
      </c>
      <c r="AR81" s="502">
        <f t="shared" si="115"/>
        <v>24822424</v>
      </c>
      <c r="AS81" s="492">
        <f t="shared" si="116"/>
        <v>17818072</v>
      </c>
      <c r="AT81" s="492">
        <f t="shared" ref="AT81:AT85" si="122">K81+Z81</f>
        <v>39650</v>
      </c>
      <c r="AU81" s="492">
        <f t="shared" ref="AU81:AV85" si="123">L81+AB81</f>
        <v>6035910</v>
      </c>
      <c r="AV81" s="492">
        <f t="shared" si="123"/>
        <v>356362</v>
      </c>
      <c r="AW81" s="492">
        <f t="shared" si="117"/>
        <v>572430</v>
      </c>
      <c r="AX81" s="493">
        <f t="shared" si="118"/>
        <v>33.4482</v>
      </c>
      <c r="AY81" s="493">
        <f t="shared" ref="AY81:AZ85" si="124">P81+AO81</f>
        <v>25.558799999999998</v>
      </c>
      <c r="AZ81" s="495">
        <f t="shared" si="124"/>
        <v>7.8894000000000002</v>
      </c>
    </row>
    <row r="82" spans="1:52" s="238" customFormat="1" x14ac:dyDescent="0.2">
      <c r="A82" s="240">
        <v>20</v>
      </c>
      <c r="B82" s="241">
        <v>3409</v>
      </c>
      <c r="C82" s="241">
        <v>600078396</v>
      </c>
      <c r="D82" s="241">
        <v>43257399</v>
      </c>
      <c r="E82" s="242" t="s">
        <v>47</v>
      </c>
      <c r="F82" s="241">
        <v>3113</v>
      </c>
      <c r="G82" s="242" t="s">
        <v>313</v>
      </c>
      <c r="H82" s="278" t="s">
        <v>279</v>
      </c>
      <c r="I82" s="489">
        <v>4506468</v>
      </c>
      <c r="J82" s="489">
        <v>3311464</v>
      </c>
      <c r="K82" s="489">
        <v>0</v>
      </c>
      <c r="L82" s="489">
        <v>1119275</v>
      </c>
      <c r="M82" s="489">
        <v>66229</v>
      </c>
      <c r="N82" s="489">
        <v>9500</v>
      </c>
      <c r="O82" s="490">
        <v>9.1900000000000013</v>
      </c>
      <c r="P82" s="491">
        <v>9.1900000000000013</v>
      </c>
      <c r="Q82" s="500">
        <v>0</v>
      </c>
      <c r="R82" s="502">
        <f t="shared" si="106"/>
        <v>0</v>
      </c>
      <c r="S82" s="492">
        <v>0</v>
      </c>
      <c r="T82" s="492">
        <v>0</v>
      </c>
      <c r="U82" s="492">
        <v>0</v>
      </c>
      <c r="V82" s="492">
        <f t="shared" si="107"/>
        <v>0</v>
      </c>
      <c r="W82" s="492">
        <v>0</v>
      </c>
      <c r="X82" s="492">
        <v>0</v>
      </c>
      <c r="Y82" s="492">
        <v>0</v>
      </c>
      <c r="Z82" s="492">
        <f t="shared" si="108"/>
        <v>0</v>
      </c>
      <c r="AA82" s="492">
        <f t="shared" si="109"/>
        <v>0</v>
      </c>
      <c r="AB82" s="74">
        <f t="shared" si="110"/>
        <v>0</v>
      </c>
      <c r="AC82" s="74">
        <f t="shared" si="111"/>
        <v>0</v>
      </c>
      <c r="AD82" s="492">
        <v>0</v>
      </c>
      <c r="AE82" s="492">
        <v>0</v>
      </c>
      <c r="AF82" s="492">
        <f t="shared" si="112"/>
        <v>0</v>
      </c>
      <c r="AG82" s="492">
        <f t="shared" si="113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si="120"/>
        <v>0</v>
      </c>
      <c r="AP82" s="493">
        <f t="shared" si="121"/>
        <v>0</v>
      </c>
      <c r="AQ82" s="495">
        <f t="shared" si="114"/>
        <v>0</v>
      </c>
      <c r="AR82" s="502">
        <f t="shared" si="115"/>
        <v>4506468</v>
      </c>
      <c r="AS82" s="492">
        <f t="shared" si="116"/>
        <v>3311464</v>
      </c>
      <c r="AT82" s="492">
        <f t="shared" si="122"/>
        <v>0</v>
      </c>
      <c r="AU82" s="492">
        <f t="shared" si="123"/>
        <v>1119275</v>
      </c>
      <c r="AV82" s="492">
        <f t="shared" si="123"/>
        <v>66229</v>
      </c>
      <c r="AW82" s="492">
        <f t="shared" si="117"/>
        <v>9500</v>
      </c>
      <c r="AX82" s="493">
        <f t="shared" si="118"/>
        <v>9.1900000000000013</v>
      </c>
      <c r="AY82" s="493">
        <f t="shared" si="124"/>
        <v>9.1900000000000013</v>
      </c>
      <c r="AZ82" s="495">
        <f t="shared" si="124"/>
        <v>0</v>
      </c>
    </row>
    <row r="83" spans="1:52" s="238" customFormat="1" ht="12.75" customHeight="1" x14ac:dyDescent="0.2">
      <c r="A83" s="240">
        <v>20</v>
      </c>
      <c r="B83" s="241">
        <v>3409</v>
      </c>
      <c r="C83" s="241">
        <v>600078396</v>
      </c>
      <c r="D83" s="241">
        <v>43257399</v>
      </c>
      <c r="E83" s="242" t="s">
        <v>47</v>
      </c>
      <c r="F83" s="241">
        <v>3141</v>
      </c>
      <c r="G83" s="242" t="s">
        <v>316</v>
      </c>
      <c r="H83" s="278" t="s">
        <v>279</v>
      </c>
      <c r="I83" s="489">
        <v>2129947</v>
      </c>
      <c r="J83" s="489">
        <v>1557638</v>
      </c>
      <c r="K83" s="489">
        <v>0</v>
      </c>
      <c r="L83" s="489">
        <v>526482</v>
      </c>
      <c r="M83" s="489">
        <v>31153</v>
      </c>
      <c r="N83" s="489">
        <v>14674</v>
      </c>
      <c r="O83" s="490">
        <v>4.91</v>
      </c>
      <c r="P83" s="491">
        <v>0</v>
      </c>
      <c r="Q83" s="500">
        <v>4.91</v>
      </c>
      <c r="R83" s="502">
        <f t="shared" si="106"/>
        <v>0</v>
      </c>
      <c r="S83" s="492">
        <v>0</v>
      </c>
      <c r="T83" s="492">
        <v>0</v>
      </c>
      <c r="U83" s="492">
        <v>0</v>
      </c>
      <c r="V83" s="492">
        <f t="shared" si="107"/>
        <v>0</v>
      </c>
      <c r="W83" s="492">
        <v>0</v>
      </c>
      <c r="X83" s="492">
        <v>0</v>
      </c>
      <c r="Y83" s="492">
        <v>0</v>
      </c>
      <c r="Z83" s="492">
        <f t="shared" si="108"/>
        <v>0</v>
      </c>
      <c r="AA83" s="492">
        <f t="shared" si="109"/>
        <v>0</v>
      </c>
      <c r="AB83" s="74">
        <f t="shared" si="110"/>
        <v>0</v>
      </c>
      <c r="AC83" s="74">
        <f t="shared" si="111"/>
        <v>0</v>
      </c>
      <c r="AD83" s="492">
        <v>0</v>
      </c>
      <c r="AE83" s="492">
        <v>0</v>
      </c>
      <c r="AF83" s="492">
        <f t="shared" si="112"/>
        <v>0</v>
      </c>
      <c r="AG83" s="492">
        <f t="shared" si="113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120"/>
        <v>0</v>
      </c>
      <c r="AP83" s="493">
        <f t="shared" si="121"/>
        <v>0</v>
      </c>
      <c r="AQ83" s="495">
        <f t="shared" si="114"/>
        <v>0</v>
      </c>
      <c r="AR83" s="502">
        <f t="shared" si="115"/>
        <v>2129947</v>
      </c>
      <c r="AS83" s="492">
        <f t="shared" si="116"/>
        <v>1557638</v>
      </c>
      <c r="AT83" s="492">
        <f t="shared" si="122"/>
        <v>0</v>
      </c>
      <c r="AU83" s="492">
        <f t="shared" si="123"/>
        <v>526482</v>
      </c>
      <c r="AV83" s="492">
        <f t="shared" si="123"/>
        <v>31153</v>
      </c>
      <c r="AW83" s="492">
        <f t="shared" si="117"/>
        <v>14674</v>
      </c>
      <c r="AX83" s="493">
        <f t="shared" si="118"/>
        <v>4.91</v>
      </c>
      <c r="AY83" s="493">
        <f t="shared" si="124"/>
        <v>0</v>
      </c>
      <c r="AZ83" s="495">
        <f t="shared" si="124"/>
        <v>4.91</v>
      </c>
    </row>
    <row r="84" spans="1:52" s="238" customFormat="1" ht="12.75" customHeight="1" x14ac:dyDescent="0.2">
      <c r="A84" s="240">
        <v>20</v>
      </c>
      <c r="B84" s="241">
        <v>3409</v>
      </c>
      <c r="C84" s="241">
        <v>600078396</v>
      </c>
      <c r="D84" s="241">
        <v>43257399</v>
      </c>
      <c r="E84" s="242" t="s">
        <v>47</v>
      </c>
      <c r="F84" s="241">
        <v>3143</v>
      </c>
      <c r="G84" s="242" t="s">
        <v>629</v>
      </c>
      <c r="H84" s="278" t="s">
        <v>278</v>
      </c>
      <c r="I84" s="489">
        <v>2782659</v>
      </c>
      <c r="J84" s="489">
        <v>2043322</v>
      </c>
      <c r="K84" s="489">
        <v>5850</v>
      </c>
      <c r="L84" s="489">
        <v>692620</v>
      </c>
      <c r="M84" s="489">
        <v>40867</v>
      </c>
      <c r="N84" s="489">
        <v>0</v>
      </c>
      <c r="O84" s="490">
        <v>4.5</v>
      </c>
      <c r="P84" s="491">
        <v>4.5</v>
      </c>
      <c r="Q84" s="500">
        <v>0</v>
      </c>
      <c r="R84" s="502">
        <f t="shared" si="106"/>
        <v>0</v>
      </c>
      <c r="S84" s="492">
        <v>0</v>
      </c>
      <c r="T84" s="492">
        <v>0</v>
      </c>
      <c r="U84" s="492">
        <v>0</v>
      </c>
      <c r="V84" s="492">
        <f t="shared" si="107"/>
        <v>0</v>
      </c>
      <c r="W84" s="492">
        <v>0</v>
      </c>
      <c r="X84" s="492">
        <v>0</v>
      </c>
      <c r="Y84" s="492">
        <v>0</v>
      </c>
      <c r="Z84" s="492">
        <f t="shared" si="108"/>
        <v>0</v>
      </c>
      <c r="AA84" s="492">
        <f t="shared" si="109"/>
        <v>0</v>
      </c>
      <c r="AB84" s="74">
        <f t="shared" si="110"/>
        <v>0</v>
      </c>
      <c r="AC84" s="74">
        <f t="shared" si="111"/>
        <v>0</v>
      </c>
      <c r="AD84" s="492">
        <v>0</v>
      </c>
      <c r="AE84" s="492">
        <v>0</v>
      </c>
      <c r="AF84" s="492">
        <f t="shared" si="112"/>
        <v>0</v>
      </c>
      <c r="AG84" s="492">
        <f t="shared" si="113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120"/>
        <v>0</v>
      </c>
      <c r="AP84" s="493">
        <f t="shared" si="121"/>
        <v>0</v>
      </c>
      <c r="AQ84" s="495">
        <f t="shared" si="114"/>
        <v>0</v>
      </c>
      <c r="AR84" s="502">
        <f t="shared" si="115"/>
        <v>2782659</v>
      </c>
      <c r="AS84" s="492">
        <f t="shared" si="116"/>
        <v>2043322</v>
      </c>
      <c r="AT84" s="492">
        <f t="shared" si="122"/>
        <v>5850</v>
      </c>
      <c r="AU84" s="492">
        <f t="shared" si="123"/>
        <v>692620</v>
      </c>
      <c r="AV84" s="492">
        <f t="shared" si="123"/>
        <v>40867</v>
      </c>
      <c r="AW84" s="492">
        <f t="shared" si="117"/>
        <v>0</v>
      </c>
      <c r="AX84" s="493">
        <f t="shared" si="118"/>
        <v>4.5</v>
      </c>
      <c r="AY84" s="493">
        <f t="shared" si="124"/>
        <v>4.5</v>
      </c>
      <c r="AZ84" s="495">
        <f t="shared" si="124"/>
        <v>0</v>
      </c>
    </row>
    <row r="85" spans="1:52" s="238" customFormat="1" ht="12.75" customHeight="1" x14ac:dyDescent="0.2">
      <c r="A85" s="240">
        <v>20</v>
      </c>
      <c r="B85" s="241">
        <v>3409</v>
      </c>
      <c r="C85" s="241">
        <v>600078396</v>
      </c>
      <c r="D85" s="241">
        <v>43257399</v>
      </c>
      <c r="E85" s="242" t="s">
        <v>47</v>
      </c>
      <c r="F85" s="241">
        <v>3143</v>
      </c>
      <c r="G85" s="242" t="s">
        <v>630</v>
      </c>
      <c r="H85" s="278" t="s">
        <v>279</v>
      </c>
      <c r="I85" s="489">
        <v>89208</v>
      </c>
      <c r="J85" s="489">
        <v>63084</v>
      </c>
      <c r="K85" s="489">
        <v>0</v>
      </c>
      <c r="L85" s="489">
        <v>21322</v>
      </c>
      <c r="M85" s="489">
        <v>1262</v>
      </c>
      <c r="N85" s="489">
        <v>3540</v>
      </c>
      <c r="O85" s="490">
        <v>0.25</v>
      </c>
      <c r="P85" s="491">
        <v>0</v>
      </c>
      <c r="Q85" s="500">
        <v>0.25</v>
      </c>
      <c r="R85" s="502">
        <f t="shared" si="106"/>
        <v>0</v>
      </c>
      <c r="S85" s="492">
        <v>0</v>
      </c>
      <c r="T85" s="492">
        <v>0</v>
      </c>
      <c r="U85" s="492">
        <v>0</v>
      </c>
      <c r="V85" s="492">
        <f t="shared" si="107"/>
        <v>0</v>
      </c>
      <c r="W85" s="492">
        <v>0</v>
      </c>
      <c r="X85" s="492">
        <v>0</v>
      </c>
      <c r="Y85" s="492">
        <v>0</v>
      </c>
      <c r="Z85" s="492">
        <f t="shared" si="108"/>
        <v>0</v>
      </c>
      <c r="AA85" s="492">
        <f t="shared" si="109"/>
        <v>0</v>
      </c>
      <c r="AB85" s="74">
        <f t="shared" si="110"/>
        <v>0</v>
      </c>
      <c r="AC85" s="74">
        <f t="shared" si="111"/>
        <v>0</v>
      </c>
      <c r="AD85" s="492">
        <v>0</v>
      </c>
      <c r="AE85" s="492">
        <v>0</v>
      </c>
      <c r="AF85" s="492">
        <f t="shared" si="112"/>
        <v>0</v>
      </c>
      <c r="AG85" s="492">
        <f t="shared" si="113"/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120"/>
        <v>0</v>
      </c>
      <c r="AP85" s="493">
        <f t="shared" si="121"/>
        <v>0</v>
      </c>
      <c r="AQ85" s="495">
        <f t="shared" si="114"/>
        <v>0</v>
      </c>
      <c r="AR85" s="502">
        <f t="shared" si="115"/>
        <v>89208</v>
      </c>
      <c r="AS85" s="492">
        <f t="shared" si="116"/>
        <v>63084</v>
      </c>
      <c r="AT85" s="492">
        <f t="shared" si="122"/>
        <v>0</v>
      </c>
      <c r="AU85" s="492">
        <f t="shared" si="123"/>
        <v>21322</v>
      </c>
      <c r="AV85" s="492">
        <f t="shared" si="123"/>
        <v>1262</v>
      </c>
      <c r="AW85" s="492">
        <f t="shared" si="117"/>
        <v>3540</v>
      </c>
      <c r="AX85" s="493">
        <f t="shared" si="118"/>
        <v>0.25</v>
      </c>
      <c r="AY85" s="493">
        <f t="shared" si="124"/>
        <v>0</v>
      </c>
      <c r="AZ85" s="495">
        <f t="shared" si="124"/>
        <v>0.25</v>
      </c>
    </row>
    <row r="86" spans="1:52" s="238" customFormat="1" ht="12.75" customHeight="1" x14ac:dyDescent="0.2">
      <c r="A86" s="164">
        <v>20</v>
      </c>
      <c r="B86" s="15">
        <v>3409</v>
      </c>
      <c r="C86" s="163">
        <v>600078396</v>
      </c>
      <c r="D86" s="163">
        <v>43257399</v>
      </c>
      <c r="E86" s="239" t="s">
        <v>48</v>
      </c>
      <c r="F86" s="15"/>
      <c r="G86" s="239"/>
      <c r="H86" s="277"/>
      <c r="I86" s="496">
        <v>34130156</v>
      </c>
      <c r="J86" s="496">
        <v>24645900</v>
      </c>
      <c r="K86" s="496">
        <v>45500</v>
      </c>
      <c r="L86" s="496">
        <v>8345693</v>
      </c>
      <c r="M86" s="496">
        <v>492919</v>
      </c>
      <c r="N86" s="496">
        <v>600144</v>
      </c>
      <c r="O86" s="456">
        <v>52.048199999999994</v>
      </c>
      <c r="P86" s="456">
        <v>38.998800000000003</v>
      </c>
      <c r="Q86" s="456">
        <v>13.0494</v>
      </c>
      <c r="R86" s="542">
        <f t="shared" ref="R86:AZ86" si="125">SUM(R81:R85)</f>
        <v>0</v>
      </c>
      <c r="S86" s="496">
        <f t="shared" si="125"/>
        <v>0</v>
      </c>
      <c r="T86" s="496">
        <f t="shared" si="125"/>
        <v>147680</v>
      </c>
      <c r="U86" s="496">
        <f t="shared" si="125"/>
        <v>0</v>
      </c>
      <c r="V86" s="496">
        <f t="shared" si="125"/>
        <v>147680</v>
      </c>
      <c r="W86" s="496">
        <f t="shared" si="125"/>
        <v>0</v>
      </c>
      <c r="X86" s="496">
        <f t="shared" si="125"/>
        <v>0</v>
      </c>
      <c r="Y86" s="496">
        <f t="shared" si="125"/>
        <v>0</v>
      </c>
      <c r="Z86" s="496">
        <f t="shared" si="125"/>
        <v>0</v>
      </c>
      <c r="AA86" s="496">
        <f t="shared" si="125"/>
        <v>147680</v>
      </c>
      <c r="AB86" s="496">
        <f t="shared" si="125"/>
        <v>49916</v>
      </c>
      <c r="AC86" s="496">
        <f t="shared" si="125"/>
        <v>2954</v>
      </c>
      <c r="AD86" s="496">
        <f t="shared" si="125"/>
        <v>0</v>
      </c>
      <c r="AE86" s="496">
        <f t="shared" si="125"/>
        <v>0</v>
      </c>
      <c r="AF86" s="496">
        <f t="shared" si="125"/>
        <v>0</v>
      </c>
      <c r="AG86" s="496">
        <f t="shared" si="125"/>
        <v>200550</v>
      </c>
      <c r="AH86" s="456">
        <f t="shared" si="125"/>
        <v>0</v>
      </c>
      <c r="AI86" s="456">
        <f t="shared" si="125"/>
        <v>0</v>
      </c>
      <c r="AJ86" s="456">
        <f t="shared" si="125"/>
        <v>0</v>
      </c>
      <c r="AK86" s="456">
        <f t="shared" si="125"/>
        <v>0.25</v>
      </c>
      <c r="AL86" s="456">
        <f t="shared" si="125"/>
        <v>0</v>
      </c>
      <c r="AM86" s="456">
        <f t="shared" si="125"/>
        <v>0</v>
      </c>
      <c r="AN86" s="456">
        <f t="shared" si="125"/>
        <v>0</v>
      </c>
      <c r="AO86" s="456">
        <f t="shared" si="125"/>
        <v>0.25</v>
      </c>
      <c r="AP86" s="456">
        <f t="shared" si="125"/>
        <v>0</v>
      </c>
      <c r="AQ86" s="543">
        <f t="shared" si="125"/>
        <v>0.25</v>
      </c>
      <c r="AR86" s="542">
        <f t="shared" si="125"/>
        <v>34330706</v>
      </c>
      <c r="AS86" s="496">
        <f t="shared" si="125"/>
        <v>24793580</v>
      </c>
      <c r="AT86" s="496">
        <f t="shared" si="125"/>
        <v>45500</v>
      </c>
      <c r="AU86" s="496">
        <f t="shared" si="125"/>
        <v>8395609</v>
      </c>
      <c r="AV86" s="496">
        <f t="shared" si="125"/>
        <v>495873</v>
      </c>
      <c r="AW86" s="496">
        <f t="shared" si="125"/>
        <v>600144</v>
      </c>
      <c r="AX86" s="456">
        <f t="shared" si="125"/>
        <v>52.298199999999994</v>
      </c>
      <c r="AY86" s="456">
        <f t="shared" si="125"/>
        <v>39.248800000000003</v>
      </c>
      <c r="AZ86" s="543">
        <f t="shared" si="125"/>
        <v>13.0494</v>
      </c>
    </row>
    <row r="87" spans="1:52" s="238" customFormat="1" ht="12.75" customHeight="1" x14ac:dyDescent="0.2">
      <c r="A87" s="240">
        <v>21</v>
      </c>
      <c r="B87" s="241">
        <v>3415</v>
      </c>
      <c r="C87" s="241">
        <v>600078523</v>
      </c>
      <c r="D87" s="241">
        <v>72743271</v>
      </c>
      <c r="E87" s="242" t="s">
        <v>49</v>
      </c>
      <c r="F87" s="241">
        <v>3113</v>
      </c>
      <c r="G87" s="242" t="s">
        <v>315</v>
      </c>
      <c r="H87" s="278" t="s">
        <v>278</v>
      </c>
      <c r="I87" s="489">
        <v>31054884</v>
      </c>
      <c r="J87" s="489">
        <v>22369040</v>
      </c>
      <c r="K87" s="489">
        <v>5200</v>
      </c>
      <c r="L87" s="489">
        <v>7562493</v>
      </c>
      <c r="M87" s="489">
        <v>447381</v>
      </c>
      <c r="N87" s="489">
        <v>670770</v>
      </c>
      <c r="O87" s="490">
        <v>36.846400000000003</v>
      </c>
      <c r="P87" s="491">
        <v>28.363800000000001</v>
      </c>
      <c r="Q87" s="500">
        <v>8.4825999999999997</v>
      </c>
      <c r="R87" s="502">
        <f t="shared" si="106"/>
        <v>0</v>
      </c>
      <c r="S87" s="492">
        <v>0</v>
      </c>
      <c r="T87" s="492">
        <v>0</v>
      </c>
      <c r="U87" s="492">
        <v>0</v>
      </c>
      <c r="V87" s="492">
        <f t="shared" si="107"/>
        <v>0</v>
      </c>
      <c r="W87" s="492">
        <v>0</v>
      </c>
      <c r="X87" s="492">
        <v>0</v>
      </c>
      <c r="Y87" s="492">
        <v>0</v>
      </c>
      <c r="Z87" s="492">
        <f t="shared" si="108"/>
        <v>0</v>
      </c>
      <c r="AA87" s="492">
        <f t="shared" si="109"/>
        <v>0</v>
      </c>
      <c r="AB87" s="74">
        <f t="shared" si="110"/>
        <v>0</v>
      </c>
      <c r="AC87" s="74">
        <f t="shared" si="111"/>
        <v>0</v>
      </c>
      <c r="AD87" s="492">
        <v>0</v>
      </c>
      <c r="AE87" s="492">
        <v>0</v>
      </c>
      <c r="AF87" s="492">
        <f t="shared" si="112"/>
        <v>0</v>
      </c>
      <c r="AG87" s="492">
        <f t="shared" si="113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ref="AO87:AO91" si="126">AH87+AJ87+AM87+AK87</f>
        <v>0</v>
      </c>
      <c r="AP87" s="493">
        <f t="shared" ref="AP87:AP91" si="127">AI87+AN87+AL87</f>
        <v>0</v>
      </c>
      <c r="AQ87" s="495">
        <f t="shared" si="114"/>
        <v>0</v>
      </c>
      <c r="AR87" s="502">
        <f t="shared" si="115"/>
        <v>31054884</v>
      </c>
      <c r="AS87" s="492">
        <f t="shared" si="116"/>
        <v>22369040</v>
      </c>
      <c r="AT87" s="492">
        <f t="shared" ref="AT87:AT91" si="128">K87+Z87</f>
        <v>5200</v>
      </c>
      <c r="AU87" s="492">
        <f t="shared" ref="AU87:AV91" si="129">L87+AB87</f>
        <v>7562493</v>
      </c>
      <c r="AV87" s="492">
        <f t="shared" si="129"/>
        <v>447381</v>
      </c>
      <c r="AW87" s="492">
        <f t="shared" si="117"/>
        <v>670770</v>
      </c>
      <c r="AX87" s="493">
        <f t="shared" si="118"/>
        <v>36.846400000000003</v>
      </c>
      <c r="AY87" s="493">
        <f t="shared" ref="AY87:AZ91" si="130">P87+AO87</f>
        <v>28.363800000000001</v>
      </c>
      <c r="AZ87" s="495">
        <f t="shared" si="130"/>
        <v>8.4825999999999997</v>
      </c>
    </row>
    <row r="88" spans="1:52" s="238" customFormat="1" x14ac:dyDescent="0.2">
      <c r="A88" s="240">
        <v>21</v>
      </c>
      <c r="B88" s="241">
        <v>3415</v>
      </c>
      <c r="C88" s="241">
        <v>600078523</v>
      </c>
      <c r="D88" s="241">
        <v>72743271</v>
      </c>
      <c r="E88" s="242" t="s">
        <v>49</v>
      </c>
      <c r="F88" s="241">
        <v>3113</v>
      </c>
      <c r="G88" s="242" t="s">
        <v>313</v>
      </c>
      <c r="H88" s="278" t="s">
        <v>279</v>
      </c>
      <c r="I88" s="489">
        <v>1795685</v>
      </c>
      <c r="J88" s="489">
        <v>1322301</v>
      </c>
      <c r="K88" s="489">
        <v>0</v>
      </c>
      <c r="L88" s="489">
        <v>446938</v>
      </c>
      <c r="M88" s="489">
        <v>26446</v>
      </c>
      <c r="N88" s="489">
        <v>0</v>
      </c>
      <c r="O88" s="490">
        <v>3.8</v>
      </c>
      <c r="P88" s="491">
        <v>3.8</v>
      </c>
      <c r="Q88" s="500">
        <v>0</v>
      </c>
      <c r="R88" s="502">
        <f t="shared" si="106"/>
        <v>0</v>
      </c>
      <c r="S88" s="492">
        <v>0</v>
      </c>
      <c r="T88" s="492">
        <v>0</v>
      </c>
      <c r="U88" s="492">
        <v>0</v>
      </c>
      <c r="V88" s="492">
        <f t="shared" si="107"/>
        <v>0</v>
      </c>
      <c r="W88" s="492">
        <v>0</v>
      </c>
      <c r="X88" s="492">
        <v>0</v>
      </c>
      <c r="Y88" s="492">
        <v>0</v>
      </c>
      <c r="Z88" s="492">
        <f t="shared" si="108"/>
        <v>0</v>
      </c>
      <c r="AA88" s="492">
        <f t="shared" si="109"/>
        <v>0</v>
      </c>
      <c r="AB88" s="74">
        <f t="shared" si="110"/>
        <v>0</v>
      </c>
      <c r="AC88" s="74">
        <f t="shared" si="111"/>
        <v>0</v>
      </c>
      <c r="AD88" s="492">
        <v>0</v>
      </c>
      <c r="AE88" s="492">
        <v>0</v>
      </c>
      <c r="AF88" s="492">
        <f t="shared" si="112"/>
        <v>0</v>
      </c>
      <c r="AG88" s="492">
        <f t="shared" si="113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26"/>
        <v>0</v>
      </c>
      <c r="AP88" s="493">
        <f t="shared" si="127"/>
        <v>0</v>
      </c>
      <c r="AQ88" s="495">
        <f t="shared" si="114"/>
        <v>0</v>
      </c>
      <c r="AR88" s="502">
        <f t="shared" si="115"/>
        <v>1795685</v>
      </c>
      <c r="AS88" s="492">
        <f t="shared" si="116"/>
        <v>1322301</v>
      </c>
      <c r="AT88" s="492">
        <f t="shared" si="128"/>
        <v>0</v>
      </c>
      <c r="AU88" s="492">
        <f t="shared" si="129"/>
        <v>446938</v>
      </c>
      <c r="AV88" s="492">
        <f t="shared" si="129"/>
        <v>26446</v>
      </c>
      <c r="AW88" s="492">
        <f t="shared" si="117"/>
        <v>0</v>
      </c>
      <c r="AX88" s="493">
        <f t="shared" si="118"/>
        <v>3.8</v>
      </c>
      <c r="AY88" s="493">
        <f t="shared" si="130"/>
        <v>3.8</v>
      </c>
      <c r="AZ88" s="495">
        <f t="shared" si="130"/>
        <v>0</v>
      </c>
    </row>
    <row r="89" spans="1:52" s="238" customFormat="1" ht="12.75" customHeight="1" x14ac:dyDescent="0.2">
      <c r="A89" s="240">
        <v>21</v>
      </c>
      <c r="B89" s="241">
        <v>3415</v>
      </c>
      <c r="C89" s="241">
        <v>600078523</v>
      </c>
      <c r="D89" s="241">
        <v>72743271</v>
      </c>
      <c r="E89" s="242" t="s">
        <v>49</v>
      </c>
      <c r="F89" s="241">
        <v>3141</v>
      </c>
      <c r="G89" s="242" t="s">
        <v>316</v>
      </c>
      <c r="H89" s="278" t="s">
        <v>279</v>
      </c>
      <c r="I89" s="489">
        <v>2779532</v>
      </c>
      <c r="J89" s="489">
        <v>2023380</v>
      </c>
      <c r="K89" s="489">
        <v>5200</v>
      </c>
      <c r="L89" s="489">
        <v>685660</v>
      </c>
      <c r="M89" s="489">
        <v>40468</v>
      </c>
      <c r="N89" s="489">
        <v>24824</v>
      </c>
      <c r="O89" s="490">
        <v>6.39</v>
      </c>
      <c r="P89" s="491">
        <v>0</v>
      </c>
      <c r="Q89" s="500">
        <v>6.39</v>
      </c>
      <c r="R89" s="502">
        <f t="shared" si="106"/>
        <v>0</v>
      </c>
      <c r="S89" s="492">
        <v>0</v>
      </c>
      <c r="T89" s="492">
        <v>0</v>
      </c>
      <c r="U89" s="492">
        <v>0</v>
      </c>
      <c r="V89" s="492">
        <f t="shared" si="107"/>
        <v>0</v>
      </c>
      <c r="W89" s="492">
        <v>0</v>
      </c>
      <c r="X89" s="492">
        <v>0</v>
      </c>
      <c r="Y89" s="492">
        <v>0</v>
      </c>
      <c r="Z89" s="492">
        <f t="shared" si="108"/>
        <v>0</v>
      </c>
      <c r="AA89" s="492">
        <f t="shared" si="109"/>
        <v>0</v>
      </c>
      <c r="AB89" s="74">
        <f t="shared" si="110"/>
        <v>0</v>
      </c>
      <c r="AC89" s="74">
        <f t="shared" si="111"/>
        <v>0</v>
      </c>
      <c r="AD89" s="492">
        <v>0</v>
      </c>
      <c r="AE89" s="492">
        <v>0</v>
      </c>
      <c r="AF89" s="492">
        <f t="shared" si="112"/>
        <v>0</v>
      </c>
      <c r="AG89" s="492">
        <f t="shared" si="113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126"/>
        <v>0</v>
      </c>
      <c r="AP89" s="493">
        <f t="shared" si="127"/>
        <v>0</v>
      </c>
      <c r="AQ89" s="495">
        <f t="shared" si="114"/>
        <v>0</v>
      </c>
      <c r="AR89" s="502">
        <f t="shared" si="115"/>
        <v>2779532</v>
      </c>
      <c r="AS89" s="492">
        <f t="shared" si="116"/>
        <v>2023380</v>
      </c>
      <c r="AT89" s="492">
        <f t="shared" si="128"/>
        <v>5200</v>
      </c>
      <c r="AU89" s="492">
        <f t="shared" si="129"/>
        <v>685660</v>
      </c>
      <c r="AV89" s="492">
        <f t="shared" si="129"/>
        <v>40468</v>
      </c>
      <c r="AW89" s="492">
        <f t="shared" si="117"/>
        <v>24824</v>
      </c>
      <c r="AX89" s="493">
        <f t="shared" si="118"/>
        <v>6.39</v>
      </c>
      <c r="AY89" s="493">
        <f t="shared" si="130"/>
        <v>0</v>
      </c>
      <c r="AZ89" s="495">
        <f t="shared" si="130"/>
        <v>6.39</v>
      </c>
    </row>
    <row r="90" spans="1:52" s="238" customFormat="1" ht="12.75" customHeight="1" x14ac:dyDescent="0.2">
      <c r="A90" s="240">
        <v>21</v>
      </c>
      <c r="B90" s="241">
        <v>3415</v>
      </c>
      <c r="C90" s="241">
        <v>600078523</v>
      </c>
      <c r="D90" s="241">
        <v>72743271</v>
      </c>
      <c r="E90" s="242" t="s">
        <v>49</v>
      </c>
      <c r="F90" s="241">
        <v>3143</v>
      </c>
      <c r="G90" s="242" t="s">
        <v>629</v>
      </c>
      <c r="H90" s="278" t="s">
        <v>278</v>
      </c>
      <c r="I90" s="489">
        <v>2992414</v>
      </c>
      <c r="J90" s="489">
        <v>2190736</v>
      </c>
      <c r="K90" s="489">
        <v>13000</v>
      </c>
      <c r="L90" s="489">
        <v>744863</v>
      </c>
      <c r="M90" s="489">
        <v>43815</v>
      </c>
      <c r="N90" s="489">
        <v>0</v>
      </c>
      <c r="O90" s="490">
        <v>4.4463999999999997</v>
      </c>
      <c r="P90" s="491">
        <v>4.4463999999999997</v>
      </c>
      <c r="Q90" s="500">
        <v>0</v>
      </c>
      <c r="R90" s="502">
        <f t="shared" si="106"/>
        <v>0</v>
      </c>
      <c r="S90" s="492">
        <v>0</v>
      </c>
      <c r="T90" s="492">
        <v>0</v>
      </c>
      <c r="U90" s="492">
        <v>0</v>
      </c>
      <c r="V90" s="492">
        <f t="shared" si="107"/>
        <v>0</v>
      </c>
      <c r="W90" s="492">
        <v>0</v>
      </c>
      <c r="X90" s="492">
        <v>0</v>
      </c>
      <c r="Y90" s="492">
        <v>0</v>
      </c>
      <c r="Z90" s="492">
        <f t="shared" si="108"/>
        <v>0</v>
      </c>
      <c r="AA90" s="492">
        <f t="shared" si="109"/>
        <v>0</v>
      </c>
      <c r="AB90" s="74">
        <f t="shared" si="110"/>
        <v>0</v>
      </c>
      <c r="AC90" s="74">
        <f t="shared" si="111"/>
        <v>0</v>
      </c>
      <c r="AD90" s="492">
        <v>0</v>
      </c>
      <c r="AE90" s="492">
        <v>0</v>
      </c>
      <c r="AF90" s="492">
        <f t="shared" si="112"/>
        <v>0</v>
      </c>
      <c r="AG90" s="492">
        <f t="shared" si="113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si="126"/>
        <v>0</v>
      </c>
      <c r="AP90" s="493">
        <f t="shared" si="127"/>
        <v>0</v>
      </c>
      <c r="AQ90" s="495">
        <f t="shared" si="114"/>
        <v>0</v>
      </c>
      <c r="AR90" s="502">
        <f t="shared" si="115"/>
        <v>2992414</v>
      </c>
      <c r="AS90" s="492">
        <f t="shared" si="116"/>
        <v>2190736</v>
      </c>
      <c r="AT90" s="492">
        <f t="shared" si="128"/>
        <v>13000</v>
      </c>
      <c r="AU90" s="492">
        <f t="shared" si="129"/>
        <v>744863</v>
      </c>
      <c r="AV90" s="492">
        <f t="shared" si="129"/>
        <v>43815</v>
      </c>
      <c r="AW90" s="492">
        <f t="shared" si="117"/>
        <v>0</v>
      </c>
      <c r="AX90" s="493">
        <f t="shared" si="118"/>
        <v>4.4463999999999997</v>
      </c>
      <c r="AY90" s="493">
        <f t="shared" si="130"/>
        <v>4.4463999999999997</v>
      </c>
      <c r="AZ90" s="495">
        <f t="shared" si="130"/>
        <v>0</v>
      </c>
    </row>
    <row r="91" spans="1:52" s="238" customFormat="1" ht="12.75" customHeight="1" x14ac:dyDescent="0.2">
      <c r="A91" s="240">
        <v>21</v>
      </c>
      <c r="B91" s="241">
        <v>3415</v>
      </c>
      <c r="C91" s="241">
        <v>600078523</v>
      </c>
      <c r="D91" s="241">
        <v>72743271</v>
      </c>
      <c r="E91" s="242" t="s">
        <v>49</v>
      </c>
      <c r="F91" s="241">
        <v>3143</v>
      </c>
      <c r="G91" s="242" t="s">
        <v>630</v>
      </c>
      <c r="H91" s="278" t="s">
        <v>279</v>
      </c>
      <c r="I91" s="489">
        <v>99036</v>
      </c>
      <c r="J91" s="489">
        <v>70034</v>
      </c>
      <c r="K91" s="489">
        <v>0</v>
      </c>
      <c r="L91" s="489">
        <v>23671</v>
      </c>
      <c r="M91" s="489">
        <v>1401</v>
      </c>
      <c r="N91" s="489">
        <v>3930</v>
      </c>
      <c r="O91" s="490">
        <v>0.27</v>
      </c>
      <c r="P91" s="491">
        <v>0</v>
      </c>
      <c r="Q91" s="500">
        <v>0.27</v>
      </c>
      <c r="R91" s="502">
        <f t="shared" si="106"/>
        <v>0</v>
      </c>
      <c r="S91" s="492">
        <v>0</v>
      </c>
      <c r="T91" s="492">
        <v>0</v>
      </c>
      <c r="U91" s="492">
        <v>0</v>
      </c>
      <c r="V91" s="492">
        <f t="shared" si="107"/>
        <v>0</v>
      </c>
      <c r="W91" s="492">
        <v>0</v>
      </c>
      <c r="X91" s="492">
        <v>0</v>
      </c>
      <c r="Y91" s="492">
        <v>0</v>
      </c>
      <c r="Z91" s="492">
        <f t="shared" si="108"/>
        <v>0</v>
      </c>
      <c r="AA91" s="492">
        <f t="shared" si="109"/>
        <v>0</v>
      </c>
      <c r="AB91" s="74">
        <f t="shared" si="110"/>
        <v>0</v>
      </c>
      <c r="AC91" s="74">
        <f t="shared" si="111"/>
        <v>0</v>
      </c>
      <c r="AD91" s="492">
        <v>0</v>
      </c>
      <c r="AE91" s="492">
        <v>0</v>
      </c>
      <c r="AF91" s="492">
        <f t="shared" si="112"/>
        <v>0</v>
      </c>
      <c r="AG91" s="492">
        <f t="shared" si="113"/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si="126"/>
        <v>0</v>
      </c>
      <c r="AP91" s="493">
        <f t="shared" si="127"/>
        <v>0</v>
      </c>
      <c r="AQ91" s="495">
        <f t="shared" si="114"/>
        <v>0</v>
      </c>
      <c r="AR91" s="502">
        <f t="shared" si="115"/>
        <v>99036</v>
      </c>
      <c r="AS91" s="492">
        <f t="shared" si="116"/>
        <v>70034</v>
      </c>
      <c r="AT91" s="492">
        <f t="shared" si="128"/>
        <v>0</v>
      </c>
      <c r="AU91" s="492">
        <f t="shared" si="129"/>
        <v>23671</v>
      </c>
      <c r="AV91" s="492">
        <f t="shared" si="129"/>
        <v>1401</v>
      </c>
      <c r="AW91" s="492">
        <f t="shared" si="117"/>
        <v>3930</v>
      </c>
      <c r="AX91" s="493">
        <f t="shared" si="118"/>
        <v>0.27</v>
      </c>
      <c r="AY91" s="493">
        <f t="shared" si="130"/>
        <v>0</v>
      </c>
      <c r="AZ91" s="495">
        <f t="shared" si="130"/>
        <v>0.27</v>
      </c>
    </row>
    <row r="92" spans="1:52" s="238" customFormat="1" ht="12.75" customHeight="1" x14ac:dyDescent="0.2">
      <c r="A92" s="164">
        <v>21</v>
      </c>
      <c r="B92" s="15">
        <v>3415</v>
      </c>
      <c r="C92" s="163">
        <v>600078523</v>
      </c>
      <c r="D92" s="163">
        <v>72743271</v>
      </c>
      <c r="E92" s="239" t="s">
        <v>50</v>
      </c>
      <c r="F92" s="15"/>
      <c r="G92" s="239"/>
      <c r="H92" s="277"/>
      <c r="I92" s="496">
        <v>38721551</v>
      </c>
      <c r="J92" s="496">
        <v>27975491</v>
      </c>
      <c r="K92" s="496">
        <v>23400</v>
      </c>
      <c r="L92" s="496">
        <v>9463625</v>
      </c>
      <c r="M92" s="496">
        <v>559511</v>
      </c>
      <c r="N92" s="496">
        <v>699524</v>
      </c>
      <c r="O92" s="456">
        <v>51.752800000000001</v>
      </c>
      <c r="P92" s="456">
        <v>36.610199999999999</v>
      </c>
      <c r="Q92" s="456">
        <v>15.142599999999998</v>
      </c>
      <c r="R92" s="542">
        <f t="shared" ref="R92:AZ92" si="131">SUM(R87:R91)</f>
        <v>0</v>
      </c>
      <c r="S92" s="496">
        <f t="shared" si="131"/>
        <v>0</v>
      </c>
      <c r="T92" s="496">
        <f t="shared" si="131"/>
        <v>0</v>
      </c>
      <c r="U92" s="496">
        <f t="shared" si="131"/>
        <v>0</v>
      </c>
      <c r="V92" s="496">
        <f t="shared" si="131"/>
        <v>0</v>
      </c>
      <c r="W92" s="496">
        <f t="shared" si="131"/>
        <v>0</v>
      </c>
      <c r="X92" s="496">
        <f t="shared" si="131"/>
        <v>0</v>
      </c>
      <c r="Y92" s="496">
        <f t="shared" si="131"/>
        <v>0</v>
      </c>
      <c r="Z92" s="496">
        <f t="shared" si="131"/>
        <v>0</v>
      </c>
      <c r="AA92" s="496">
        <f t="shared" si="131"/>
        <v>0</v>
      </c>
      <c r="AB92" s="496">
        <f t="shared" si="131"/>
        <v>0</v>
      </c>
      <c r="AC92" s="496">
        <f t="shared" si="131"/>
        <v>0</v>
      </c>
      <c r="AD92" s="496">
        <f t="shared" si="131"/>
        <v>0</v>
      </c>
      <c r="AE92" s="496">
        <f t="shared" si="131"/>
        <v>0</v>
      </c>
      <c r="AF92" s="496">
        <f t="shared" si="131"/>
        <v>0</v>
      </c>
      <c r="AG92" s="496">
        <f t="shared" si="131"/>
        <v>0</v>
      </c>
      <c r="AH92" s="456">
        <f t="shared" si="131"/>
        <v>0</v>
      </c>
      <c r="AI92" s="456">
        <f t="shared" si="131"/>
        <v>0</v>
      </c>
      <c r="AJ92" s="456">
        <f t="shared" si="131"/>
        <v>0</v>
      </c>
      <c r="AK92" s="456">
        <f t="shared" si="131"/>
        <v>0</v>
      </c>
      <c r="AL92" s="456">
        <f t="shared" si="131"/>
        <v>0</v>
      </c>
      <c r="AM92" s="456">
        <f t="shared" si="131"/>
        <v>0</v>
      </c>
      <c r="AN92" s="456">
        <f t="shared" si="131"/>
        <v>0</v>
      </c>
      <c r="AO92" s="456">
        <f t="shared" si="131"/>
        <v>0</v>
      </c>
      <c r="AP92" s="456">
        <f t="shared" si="131"/>
        <v>0</v>
      </c>
      <c r="AQ92" s="543">
        <f t="shared" si="131"/>
        <v>0</v>
      </c>
      <c r="AR92" s="542">
        <f t="shared" si="131"/>
        <v>38721551</v>
      </c>
      <c r="AS92" s="496">
        <f t="shared" si="131"/>
        <v>27975491</v>
      </c>
      <c r="AT92" s="496">
        <f t="shared" si="131"/>
        <v>23400</v>
      </c>
      <c r="AU92" s="496">
        <f t="shared" si="131"/>
        <v>9463625</v>
      </c>
      <c r="AV92" s="496">
        <f t="shared" si="131"/>
        <v>559511</v>
      </c>
      <c r="AW92" s="496">
        <f t="shared" si="131"/>
        <v>699524</v>
      </c>
      <c r="AX92" s="456">
        <f t="shared" si="131"/>
        <v>51.752800000000001</v>
      </c>
      <c r="AY92" s="456">
        <f t="shared" si="131"/>
        <v>36.610199999999999</v>
      </c>
      <c r="AZ92" s="543">
        <f t="shared" si="131"/>
        <v>15.142599999999998</v>
      </c>
    </row>
    <row r="93" spans="1:52" s="238" customFormat="1" ht="12.75" customHeight="1" x14ac:dyDescent="0.2">
      <c r="A93" s="240">
        <v>22</v>
      </c>
      <c r="B93" s="241">
        <v>3412</v>
      </c>
      <c r="C93" s="241">
        <v>600078540</v>
      </c>
      <c r="D93" s="241">
        <v>72742879</v>
      </c>
      <c r="E93" s="242" t="s">
        <v>51</v>
      </c>
      <c r="F93" s="241">
        <v>3113</v>
      </c>
      <c r="G93" s="242" t="s">
        <v>315</v>
      </c>
      <c r="H93" s="278" t="s">
        <v>278</v>
      </c>
      <c r="I93" s="489">
        <v>42868448</v>
      </c>
      <c r="J93" s="489">
        <v>30746616</v>
      </c>
      <c r="K93" s="489">
        <v>78000</v>
      </c>
      <c r="L93" s="489">
        <v>10418720</v>
      </c>
      <c r="M93" s="489">
        <v>614932</v>
      </c>
      <c r="N93" s="489">
        <v>1010180</v>
      </c>
      <c r="O93" s="490">
        <v>52.113399999999999</v>
      </c>
      <c r="P93" s="491">
        <v>40.704599999999999</v>
      </c>
      <c r="Q93" s="500">
        <v>11.408799999999999</v>
      </c>
      <c r="R93" s="502">
        <f t="shared" si="106"/>
        <v>0</v>
      </c>
      <c r="S93" s="492">
        <v>0</v>
      </c>
      <c r="T93" s="492">
        <v>0</v>
      </c>
      <c r="U93" s="492">
        <v>0</v>
      </c>
      <c r="V93" s="492">
        <f t="shared" si="107"/>
        <v>0</v>
      </c>
      <c r="W93" s="492">
        <v>0</v>
      </c>
      <c r="X93" s="492">
        <v>0</v>
      </c>
      <c r="Y93" s="492">
        <v>0</v>
      </c>
      <c r="Z93" s="492">
        <f t="shared" si="108"/>
        <v>0</v>
      </c>
      <c r="AA93" s="492">
        <f t="shared" si="109"/>
        <v>0</v>
      </c>
      <c r="AB93" s="74">
        <f t="shared" si="110"/>
        <v>0</v>
      </c>
      <c r="AC93" s="74">
        <f t="shared" si="111"/>
        <v>0</v>
      </c>
      <c r="AD93" s="492">
        <v>0</v>
      </c>
      <c r="AE93" s="492">
        <v>0</v>
      </c>
      <c r="AF93" s="492">
        <f t="shared" si="112"/>
        <v>0</v>
      </c>
      <c r="AG93" s="492">
        <f t="shared" si="113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ref="AO93:AO97" si="132">AH93+AJ93+AM93+AK93</f>
        <v>0</v>
      </c>
      <c r="AP93" s="493">
        <f t="shared" ref="AP93:AP97" si="133">AI93+AN93+AL93</f>
        <v>0</v>
      </c>
      <c r="AQ93" s="495">
        <f t="shared" si="114"/>
        <v>0</v>
      </c>
      <c r="AR93" s="502">
        <f t="shared" si="115"/>
        <v>42868448</v>
      </c>
      <c r="AS93" s="492">
        <f t="shared" si="116"/>
        <v>30746616</v>
      </c>
      <c r="AT93" s="492">
        <f t="shared" ref="AT93:AT97" si="134">K93+Z93</f>
        <v>78000</v>
      </c>
      <c r="AU93" s="492">
        <f t="shared" ref="AU93:AV97" si="135">L93+AB93</f>
        <v>10418720</v>
      </c>
      <c r="AV93" s="492">
        <f t="shared" si="135"/>
        <v>614932</v>
      </c>
      <c r="AW93" s="492">
        <f t="shared" si="117"/>
        <v>1010180</v>
      </c>
      <c r="AX93" s="493">
        <f t="shared" si="118"/>
        <v>52.113399999999999</v>
      </c>
      <c r="AY93" s="493">
        <f t="shared" ref="AY93:AZ97" si="136">P93+AO93</f>
        <v>40.704599999999999</v>
      </c>
      <c r="AZ93" s="495">
        <f t="shared" si="136"/>
        <v>11.408799999999999</v>
      </c>
    </row>
    <row r="94" spans="1:52" s="238" customFormat="1" x14ac:dyDescent="0.2">
      <c r="A94" s="240">
        <v>22</v>
      </c>
      <c r="B94" s="241">
        <v>3412</v>
      </c>
      <c r="C94" s="241">
        <v>600078540</v>
      </c>
      <c r="D94" s="241">
        <v>72742879</v>
      </c>
      <c r="E94" s="242" t="s">
        <v>51</v>
      </c>
      <c r="F94" s="241">
        <v>3113</v>
      </c>
      <c r="G94" s="242" t="s">
        <v>313</v>
      </c>
      <c r="H94" s="278" t="s">
        <v>279</v>
      </c>
      <c r="I94" s="489">
        <v>4626327</v>
      </c>
      <c r="J94" s="489">
        <v>3406721</v>
      </c>
      <c r="K94" s="489">
        <v>0</v>
      </c>
      <c r="L94" s="489">
        <v>1151472</v>
      </c>
      <c r="M94" s="489">
        <v>68134</v>
      </c>
      <c r="N94" s="489">
        <v>0</v>
      </c>
      <c r="O94" s="490">
        <v>9.7899999999999991</v>
      </c>
      <c r="P94" s="491">
        <v>9.7899999999999991</v>
      </c>
      <c r="Q94" s="500">
        <v>0</v>
      </c>
      <c r="R94" s="502">
        <f t="shared" si="106"/>
        <v>0</v>
      </c>
      <c r="S94" s="492">
        <v>0</v>
      </c>
      <c r="T94" s="492">
        <v>0</v>
      </c>
      <c r="U94" s="492">
        <v>0</v>
      </c>
      <c r="V94" s="492">
        <f t="shared" si="107"/>
        <v>0</v>
      </c>
      <c r="W94" s="492">
        <v>0</v>
      </c>
      <c r="X94" s="492">
        <v>0</v>
      </c>
      <c r="Y94" s="492">
        <v>0</v>
      </c>
      <c r="Z94" s="492">
        <f t="shared" si="108"/>
        <v>0</v>
      </c>
      <c r="AA94" s="492">
        <f t="shared" si="109"/>
        <v>0</v>
      </c>
      <c r="AB94" s="74">
        <f t="shared" si="110"/>
        <v>0</v>
      </c>
      <c r="AC94" s="74">
        <f t="shared" si="111"/>
        <v>0</v>
      </c>
      <c r="AD94" s="492">
        <v>6000</v>
      </c>
      <c r="AE94" s="492">
        <v>0</v>
      </c>
      <c r="AF94" s="492">
        <f t="shared" si="112"/>
        <v>6000</v>
      </c>
      <c r="AG94" s="492">
        <f t="shared" si="113"/>
        <v>6000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32"/>
        <v>0</v>
      </c>
      <c r="AP94" s="493">
        <f t="shared" si="133"/>
        <v>0</v>
      </c>
      <c r="AQ94" s="495">
        <f t="shared" si="114"/>
        <v>0</v>
      </c>
      <c r="AR94" s="502">
        <f t="shared" si="115"/>
        <v>4632327</v>
      </c>
      <c r="AS94" s="492">
        <f t="shared" si="116"/>
        <v>3406721</v>
      </c>
      <c r="AT94" s="492">
        <f t="shared" si="134"/>
        <v>0</v>
      </c>
      <c r="AU94" s="492">
        <f t="shared" si="135"/>
        <v>1151472</v>
      </c>
      <c r="AV94" s="492">
        <f t="shared" si="135"/>
        <v>68134</v>
      </c>
      <c r="AW94" s="492">
        <f t="shared" si="117"/>
        <v>6000</v>
      </c>
      <c r="AX94" s="493">
        <f t="shared" si="118"/>
        <v>9.7899999999999991</v>
      </c>
      <c r="AY94" s="493">
        <f t="shared" si="136"/>
        <v>9.7899999999999991</v>
      </c>
      <c r="AZ94" s="495">
        <f t="shared" si="136"/>
        <v>0</v>
      </c>
    </row>
    <row r="95" spans="1:52" s="238" customFormat="1" ht="12.75" customHeight="1" x14ac:dyDescent="0.2">
      <c r="A95" s="240">
        <v>22</v>
      </c>
      <c r="B95" s="241">
        <v>3412</v>
      </c>
      <c r="C95" s="241">
        <v>600078540</v>
      </c>
      <c r="D95" s="241">
        <v>72742879</v>
      </c>
      <c r="E95" s="242" t="s">
        <v>51</v>
      </c>
      <c r="F95" s="241">
        <v>3141</v>
      </c>
      <c r="G95" s="242" t="s">
        <v>316</v>
      </c>
      <c r="H95" s="278" t="s">
        <v>279</v>
      </c>
      <c r="I95" s="489">
        <v>3879371</v>
      </c>
      <c r="J95" s="489">
        <v>2816195</v>
      </c>
      <c r="K95" s="489">
        <v>13000</v>
      </c>
      <c r="L95" s="489">
        <v>956268</v>
      </c>
      <c r="M95" s="489">
        <v>56324</v>
      </c>
      <c r="N95" s="489">
        <v>37584</v>
      </c>
      <c r="O95" s="490">
        <v>8.91</v>
      </c>
      <c r="P95" s="491">
        <v>0</v>
      </c>
      <c r="Q95" s="500">
        <v>8.91</v>
      </c>
      <c r="R95" s="502">
        <f t="shared" si="106"/>
        <v>0</v>
      </c>
      <c r="S95" s="492">
        <v>0</v>
      </c>
      <c r="T95" s="492">
        <v>0</v>
      </c>
      <c r="U95" s="492">
        <v>0</v>
      </c>
      <c r="V95" s="492">
        <f t="shared" si="107"/>
        <v>0</v>
      </c>
      <c r="W95" s="492">
        <v>0</v>
      </c>
      <c r="X95" s="492">
        <v>0</v>
      </c>
      <c r="Y95" s="492">
        <v>0</v>
      </c>
      <c r="Z95" s="492">
        <f t="shared" si="108"/>
        <v>0</v>
      </c>
      <c r="AA95" s="492">
        <f t="shared" si="109"/>
        <v>0</v>
      </c>
      <c r="AB95" s="74">
        <f t="shared" si="110"/>
        <v>0</v>
      </c>
      <c r="AC95" s="74">
        <f t="shared" si="111"/>
        <v>0</v>
      </c>
      <c r="AD95" s="492">
        <v>0</v>
      </c>
      <c r="AE95" s="492">
        <v>0</v>
      </c>
      <c r="AF95" s="492">
        <f t="shared" si="112"/>
        <v>0</v>
      </c>
      <c r="AG95" s="492">
        <f t="shared" si="113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132"/>
        <v>0</v>
      </c>
      <c r="AP95" s="493">
        <f t="shared" si="133"/>
        <v>0</v>
      </c>
      <c r="AQ95" s="495">
        <f t="shared" si="114"/>
        <v>0</v>
      </c>
      <c r="AR95" s="502">
        <f t="shared" si="115"/>
        <v>3879371</v>
      </c>
      <c r="AS95" s="492">
        <f t="shared" si="116"/>
        <v>2816195</v>
      </c>
      <c r="AT95" s="492">
        <f t="shared" si="134"/>
        <v>13000</v>
      </c>
      <c r="AU95" s="492">
        <f t="shared" si="135"/>
        <v>956268</v>
      </c>
      <c r="AV95" s="492">
        <f t="shared" si="135"/>
        <v>56324</v>
      </c>
      <c r="AW95" s="492">
        <f t="shared" si="117"/>
        <v>37584</v>
      </c>
      <c r="AX95" s="493">
        <f t="shared" si="118"/>
        <v>8.91</v>
      </c>
      <c r="AY95" s="493">
        <f t="shared" si="136"/>
        <v>0</v>
      </c>
      <c r="AZ95" s="495">
        <f t="shared" si="136"/>
        <v>8.91</v>
      </c>
    </row>
    <row r="96" spans="1:52" s="238" customFormat="1" ht="12.75" customHeight="1" x14ac:dyDescent="0.2">
      <c r="A96" s="240">
        <v>22</v>
      </c>
      <c r="B96" s="241">
        <v>3412</v>
      </c>
      <c r="C96" s="241">
        <v>600078540</v>
      </c>
      <c r="D96" s="241">
        <v>72742879</v>
      </c>
      <c r="E96" s="242" t="s">
        <v>51</v>
      </c>
      <c r="F96" s="241">
        <v>3143</v>
      </c>
      <c r="G96" s="242" t="s">
        <v>629</v>
      </c>
      <c r="H96" s="278" t="s">
        <v>278</v>
      </c>
      <c r="I96" s="489">
        <v>4308580</v>
      </c>
      <c r="J96" s="489">
        <v>3166335</v>
      </c>
      <c r="K96" s="489">
        <v>6500</v>
      </c>
      <c r="L96" s="489">
        <v>1072418</v>
      </c>
      <c r="M96" s="489">
        <v>63327</v>
      </c>
      <c r="N96" s="489">
        <v>0</v>
      </c>
      <c r="O96" s="490">
        <v>6.1204999999999998</v>
      </c>
      <c r="P96" s="491">
        <v>6.1204999999999998</v>
      </c>
      <c r="Q96" s="500">
        <v>0</v>
      </c>
      <c r="R96" s="502">
        <f t="shared" si="106"/>
        <v>0</v>
      </c>
      <c r="S96" s="492">
        <v>0</v>
      </c>
      <c r="T96" s="492">
        <v>0</v>
      </c>
      <c r="U96" s="492">
        <v>0</v>
      </c>
      <c r="V96" s="492">
        <f t="shared" si="107"/>
        <v>0</v>
      </c>
      <c r="W96" s="492">
        <v>0</v>
      </c>
      <c r="X96" s="492">
        <v>0</v>
      </c>
      <c r="Y96" s="492">
        <v>0</v>
      </c>
      <c r="Z96" s="492">
        <f t="shared" si="108"/>
        <v>0</v>
      </c>
      <c r="AA96" s="492">
        <f t="shared" si="109"/>
        <v>0</v>
      </c>
      <c r="AB96" s="74">
        <f t="shared" si="110"/>
        <v>0</v>
      </c>
      <c r="AC96" s="74">
        <f t="shared" si="111"/>
        <v>0</v>
      </c>
      <c r="AD96" s="492">
        <v>0</v>
      </c>
      <c r="AE96" s="492">
        <v>0</v>
      </c>
      <c r="AF96" s="492">
        <f t="shared" si="112"/>
        <v>0</v>
      </c>
      <c r="AG96" s="492">
        <f t="shared" si="113"/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132"/>
        <v>0</v>
      </c>
      <c r="AP96" s="493">
        <f t="shared" si="133"/>
        <v>0</v>
      </c>
      <c r="AQ96" s="495">
        <f t="shared" si="114"/>
        <v>0</v>
      </c>
      <c r="AR96" s="502">
        <f t="shared" si="115"/>
        <v>4308580</v>
      </c>
      <c r="AS96" s="492">
        <f t="shared" si="116"/>
        <v>3166335</v>
      </c>
      <c r="AT96" s="492">
        <f t="shared" si="134"/>
        <v>6500</v>
      </c>
      <c r="AU96" s="492">
        <f t="shared" si="135"/>
        <v>1072418</v>
      </c>
      <c r="AV96" s="492">
        <f t="shared" si="135"/>
        <v>63327</v>
      </c>
      <c r="AW96" s="492">
        <f t="shared" si="117"/>
        <v>0</v>
      </c>
      <c r="AX96" s="493">
        <f t="shared" si="118"/>
        <v>6.1204999999999998</v>
      </c>
      <c r="AY96" s="493">
        <f t="shared" si="136"/>
        <v>6.1204999999999998</v>
      </c>
      <c r="AZ96" s="495">
        <f t="shared" si="136"/>
        <v>0</v>
      </c>
    </row>
    <row r="97" spans="1:52" s="238" customFormat="1" ht="12.75" customHeight="1" x14ac:dyDescent="0.2">
      <c r="A97" s="240">
        <v>22</v>
      </c>
      <c r="B97" s="241">
        <v>3412</v>
      </c>
      <c r="C97" s="241">
        <v>600078540</v>
      </c>
      <c r="D97" s="241">
        <v>72742879</v>
      </c>
      <c r="E97" s="242" t="s">
        <v>51</v>
      </c>
      <c r="F97" s="241">
        <v>3143</v>
      </c>
      <c r="G97" s="242" t="s">
        <v>630</v>
      </c>
      <c r="H97" s="278" t="s">
        <v>279</v>
      </c>
      <c r="I97" s="489">
        <v>158760</v>
      </c>
      <c r="J97" s="489">
        <v>112268</v>
      </c>
      <c r="K97" s="489">
        <v>0</v>
      </c>
      <c r="L97" s="489">
        <v>37947</v>
      </c>
      <c r="M97" s="489">
        <v>2245</v>
      </c>
      <c r="N97" s="489">
        <v>6300</v>
      </c>
      <c r="O97" s="490">
        <v>0.44</v>
      </c>
      <c r="P97" s="491">
        <v>0</v>
      </c>
      <c r="Q97" s="500">
        <v>0.44</v>
      </c>
      <c r="R97" s="502">
        <f t="shared" si="106"/>
        <v>0</v>
      </c>
      <c r="S97" s="492">
        <v>0</v>
      </c>
      <c r="T97" s="492">
        <v>0</v>
      </c>
      <c r="U97" s="492">
        <v>0</v>
      </c>
      <c r="V97" s="492">
        <f t="shared" si="107"/>
        <v>0</v>
      </c>
      <c r="W97" s="492">
        <v>0</v>
      </c>
      <c r="X97" s="492">
        <v>0</v>
      </c>
      <c r="Y97" s="492">
        <v>0</v>
      </c>
      <c r="Z97" s="492">
        <f t="shared" si="108"/>
        <v>0</v>
      </c>
      <c r="AA97" s="492">
        <f t="shared" si="109"/>
        <v>0</v>
      </c>
      <c r="AB97" s="74">
        <f t="shared" si="110"/>
        <v>0</v>
      </c>
      <c r="AC97" s="74">
        <f t="shared" si="111"/>
        <v>0</v>
      </c>
      <c r="AD97" s="492">
        <v>0</v>
      </c>
      <c r="AE97" s="492">
        <v>0</v>
      </c>
      <c r="AF97" s="492">
        <f t="shared" si="112"/>
        <v>0</v>
      </c>
      <c r="AG97" s="492">
        <f t="shared" si="113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132"/>
        <v>0</v>
      </c>
      <c r="AP97" s="493">
        <f t="shared" si="133"/>
        <v>0</v>
      </c>
      <c r="AQ97" s="495">
        <f t="shared" si="114"/>
        <v>0</v>
      </c>
      <c r="AR97" s="502">
        <f t="shared" si="115"/>
        <v>158760</v>
      </c>
      <c r="AS97" s="492">
        <f t="shared" si="116"/>
        <v>112268</v>
      </c>
      <c r="AT97" s="492">
        <f t="shared" si="134"/>
        <v>0</v>
      </c>
      <c r="AU97" s="492">
        <f t="shared" si="135"/>
        <v>37947</v>
      </c>
      <c r="AV97" s="492">
        <f t="shared" si="135"/>
        <v>2245</v>
      </c>
      <c r="AW97" s="492">
        <f t="shared" si="117"/>
        <v>6300</v>
      </c>
      <c r="AX97" s="493">
        <f t="shared" si="118"/>
        <v>0.44</v>
      </c>
      <c r="AY97" s="493">
        <f t="shared" si="136"/>
        <v>0</v>
      </c>
      <c r="AZ97" s="495">
        <f t="shared" si="136"/>
        <v>0.44</v>
      </c>
    </row>
    <row r="98" spans="1:52" s="238" customFormat="1" ht="12.75" customHeight="1" x14ac:dyDescent="0.2">
      <c r="A98" s="164">
        <v>22</v>
      </c>
      <c r="B98" s="15">
        <v>3412</v>
      </c>
      <c r="C98" s="163">
        <v>600078540</v>
      </c>
      <c r="D98" s="163">
        <v>72742879</v>
      </c>
      <c r="E98" s="239" t="s">
        <v>52</v>
      </c>
      <c r="F98" s="15"/>
      <c r="G98" s="239"/>
      <c r="H98" s="277"/>
      <c r="I98" s="496">
        <v>55841486</v>
      </c>
      <c r="J98" s="496">
        <v>40248135</v>
      </c>
      <c r="K98" s="496">
        <v>97500</v>
      </c>
      <c r="L98" s="496">
        <v>13636825</v>
      </c>
      <c r="M98" s="496">
        <v>804962</v>
      </c>
      <c r="N98" s="496">
        <v>1054064</v>
      </c>
      <c r="O98" s="456">
        <v>77.373899999999992</v>
      </c>
      <c r="P98" s="456">
        <v>56.615099999999998</v>
      </c>
      <c r="Q98" s="456">
        <v>20.758800000000001</v>
      </c>
      <c r="R98" s="542">
        <f t="shared" ref="R98:AZ98" si="137">SUM(R93:R97)</f>
        <v>0</v>
      </c>
      <c r="S98" s="496">
        <f t="shared" si="137"/>
        <v>0</v>
      </c>
      <c r="T98" s="496">
        <f t="shared" si="137"/>
        <v>0</v>
      </c>
      <c r="U98" s="496">
        <f t="shared" si="137"/>
        <v>0</v>
      </c>
      <c r="V98" s="496">
        <f t="shared" si="137"/>
        <v>0</v>
      </c>
      <c r="W98" s="496">
        <f t="shared" si="137"/>
        <v>0</v>
      </c>
      <c r="X98" s="496">
        <f t="shared" si="137"/>
        <v>0</v>
      </c>
      <c r="Y98" s="496">
        <f t="shared" si="137"/>
        <v>0</v>
      </c>
      <c r="Z98" s="496">
        <f t="shared" si="137"/>
        <v>0</v>
      </c>
      <c r="AA98" s="496">
        <f t="shared" si="137"/>
        <v>0</v>
      </c>
      <c r="AB98" s="496">
        <f t="shared" si="137"/>
        <v>0</v>
      </c>
      <c r="AC98" s="496">
        <f t="shared" si="137"/>
        <v>0</v>
      </c>
      <c r="AD98" s="496">
        <f t="shared" si="137"/>
        <v>6000</v>
      </c>
      <c r="AE98" s="496">
        <f t="shared" si="137"/>
        <v>0</v>
      </c>
      <c r="AF98" s="496">
        <f t="shared" si="137"/>
        <v>6000</v>
      </c>
      <c r="AG98" s="496">
        <f t="shared" si="137"/>
        <v>6000</v>
      </c>
      <c r="AH98" s="456">
        <f t="shared" si="137"/>
        <v>0</v>
      </c>
      <c r="AI98" s="456">
        <f t="shared" si="137"/>
        <v>0</v>
      </c>
      <c r="AJ98" s="456">
        <f t="shared" si="137"/>
        <v>0</v>
      </c>
      <c r="AK98" s="456">
        <f t="shared" si="137"/>
        <v>0</v>
      </c>
      <c r="AL98" s="456">
        <f t="shared" si="137"/>
        <v>0</v>
      </c>
      <c r="AM98" s="456">
        <f t="shared" si="137"/>
        <v>0</v>
      </c>
      <c r="AN98" s="456">
        <f t="shared" si="137"/>
        <v>0</v>
      </c>
      <c r="AO98" s="456">
        <f t="shared" si="137"/>
        <v>0</v>
      </c>
      <c r="AP98" s="456">
        <f t="shared" si="137"/>
        <v>0</v>
      </c>
      <c r="AQ98" s="543">
        <f t="shared" si="137"/>
        <v>0</v>
      </c>
      <c r="AR98" s="542">
        <f t="shared" si="137"/>
        <v>55847486</v>
      </c>
      <c r="AS98" s="496">
        <f t="shared" si="137"/>
        <v>40248135</v>
      </c>
      <c r="AT98" s="496">
        <f t="shared" si="137"/>
        <v>97500</v>
      </c>
      <c r="AU98" s="496">
        <f t="shared" si="137"/>
        <v>13636825</v>
      </c>
      <c r="AV98" s="496">
        <f t="shared" si="137"/>
        <v>804962</v>
      </c>
      <c r="AW98" s="496">
        <f t="shared" si="137"/>
        <v>1060064</v>
      </c>
      <c r="AX98" s="456">
        <f t="shared" si="137"/>
        <v>77.373899999999992</v>
      </c>
      <c r="AY98" s="456">
        <f t="shared" si="137"/>
        <v>56.615099999999998</v>
      </c>
      <c r="AZ98" s="543">
        <f t="shared" si="137"/>
        <v>20.758800000000001</v>
      </c>
    </row>
    <row r="99" spans="1:52" s="238" customFormat="1" ht="12" customHeight="1" x14ac:dyDescent="0.2">
      <c r="A99" s="240">
        <v>23</v>
      </c>
      <c r="B99" s="241">
        <v>3416</v>
      </c>
      <c r="C99" s="241">
        <v>600078426</v>
      </c>
      <c r="D99" s="241">
        <v>72743034</v>
      </c>
      <c r="E99" s="242" t="s">
        <v>53</v>
      </c>
      <c r="F99" s="241">
        <v>3113</v>
      </c>
      <c r="G99" s="242" t="s">
        <v>315</v>
      </c>
      <c r="H99" s="278" t="s">
        <v>278</v>
      </c>
      <c r="I99" s="489">
        <v>35390471</v>
      </c>
      <c r="J99" s="489">
        <v>25409819</v>
      </c>
      <c r="K99" s="489">
        <v>27950</v>
      </c>
      <c r="L99" s="489">
        <v>8597966</v>
      </c>
      <c r="M99" s="489">
        <v>508196</v>
      </c>
      <c r="N99" s="489">
        <v>846540</v>
      </c>
      <c r="O99" s="490">
        <v>43.895699999999998</v>
      </c>
      <c r="P99" s="491">
        <v>33.661799999999999</v>
      </c>
      <c r="Q99" s="500">
        <v>10.233899999999998</v>
      </c>
      <c r="R99" s="502">
        <f t="shared" si="106"/>
        <v>0</v>
      </c>
      <c r="S99" s="492">
        <v>0</v>
      </c>
      <c r="T99" s="492">
        <v>0</v>
      </c>
      <c r="U99" s="492">
        <v>0</v>
      </c>
      <c r="V99" s="492">
        <f t="shared" si="107"/>
        <v>0</v>
      </c>
      <c r="W99" s="492">
        <v>0</v>
      </c>
      <c r="X99" s="492">
        <v>0</v>
      </c>
      <c r="Y99" s="492">
        <v>0</v>
      </c>
      <c r="Z99" s="492">
        <f t="shared" si="108"/>
        <v>0</v>
      </c>
      <c r="AA99" s="492">
        <f t="shared" si="109"/>
        <v>0</v>
      </c>
      <c r="AB99" s="74">
        <f t="shared" si="110"/>
        <v>0</v>
      </c>
      <c r="AC99" s="74">
        <f t="shared" si="111"/>
        <v>0</v>
      </c>
      <c r="AD99" s="492">
        <v>0</v>
      </c>
      <c r="AE99" s="492">
        <v>0</v>
      </c>
      <c r="AF99" s="492">
        <f t="shared" si="112"/>
        <v>0</v>
      </c>
      <c r="AG99" s="492">
        <f t="shared" si="113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ref="AO99:AO103" si="138">AH99+AJ99+AM99+AK99</f>
        <v>0</v>
      </c>
      <c r="AP99" s="493">
        <f t="shared" ref="AP99:AP103" si="139">AI99+AN99+AL99</f>
        <v>0</v>
      </c>
      <c r="AQ99" s="495">
        <f t="shared" si="114"/>
        <v>0</v>
      </c>
      <c r="AR99" s="502">
        <f t="shared" si="115"/>
        <v>35390471</v>
      </c>
      <c r="AS99" s="492">
        <f t="shared" si="116"/>
        <v>25409819</v>
      </c>
      <c r="AT99" s="492">
        <f t="shared" ref="AT99:AT103" si="140">K99+Z99</f>
        <v>27950</v>
      </c>
      <c r="AU99" s="492">
        <f t="shared" ref="AU99:AV103" si="141">L99+AB99</f>
        <v>8597966</v>
      </c>
      <c r="AV99" s="492">
        <f t="shared" si="141"/>
        <v>508196</v>
      </c>
      <c r="AW99" s="492">
        <f t="shared" si="117"/>
        <v>846540</v>
      </c>
      <c r="AX99" s="493">
        <f t="shared" si="118"/>
        <v>43.895699999999998</v>
      </c>
      <c r="AY99" s="493">
        <f t="shared" ref="AY99:AZ103" si="142">P99+AO99</f>
        <v>33.661799999999999</v>
      </c>
      <c r="AZ99" s="495">
        <f t="shared" si="142"/>
        <v>10.233899999999998</v>
      </c>
    </row>
    <row r="100" spans="1:52" s="238" customFormat="1" ht="12" customHeight="1" x14ac:dyDescent="0.2">
      <c r="A100" s="240">
        <v>23</v>
      </c>
      <c r="B100" s="241">
        <v>3416</v>
      </c>
      <c r="C100" s="241">
        <v>600078426</v>
      </c>
      <c r="D100" s="241">
        <v>72743034</v>
      </c>
      <c r="E100" s="242" t="s">
        <v>53</v>
      </c>
      <c r="F100" s="241">
        <v>3113</v>
      </c>
      <c r="G100" s="242" t="s">
        <v>313</v>
      </c>
      <c r="H100" s="278" t="s">
        <v>279</v>
      </c>
      <c r="I100" s="489">
        <v>3889614</v>
      </c>
      <c r="J100" s="489">
        <v>2864223</v>
      </c>
      <c r="K100" s="489">
        <v>0</v>
      </c>
      <c r="L100" s="489">
        <v>968107</v>
      </c>
      <c r="M100" s="489">
        <v>57284</v>
      </c>
      <c r="N100" s="489">
        <v>0</v>
      </c>
      <c r="O100" s="490">
        <v>8.16</v>
      </c>
      <c r="P100" s="491">
        <v>8.16</v>
      </c>
      <c r="Q100" s="500">
        <v>0</v>
      </c>
      <c r="R100" s="502">
        <f t="shared" si="106"/>
        <v>0</v>
      </c>
      <c r="S100" s="492">
        <v>0</v>
      </c>
      <c r="T100" s="492">
        <v>0</v>
      </c>
      <c r="U100" s="492">
        <v>0</v>
      </c>
      <c r="V100" s="492">
        <f t="shared" si="107"/>
        <v>0</v>
      </c>
      <c r="W100" s="492">
        <v>0</v>
      </c>
      <c r="X100" s="492">
        <v>0</v>
      </c>
      <c r="Y100" s="492">
        <v>0</v>
      </c>
      <c r="Z100" s="492">
        <f t="shared" si="108"/>
        <v>0</v>
      </c>
      <c r="AA100" s="492">
        <f t="shared" si="109"/>
        <v>0</v>
      </c>
      <c r="AB100" s="74">
        <f t="shared" si="110"/>
        <v>0</v>
      </c>
      <c r="AC100" s="74">
        <f t="shared" si="111"/>
        <v>0</v>
      </c>
      <c r="AD100" s="492">
        <v>0</v>
      </c>
      <c r="AE100" s="492">
        <v>0</v>
      </c>
      <c r="AF100" s="492">
        <f t="shared" si="112"/>
        <v>0</v>
      </c>
      <c r="AG100" s="492">
        <f t="shared" si="113"/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138"/>
        <v>0</v>
      </c>
      <c r="AP100" s="493">
        <f t="shared" si="139"/>
        <v>0</v>
      </c>
      <c r="AQ100" s="495">
        <f t="shared" si="114"/>
        <v>0</v>
      </c>
      <c r="AR100" s="502">
        <f t="shared" si="115"/>
        <v>3889614</v>
      </c>
      <c r="AS100" s="492">
        <f t="shared" si="116"/>
        <v>2864223</v>
      </c>
      <c r="AT100" s="492">
        <f t="shared" si="140"/>
        <v>0</v>
      </c>
      <c r="AU100" s="492">
        <f t="shared" si="141"/>
        <v>968107</v>
      </c>
      <c r="AV100" s="492">
        <f t="shared" si="141"/>
        <v>57284</v>
      </c>
      <c r="AW100" s="492">
        <f t="shared" si="117"/>
        <v>0</v>
      </c>
      <c r="AX100" s="493">
        <f t="shared" si="118"/>
        <v>8.16</v>
      </c>
      <c r="AY100" s="493">
        <f t="shared" si="142"/>
        <v>8.16</v>
      </c>
      <c r="AZ100" s="495">
        <f t="shared" si="142"/>
        <v>0</v>
      </c>
    </row>
    <row r="101" spans="1:52" s="238" customFormat="1" ht="12.75" customHeight="1" x14ac:dyDescent="0.2">
      <c r="A101" s="240">
        <v>23</v>
      </c>
      <c r="B101" s="241">
        <v>3416</v>
      </c>
      <c r="C101" s="241">
        <v>600078426</v>
      </c>
      <c r="D101" s="241">
        <v>72743034</v>
      </c>
      <c r="E101" s="242" t="s">
        <v>53</v>
      </c>
      <c r="F101" s="241">
        <v>3141</v>
      </c>
      <c r="G101" s="242" t="s">
        <v>316</v>
      </c>
      <c r="H101" s="278" t="s">
        <v>279</v>
      </c>
      <c r="I101" s="489">
        <v>3205209</v>
      </c>
      <c r="J101" s="489">
        <v>2338418</v>
      </c>
      <c r="K101" s="489">
        <v>0</v>
      </c>
      <c r="L101" s="489">
        <v>790385</v>
      </c>
      <c r="M101" s="489">
        <v>46768</v>
      </c>
      <c r="N101" s="489">
        <v>29638</v>
      </c>
      <c r="O101" s="490">
        <v>7.36</v>
      </c>
      <c r="P101" s="491">
        <v>0</v>
      </c>
      <c r="Q101" s="500">
        <v>7.36</v>
      </c>
      <c r="R101" s="502">
        <f t="shared" si="106"/>
        <v>0</v>
      </c>
      <c r="S101" s="492">
        <v>0</v>
      </c>
      <c r="T101" s="492">
        <v>0</v>
      </c>
      <c r="U101" s="492">
        <v>0</v>
      </c>
      <c r="V101" s="492">
        <f t="shared" si="107"/>
        <v>0</v>
      </c>
      <c r="W101" s="492">
        <v>0</v>
      </c>
      <c r="X101" s="492">
        <v>0</v>
      </c>
      <c r="Y101" s="492">
        <v>0</v>
      </c>
      <c r="Z101" s="492">
        <f t="shared" si="108"/>
        <v>0</v>
      </c>
      <c r="AA101" s="492">
        <f t="shared" si="109"/>
        <v>0</v>
      </c>
      <c r="AB101" s="74">
        <f t="shared" si="110"/>
        <v>0</v>
      </c>
      <c r="AC101" s="74">
        <f t="shared" si="111"/>
        <v>0</v>
      </c>
      <c r="AD101" s="492">
        <v>0</v>
      </c>
      <c r="AE101" s="492">
        <v>0</v>
      </c>
      <c r="AF101" s="492">
        <f t="shared" si="112"/>
        <v>0</v>
      </c>
      <c r="AG101" s="492">
        <f t="shared" si="113"/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 t="shared" si="138"/>
        <v>0</v>
      </c>
      <c r="AP101" s="493">
        <f t="shared" si="139"/>
        <v>0</v>
      </c>
      <c r="AQ101" s="495">
        <f t="shared" si="114"/>
        <v>0</v>
      </c>
      <c r="AR101" s="502">
        <f t="shared" si="115"/>
        <v>3205209</v>
      </c>
      <c r="AS101" s="492">
        <f t="shared" si="116"/>
        <v>2338418</v>
      </c>
      <c r="AT101" s="492">
        <f t="shared" si="140"/>
        <v>0</v>
      </c>
      <c r="AU101" s="492">
        <f t="shared" si="141"/>
        <v>790385</v>
      </c>
      <c r="AV101" s="492">
        <f t="shared" si="141"/>
        <v>46768</v>
      </c>
      <c r="AW101" s="492">
        <f t="shared" si="117"/>
        <v>29638</v>
      </c>
      <c r="AX101" s="493">
        <f t="shared" si="118"/>
        <v>7.36</v>
      </c>
      <c r="AY101" s="493">
        <f t="shared" si="142"/>
        <v>0</v>
      </c>
      <c r="AZ101" s="495">
        <f t="shared" si="142"/>
        <v>7.36</v>
      </c>
    </row>
    <row r="102" spans="1:52" s="238" customFormat="1" ht="12.75" customHeight="1" x14ac:dyDescent="0.2">
      <c r="A102" s="240">
        <v>23</v>
      </c>
      <c r="B102" s="241">
        <v>3416</v>
      </c>
      <c r="C102" s="241">
        <v>600078426</v>
      </c>
      <c r="D102" s="241">
        <v>72743034</v>
      </c>
      <c r="E102" s="242" t="s">
        <v>53</v>
      </c>
      <c r="F102" s="241">
        <v>3143</v>
      </c>
      <c r="G102" s="242" t="s">
        <v>629</v>
      </c>
      <c r="H102" s="278" t="s">
        <v>278</v>
      </c>
      <c r="I102" s="489">
        <v>3761395</v>
      </c>
      <c r="J102" s="489">
        <v>2769805</v>
      </c>
      <c r="K102" s="489">
        <v>0</v>
      </c>
      <c r="L102" s="489">
        <v>936194</v>
      </c>
      <c r="M102" s="489">
        <v>55396</v>
      </c>
      <c r="N102" s="489">
        <v>0</v>
      </c>
      <c r="O102" s="490">
        <v>5.4314</v>
      </c>
      <c r="P102" s="491">
        <v>5.4314</v>
      </c>
      <c r="Q102" s="500">
        <v>0</v>
      </c>
      <c r="R102" s="502">
        <f t="shared" si="106"/>
        <v>0</v>
      </c>
      <c r="S102" s="492">
        <v>0</v>
      </c>
      <c r="T102" s="492">
        <v>0</v>
      </c>
      <c r="U102" s="492">
        <v>0</v>
      </c>
      <c r="V102" s="492">
        <f t="shared" si="107"/>
        <v>0</v>
      </c>
      <c r="W102" s="492">
        <v>0</v>
      </c>
      <c r="X102" s="492">
        <v>0</v>
      </c>
      <c r="Y102" s="492">
        <v>0</v>
      </c>
      <c r="Z102" s="492">
        <f t="shared" si="108"/>
        <v>0</v>
      </c>
      <c r="AA102" s="492">
        <f t="shared" si="109"/>
        <v>0</v>
      </c>
      <c r="AB102" s="74">
        <f t="shared" si="110"/>
        <v>0</v>
      </c>
      <c r="AC102" s="74">
        <f t="shared" si="111"/>
        <v>0</v>
      </c>
      <c r="AD102" s="492">
        <v>0</v>
      </c>
      <c r="AE102" s="492">
        <v>0</v>
      </c>
      <c r="AF102" s="492">
        <f t="shared" si="112"/>
        <v>0</v>
      </c>
      <c r="AG102" s="492">
        <f t="shared" si="113"/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 t="shared" si="138"/>
        <v>0</v>
      </c>
      <c r="AP102" s="493">
        <f t="shared" si="139"/>
        <v>0</v>
      </c>
      <c r="AQ102" s="495">
        <f t="shared" si="114"/>
        <v>0</v>
      </c>
      <c r="AR102" s="502">
        <f t="shared" si="115"/>
        <v>3761395</v>
      </c>
      <c r="AS102" s="492">
        <f t="shared" si="116"/>
        <v>2769805</v>
      </c>
      <c r="AT102" s="492">
        <f t="shared" si="140"/>
        <v>0</v>
      </c>
      <c r="AU102" s="492">
        <f t="shared" si="141"/>
        <v>936194</v>
      </c>
      <c r="AV102" s="492">
        <f t="shared" si="141"/>
        <v>55396</v>
      </c>
      <c r="AW102" s="492">
        <f t="shared" si="117"/>
        <v>0</v>
      </c>
      <c r="AX102" s="493">
        <f t="shared" si="118"/>
        <v>5.4314</v>
      </c>
      <c r="AY102" s="493">
        <f t="shared" si="142"/>
        <v>5.4314</v>
      </c>
      <c r="AZ102" s="495">
        <f t="shared" si="142"/>
        <v>0</v>
      </c>
    </row>
    <row r="103" spans="1:52" s="238" customFormat="1" ht="12.75" customHeight="1" x14ac:dyDescent="0.2">
      <c r="A103" s="240">
        <v>23</v>
      </c>
      <c r="B103" s="241">
        <v>3416</v>
      </c>
      <c r="C103" s="241">
        <v>600078426</v>
      </c>
      <c r="D103" s="241">
        <v>72743034</v>
      </c>
      <c r="E103" s="242" t="s">
        <v>53</v>
      </c>
      <c r="F103" s="241">
        <v>3143</v>
      </c>
      <c r="G103" s="242" t="s">
        <v>630</v>
      </c>
      <c r="H103" s="278" t="s">
        <v>279</v>
      </c>
      <c r="I103" s="489">
        <v>124740</v>
      </c>
      <c r="J103" s="489">
        <v>88211</v>
      </c>
      <c r="K103" s="489">
        <v>0</v>
      </c>
      <c r="L103" s="489">
        <v>29815</v>
      </c>
      <c r="M103" s="489">
        <v>1764</v>
      </c>
      <c r="N103" s="489">
        <v>4950</v>
      </c>
      <c r="O103" s="490">
        <v>0.34</v>
      </c>
      <c r="P103" s="491">
        <v>0</v>
      </c>
      <c r="Q103" s="500">
        <v>0.34</v>
      </c>
      <c r="R103" s="502">
        <f t="shared" si="106"/>
        <v>0</v>
      </c>
      <c r="S103" s="492">
        <v>0</v>
      </c>
      <c r="T103" s="492">
        <v>0</v>
      </c>
      <c r="U103" s="492">
        <v>0</v>
      </c>
      <c r="V103" s="492">
        <f t="shared" si="107"/>
        <v>0</v>
      </c>
      <c r="W103" s="492">
        <v>0</v>
      </c>
      <c r="X103" s="492">
        <v>0</v>
      </c>
      <c r="Y103" s="492">
        <v>0</v>
      </c>
      <c r="Z103" s="492">
        <f t="shared" si="108"/>
        <v>0</v>
      </c>
      <c r="AA103" s="492">
        <f t="shared" si="109"/>
        <v>0</v>
      </c>
      <c r="AB103" s="74">
        <f t="shared" si="110"/>
        <v>0</v>
      </c>
      <c r="AC103" s="74">
        <f t="shared" si="111"/>
        <v>0</v>
      </c>
      <c r="AD103" s="492">
        <v>0</v>
      </c>
      <c r="AE103" s="492">
        <v>0</v>
      </c>
      <c r="AF103" s="492">
        <f t="shared" si="112"/>
        <v>0</v>
      </c>
      <c r="AG103" s="492">
        <f t="shared" si="113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138"/>
        <v>0</v>
      </c>
      <c r="AP103" s="493">
        <f t="shared" si="139"/>
        <v>0</v>
      </c>
      <c r="AQ103" s="495">
        <f t="shared" si="114"/>
        <v>0</v>
      </c>
      <c r="AR103" s="502">
        <f t="shared" si="115"/>
        <v>124740</v>
      </c>
      <c r="AS103" s="492">
        <f t="shared" si="116"/>
        <v>88211</v>
      </c>
      <c r="AT103" s="492">
        <f t="shared" si="140"/>
        <v>0</v>
      </c>
      <c r="AU103" s="492">
        <f t="shared" si="141"/>
        <v>29815</v>
      </c>
      <c r="AV103" s="492">
        <f t="shared" si="141"/>
        <v>1764</v>
      </c>
      <c r="AW103" s="492">
        <f t="shared" si="117"/>
        <v>4950</v>
      </c>
      <c r="AX103" s="493">
        <f t="shared" si="118"/>
        <v>0.34</v>
      </c>
      <c r="AY103" s="493">
        <f t="shared" si="142"/>
        <v>0</v>
      </c>
      <c r="AZ103" s="495">
        <f t="shared" si="142"/>
        <v>0.34</v>
      </c>
    </row>
    <row r="104" spans="1:52" s="238" customFormat="1" ht="12.75" customHeight="1" x14ac:dyDescent="0.2">
      <c r="A104" s="164">
        <v>23</v>
      </c>
      <c r="B104" s="15">
        <v>3416</v>
      </c>
      <c r="C104" s="163">
        <v>600078426</v>
      </c>
      <c r="D104" s="163">
        <v>72743034</v>
      </c>
      <c r="E104" s="239" t="s">
        <v>54</v>
      </c>
      <c r="F104" s="15"/>
      <c r="G104" s="239"/>
      <c r="H104" s="277"/>
      <c r="I104" s="496">
        <v>46371429</v>
      </c>
      <c r="J104" s="496">
        <v>33470476</v>
      </c>
      <c r="K104" s="496">
        <v>27950</v>
      </c>
      <c r="L104" s="496">
        <v>11322467</v>
      </c>
      <c r="M104" s="496">
        <v>669408</v>
      </c>
      <c r="N104" s="496">
        <v>881128</v>
      </c>
      <c r="O104" s="456">
        <v>65.187100000000001</v>
      </c>
      <c r="P104" s="456">
        <v>47.253199999999993</v>
      </c>
      <c r="Q104" s="456">
        <v>17.933899999999998</v>
      </c>
      <c r="R104" s="542">
        <f t="shared" ref="R104:AZ104" si="143">SUM(R99:R103)</f>
        <v>0</v>
      </c>
      <c r="S104" s="496">
        <f t="shared" si="143"/>
        <v>0</v>
      </c>
      <c r="T104" s="496">
        <f t="shared" si="143"/>
        <v>0</v>
      </c>
      <c r="U104" s="496">
        <f t="shared" si="143"/>
        <v>0</v>
      </c>
      <c r="V104" s="496">
        <f t="shared" si="143"/>
        <v>0</v>
      </c>
      <c r="W104" s="496">
        <f t="shared" si="143"/>
        <v>0</v>
      </c>
      <c r="X104" s="496">
        <f t="shared" si="143"/>
        <v>0</v>
      </c>
      <c r="Y104" s="496">
        <f t="shared" si="143"/>
        <v>0</v>
      </c>
      <c r="Z104" s="496">
        <f t="shared" si="143"/>
        <v>0</v>
      </c>
      <c r="AA104" s="496">
        <f t="shared" si="143"/>
        <v>0</v>
      </c>
      <c r="AB104" s="496">
        <f t="shared" si="143"/>
        <v>0</v>
      </c>
      <c r="AC104" s="496">
        <f t="shared" si="143"/>
        <v>0</v>
      </c>
      <c r="AD104" s="496">
        <f t="shared" si="143"/>
        <v>0</v>
      </c>
      <c r="AE104" s="496">
        <f t="shared" si="143"/>
        <v>0</v>
      </c>
      <c r="AF104" s="496">
        <f t="shared" si="143"/>
        <v>0</v>
      </c>
      <c r="AG104" s="496">
        <f t="shared" si="143"/>
        <v>0</v>
      </c>
      <c r="AH104" s="456">
        <f t="shared" si="143"/>
        <v>0</v>
      </c>
      <c r="AI104" s="456">
        <f t="shared" si="143"/>
        <v>0</v>
      </c>
      <c r="AJ104" s="456">
        <f t="shared" si="143"/>
        <v>0</v>
      </c>
      <c r="AK104" s="456">
        <f t="shared" si="143"/>
        <v>0</v>
      </c>
      <c r="AL104" s="456">
        <f t="shared" si="143"/>
        <v>0</v>
      </c>
      <c r="AM104" s="456">
        <f t="shared" si="143"/>
        <v>0</v>
      </c>
      <c r="AN104" s="456">
        <f t="shared" si="143"/>
        <v>0</v>
      </c>
      <c r="AO104" s="456">
        <f t="shared" si="143"/>
        <v>0</v>
      </c>
      <c r="AP104" s="456">
        <f t="shared" si="143"/>
        <v>0</v>
      </c>
      <c r="AQ104" s="543">
        <f t="shared" si="143"/>
        <v>0</v>
      </c>
      <c r="AR104" s="542">
        <f t="shared" si="143"/>
        <v>46371429</v>
      </c>
      <c r="AS104" s="496">
        <f t="shared" si="143"/>
        <v>33470476</v>
      </c>
      <c r="AT104" s="496">
        <f t="shared" si="143"/>
        <v>27950</v>
      </c>
      <c r="AU104" s="496">
        <f t="shared" si="143"/>
        <v>11322467</v>
      </c>
      <c r="AV104" s="496">
        <f t="shared" si="143"/>
        <v>669408</v>
      </c>
      <c r="AW104" s="496">
        <f t="shared" si="143"/>
        <v>881128</v>
      </c>
      <c r="AX104" s="456">
        <f t="shared" si="143"/>
        <v>65.187100000000001</v>
      </c>
      <c r="AY104" s="456">
        <f t="shared" si="143"/>
        <v>47.253199999999993</v>
      </c>
      <c r="AZ104" s="543">
        <f t="shared" si="143"/>
        <v>17.933899999999998</v>
      </c>
    </row>
    <row r="105" spans="1:52" s="238" customFormat="1" ht="12.75" customHeight="1" x14ac:dyDescent="0.2">
      <c r="A105" s="240">
        <v>24</v>
      </c>
      <c r="B105" s="241">
        <v>3414</v>
      </c>
      <c r="C105" s="241">
        <v>600078388</v>
      </c>
      <c r="D105" s="241">
        <v>43257721</v>
      </c>
      <c r="E105" s="242" t="s">
        <v>55</v>
      </c>
      <c r="F105" s="241">
        <v>3113</v>
      </c>
      <c r="G105" s="242" t="s">
        <v>315</v>
      </c>
      <c r="H105" s="278" t="s">
        <v>278</v>
      </c>
      <c r="I105" s="489">
        <v>37266764</v>
      </c>
      <c r="J105" s="489">
        <v>26770646</v>
      </c>
      <c r="K105" s="489">
        <v>52000</v>
      </c>
      <c r="L105" s="489">
        <v>9066055</v>
      </c>
      <c r="M105" s="489">
        <v>535413</v>
      </c>
      <c r="N105" s="489">
        <v>842650</v>
      </c>
      <c r="O105" s="490">
        <v>47.541800000000002</v>
      </c>
      <c r="P105" s="491">
        <v>36.616</v>
      </c>
      <c r="Q105" s="500">
        <v>10.925799999999999</v>
      </c>
      <c r="R105" s="502">
        <f t="shared" si="106"/>
        <v>0</v>
      </c>
      <c r="S105" s="492">
        <v>0</v>
      </c>
      <c r="T105" s="492">
        <v>0</v>
      </c>
      <c r="U105" s="492">
        <v>0</v>
      </c>
      <c r="V105" s="492">
        <f t="shared" si="107"/>
        <v>0</v>
      </c>
      <c r="W105" s="492">
        <v>0</v>
      </c>
      <c r="X105" s="492">
        <v>0</v>
      </c>
      <c r="Y105" s="492">
        <v>0</v>
      </c>
      <c r="Z105" s="492">
        <f t="shared" si="108"/>
        <v>0</v>
      </c>
      <c r="AA105" s="492">
        <f t="shared" si="109"/>
        <v>0</v>
      </c>
      <c r="AB105" s="74">
        <f t="shared" si="110"/>
        <v>0</v>
      </c>
      <c r="AC105" s="74">
        <f t="shared" si="111"/>
        <v>0</v>
      </c>
      <c r="AD105" s="492">
        <v>0</v>
      </c>
      <c r="AE105" s="492">
        <v>0</v>
      </c>
      <c r="AF105" s="492">
        <f t="shared" si="112"/>
        <v>0</v>
      </c>
      <c r="AG105" s="492">
        <f t="shared" si="113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 t="shared" ref="AO105:AO109" si="144">AH105+AJ105+AM105+AK105</f>
        <v>0</v>
      </c>
      <c r="AP105" s="493">
        <f t="shared" ref="AP105:AP109" si="145">AI105+AN105+AL105</f>
        <v>0</v>
      </c>
      <c r="AQ105" s="495">
        <f t="shared" si="114"/>
        <v>0</v>
      </c>
      <c r="AR105" s="502">
        <f t="shared" si="115"/>
        <v>37266764</v>
      </c>
      <c r="AS105" s="492">
        <f t="shared" si="116"/>
        <v>26770646</v>
      </c>
      <c r="AT105" s="492">
        <f t="shared" ref="AT105:AT109" si="146">K105+Z105</f>
        <v>52000</v>
      </c>
      <c r="AU105" s="492">
        <f t="shared" ref="AU105:AV109" si="147">L105+AB105</f>
        <v>9066055</v>
      </c>
      <c r="AV105" s="492">
        <f t="shared" si="147"/>
        <v>535413</v>
      </c>
      <c r="AW105" s="492">
        <f t="shared" si="117"/>
        <v>842650</v>
      </c>
      <c r="AX105" s="493">
        <f t="shared" si="118"/>
        <v>47.541800000000002</v>
      </c>
      <c r="AY105" s="493">
        <f t="shared" ref="AY105:AZ109" si="148">P105+AO105</f>
        <v>36.616</v>
      </c>
      <c r="AZ105" s="495">
        <f t="shared" si="148"/>
        <v>10.925799999999999</v>
      </c>
    </row>
    <row r="106" spans="1:52" s="238" customFormat="1" x14ac:dyDescent="0.2">
      <c r="A106" s="240">
        <v>24</v>
      </c>
      <c r="B106" s="241">
        <v>3414</v>
      </c>
      <c r="C106" s="241">
        <v>600078388</v>
      </c>
      <c r="D106" s="241">
        <v>43257721</v>
      </c>
      <c r="E106" s="242" t="s">
        <v>55</v>
      </c>
      <c r="F106" s="241">
        <v>3113</v>
      </c>
      <c r="G106" s="242" t="s">
        <v>313</v>
      </c>
      <c r="H106" s="278" t="s">
        <v>279</v>
      </c>
      <c r="I106" s="489">
        <v>4497089</v>
      </c>
      <c r="J106" s="489">
        <v>3309712</v>
      </c>
      <c r="K106" s="489">
        <v>0</v>
      </c>
      <c r="L106" s="489">
        <v>1118683</v>
      </c>
      <c r="M106" s="489">
        <v>66194</v>
      </c>
      <c r="N106" s="489">
        <v>2500</v>
      </c>
      <c r="O106" s="490">
        <v>9.5200000000000014</v>
      </c>
      <c r="P106" s="491">
        <v>9.5200000000000014</v>
      </c>
      <c r="Q106" s="500">
        <v>0</v>
      </c>
      <c r="R106" s="502">
        <f t="shared" si="106"/>
        <v>0</v>
      </c>
      <c r="S106" s="492">
        <v>0</v>
      </c>
      <c r="T106" s="492">
        <v>0</v>
      </c>
      <c r="U106" s="492">
        <v>0</v>
      </c>
      <c r="V106" s="492">
        <f t="shared" si="107"/>
        <v>0</v>
      </c>
      <c r="W106" s="492">
        <v>0</v>
      </c>
      <c r="X106" s="492">
        <v>0</v>
      </c>
      <c r="Y106" s="492">
        <v>0</v>
      </c>
      <c r="Z106" s="492">
        <f t="shared" si="108"/>
        <v>0</v>
      </c>
      <c r="AA106" s="492">
        <f t="shared" si="109"/>
        <v>0</v>
      </c>
      <c r="AB106" s="74">
        <f t="shared" si="110"/>
        <v>0</v>
      </c>
      <c r="AC106" s="74">
        <f t="shared" si="111"/>
        <v>0</v>
      </c>
      <c r="AD106" s="492">
        <v>0</v>
      </c>
      <c r="AE106" s="492">
        <v>0</v>
      </c>
      <c r="AF106" s="492">
        <f t="shared" si="112"/>
        <v>0</v>
      </c>
      <c r="AG106" s="492">
        <f t="shared" si="113"/>
        <v>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144"/>
        <v>0</v>
      </c>
      <c r="AP106" s="493">
        <f t="shared" si="145"/>
        <v>0</v>
      </c>
      <c r="AQ106" s="495">
        <f t="shared" si="114"/>
        <v>0</v>
      </c>
      <c r="AR106" s="502">
        <f t="shared" si="115"/>
        <v>4497089</v>
      </c>
      <c r="AS106" s="492">
        <f t="shared" si="116"/>
        <v>3309712</v>
      </c>
      <c r="AT106" s="492">
        <f t="shared" si="146"/>
        <v>0</v>
      </c>
      <c r="AU106" s="492">
        <f t="shared" si="147"/>
        <v>1118683</v>
      </c>
      <c r="AV106" s="492">
        <f t="shared" si="147"/>
        <v>66194</v>
      </c>
      <c r="AW106" s="492">
        <f t="shared" si="117"/>
        <v>2500</v>
      </c>
      <c r="AX106" s="493">
        <f t="shared" si="118"/>
        <v>9.5200000000000014</v>
      </c>
      <c r="AY106" s="493">
        <f t="shared" si="148"/>
        <v>9.5200000000000014</v>
      </c>
      <c r="AZ106" s="495">
        <f t="shared" si="148"/>
        <v>0</v>
      </c>
    </row>
    <row r="107" spans="1:52" s="238" customFormat="1" ht="12.75" customHeight="1" x14ac:dyDescent="0.2">
      <c r="A107" s="240">
        <v>24</v>
      </c>
      <c r="B107" s="241">
        <v>3414</v>
      </c>
      <c r="C107" s="241">
        <v>600078388</v>
      </c>
      <c r="D107" s="241">
        <v>43257721</v>
      </c>
      <c r="E107" s="242" t="s">
        <v>55</v>
      </c>
      <c r="F107" s="241">
        <v>3141</v>
      </c>
      <c r="G107" s="242" t="s">
        <v>316</v>
      </c>
      <c r="H107" s="278" t="s">
        <v>279</v>
      </c>
      <c r="I107" s="489">
        <v>3534077</v>
      </c>
      <c r="J107" s="489">
        <v>2577770</v>
      </c>
      <c r="K107" s="489">
        <v>0</v>
      </c>
      <c r="L107" s="489">
        <v>871286</v>
      </c>
      <c r="M107" s="489">
        <v>51555</v>
      </c>
      <c r="N107" s="489">
        <v>33466</v>
      </c>
      <c r="O107" s="490">
        <v>8.1199999999999992</v>
      </c>
      <c r="P107" s="491">
        <v>0</v>
      </c>
      <c r="Q107" s="500">
        <v>8.1199999999999992</v>
      </c>
      <c r="R107" s="502">
        <f t="shared" si="106"/>
        <v>0</v>
      </c>
      <c r="S107" s="492">
        <v>0</v>
      </c>
      <c r="T107" s="492">
        <v>0</v>
      </c>
      <c r="U107" s="492">
        <v>0</v>
      </c>
      <c r="V107" s="492">
        <f t="shared" si="107"/>
        <v>0</v>
      </c>
      <c r="W107" s="492">
        <v>0</v>
      </c>
      <c r="X107" s="492">
        <v>0</v>
      </c>
      <c r="Y107" s="492">
        <v>0</v>
      </c>
      <c r="Z107" s="492">
        <f t="shared" si="108"/>
        <v>0</v>
      </c>
      <c r="AA107" s="492">
        <f t="shared" si="109"/>
        <v>0</v>
      </c>
      <c r="AB107" s="74">
        <f t="shared" si="110"/>
        <v>0</v>
      </c>
      <c r="AC107" s="74">
        <f t="shared" si="111"/>
        <v>0</v>
      </c>
      <c r="AD107" s="492">
        <v>0</v>
      </c>
      <c r="AE107" s="492">
        <v>0</v>
      </c>
      <c r="AF107" s="492">
        <f t="shared" si="112"/>
        <v>0</v>
      </c>
      <c r="AG107" s="492">
        <f t="shared" si="113"/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 t="shared" si="144"/>
        <v>0</v>
      </c>
      <c r="AP107" s="493">
        <f t="shared" si="145"/>
        <v>0</v>
      </c>
      <c r="AQ107" s="495">
        <f t="shared" si="114"/>
        <v>0</v>
      </c>
      <c r="AR107" s="502">
        <f t="shared" si="115"/>
        <v>3534077</v>
      </c>
      <c r="AS107" s="492">
        <f t="shared" si="116"/>
        <v>2577770</v>
      </c>
      <c r="AT107" s="492">
        <f t="shared" si="146"/>
        <v>0</v>
      </c>
      <c r="AU107" s="492">
        <f t="shared" si="147"/>
        <v>871286</v>
      </c>
      <c r="AV107" s="492">
        <f t="shared" si="147"/>
        <v>51555</v>
      </c>
      <c r="AW107" s="492">
        <f t="shared" si="117"/>
        <v>33466</v>
      </c>
      <c r="AX107" s="493">
        <f t="shared" si="118"/>
        <v>8.1199999999999992</v>
      </c>
      <c r="AY107" s="493">
        <f t="shared" si="148"/>
        <v>0</v>
      </c>
      <c r="AZ107" s="495">
        <f t="shared" si="148"/>
        <v>8.1199999999999992</v>
      </c>
    </row>
    <row r="108" spans="1:52" s="238" customFormat="1" ht="12.75" customHeight="1" x14ac:dyDescent="0.2">
      <c r="A108" s="240">
        <v>24</v>
      </c>
      <c r="B108" s="241">
        <v>3414</v>
      </c>
      <c r="C108" s="241">
        <v>600078388</v>
      </c>
      <c r="D108" s="241">
        <v>43257721</v>
      </c>
      <c r="E108" s="242" t="s">
        <v>55</v>
      </c>
      <c r="F108" s="241">
        <v>3143</v>
      </c>
      <c r="G108" s="242" t="s">
        <v>629</v>
      </c>
      <c r="H108" s="278" t="s">
        <v>278</v>
      </c>
      <c r="I108" s="489">
        <v>3744153</v>
      </c>
      <c r="J108" s="489">
        <v>2744300</v>
      </c>
      <c r="K108" s="489">
        <v>13000</v>
      </c>
      <c r="L108" s="489">
        <v>931967</v>
      </c>
      <c r="M108" s="489">
        <v>54886</v>
      </c>
      <c r="N108" s="489">
        <v>0</v>
      </c>
      <c r="O108" s="490">
        <v>5.4820000000000002</v>
      </c>
      <c r="P108" s="491">
        <v>5.4820000000000002</v>
      </c>
      <c r="Q108" s="500">
        <v>0</v>
      </c>
      <c r="R108" s="502">
        <f t="shared" si="106"/>
        <v>0</v>
      </c>
      <c r="S108" s="492">
        <v>0</v>
      </c>
      <c r="T108" s="492">
        <v>0</v>
      </c>
      <c r="U108" s="492">
        <v>0</v>
      </c>
      <c r="V108" s="492">
        <f t="shared" si="107"/>
        <v>0</v>
      </c>
      <c r="W108" s="492">
        <v>0</v>
      </c>
      <c r="X108" s="492">
        <v>0</v>
      </c>
      <c r="Y108" s="492">
        <v>0</v>
      </c>
      <c r="Z108" s="492">
        <f t="shared" si="108"/>
        <v>0</v>
      </c>
      <c r="AA108" s="492">
        <f t="shared" si="109"/>
        <v>0</v>
      </c>
      <c r="AB108" s="74">
        <f t="shared" si="110"/>
        <v>0</v>
      </c>
      <c r="AC108" s="74">
        <f t="shared" si="111"/>
        <v>0</v>
      </c>
      <c r="AD108" s="492">
        <v>0</v>
      </c>
      <c r="AE108" s="492">
        <v>0</v>
      </c>
      <c r="AF108" s="492">
        <f t="shared" si="112"/>
        <v>0</v>
      </c>
      <c r="AG108" s="492">
        <f t="shared" si="113"/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si="144"/>
        <v>0</v>
      </c>
      <c r="AP108" s="493">
        <f t="shared" si="145"/>
        <v>0</v>
      </c>
      <c r="AQ108" s="495">
        <f t="shared" si="114"/>
        <v>0</v>
      </c>
      <c r="AR108" s="502">
        <f t="shared" si="115"/>
        <v>3744153</v>
      </c>
      <c r="AS108" s="492">
        <f t="shared" si="116"/>
        <v>2744300</v>
      </c>
      <c r="AT108" s="492">
        <f t="shared" si="146"/>
        <v>13000</v>
      </c>
      <c r="AU108" s="492">
        <f t="shared" si="147"/>
        <v>931967</v>
      </c>
      <c r="AV108" s="492">
        <f t="shared" si="147"/>
        <v>54886</v>
      </c>
      <c r="AW108" s="492">
        <f t="shared" si="117"/>
        <v>0</v>
      </c>
      <c r="AX108" s="493">
        <f t="shared" si="118"/>
        <v>5.4820000000000002</v>
      </c>
      <c r="AY108" s="493">
        <f t="shared" si="148"/>
        <v>5.4820000000000002</v>
      </c>
      <c r="AZ108" s="495">
        <f t="shared" si="148"/>
        <v>0</v>
      </c>
    </row>
    <row r="109" spans="1:52" s="238" customFormat="1" ht="12.75" customHeight="1" x14ac:dyDescent="0.2">
      <c r="A109" s="240">
        <v>24</v>
      </c>
      <c r="B109" s="241">
        <v>3414</v>
      </c>
      <c r="C109" s="241">
        <v>600078388</v>
      </c>
      <c r="D109" s="241">
        <v>43257721</v>
      </c>
      <c r="E109" s="242" t="s">
        <v>55</v>
      </c>
      <c r="F109" s="241">
        <v>3143</v>
      </c>
      <c r="G109" s="242" t="s">
        <v>630</v>
      </c>
      <c r="H109" s="278" t="s">
        <v>279</v>
      </c>
      <c r="I109" s="489">
        <v>125496</v>
      </c>
      <c r="J109" s="489">
        <v>88745</v>
      </c>
      <c r="K109" s="489">
        <v>0</v>
      </c>
      <c r="L109" s="489">
        <v>29996</v>
      </c>
      <c r="M109" s="489">
        <v>1775</v>
      </c>
      <c r="N109" s="489">
        <v>4980</v>
      </c>
      <c r="O109" s="490">
        <v>0.35</v>
      </c>
      <c r="P109" s="491">
        <v>0</v>
      </c>
      <c r="Q109" s="500">
        <v>0.35</v>
      </c>
      <c r="R109" s="502">
        <f t="shared" si="106"/>
        <v>0</v>
      </c>
      <c r="S109" s="492">
        <v>0</v>
      </c>
      <c r="T109" s="492">
        <v>0</v>
      </c>
      <c r="U109" s="492">
        <v>0</v>
      </c>
      <c r="V109" s="492">
        <f t="shared" si="107"/>
        <v>0</v>
      </c>
      <c r="W109" s="492">
        <v>0</v>
      </c>
      <c r="X109" s="492">
        <v>0</v>
      </c>
      <c r="Y109" s="492">
        <v>0</v>
      </c>
      <c r="Z109" s="492">
        <f t="shared" si="108"/>
        <v>0</v>
      </c>
      <c r="AA109" s="492">
        <f t="shared" si="109"/>
        <v>0</v>
      </c>
      <c r="AB109" s="74">
        <f t="shared" si="110"/>
        <v>0</v>
      </c>
      <c r="AC109" s="74">
        <f t="shared" si="111"/>
        <v>0</v>
      </c>
      <c r="AD109" s="492">
        <v>0</v>
      </c>
      <c r="AE109" s="492">
        <v>0</v>
      </c>
      <c r="AF109" s="492">
        <f t="shared" si="112"/>
        <v>0</v>
      </c>
      <c r="AG109" s="492">
        <f t="shared" si="113"/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si="144"/>
        <v>0</v>
      </c>
      <c r="AP109" s="493">
        <f t="shared" si="145"/>
        <v>0</v>
      </c>
      <c r="AQ109" s="495">
        <f t="shared" si="114"/>
        <v>0</v>
      </c>
      <c r="AR109" s="502">
        <f t="shared" si="115"/>
        <v>125496</v>
      </c>
      <c r="AS109" s="492">
        <f t="shared" si="116"/>
        <v>88745</v>
      </c>
      <c r="AT109" s="492">
        <f t="shared" si="146"/>
        <v>0</v>
      </c>
      <c r="AU109" s="492">
        <f t="shared" si="147"/>
        <v>29996</v>
      </c>
      <c r="AV109" s="492">
        <f t="shared" si="147"/>
        <v>1775</v>
      </c>
      <c r="AW109" s="492">
        <f t="shared" si="117"/>
        <v>4980</v>
      </c>
      <c r="AX109" s="493">
        <f t="shared" si="118"/>
        <v>0.35</v>
      </c>
      <c r="AY109" s="493">
        <f t="shared" si="148"/>
        <v>0</v>
      </c>
      <c r="AZ109" s="495">
        <f t="shared" si="148"/>
        <v>0.35</v>
      </c>
    </row>
    <row r="110" spans="1:52" s="238" customFormat="1" ht="12.75" customHeight="1" x14ac:dyDescent="0.2">
      <c r="A110" s="164">
        <v>24</v>
      </c>
      <c r="B110" s="15">
        <v>3414</v>
      </c>
      <c r="C110" s="163">
        <v>600078388</v>
      </c>
      <c r="D110" s="163">
        <v>43257721</v>
      </c>
      <c r="E110" s="239" t="s">
        <v>56</v>
      </c>
      <c r="F110" s="15"/>
      <c r="G110" s="239"/>
      <c r="H110" s="277"/>
      <c r="I110" s="496">
        <v>49167579</v>
      </c>
      <c r="J110" s="496">
        <v>35491173</v>
      </c>
      <c r="K110" s="496">
        <v>65000</v>
      </c>
      <c r="L110" s="496">
        <v>12017987</v>
      </c>
      <c r="M110" s="496">
        <v>709823</v>
      </c>
      <c r="N110" s="496">
        <v>883596</v>
      </c>
      <c r="O110" s="456">
        <v>71.013800000000003</v>
      </c>
      <c r="P110" s="456">
        <v>51.618000000000002</v>
      </c>
      <c r="Q110" s="456">
        <v>19.395800000000001</v>
      </c>
      <c r="R110" s="542">
        <f t="shared" ref="R110:AZ110" si="149">SUM(R105:R109)</f>
        <v>0</v>
      </c>
      <c r="S110" s="496">
        <f t="shared" si="149"/>
        <v>0</v>
      </c>
      <c r="T110" s="496">
        <f t="shared" si="149"/>
        <v>0</v>
      </c>
      <c r="U110" s="496">
        <f t="shared" si="149"/>
        <v>0</v>
      </c>
      <c r="V110" s="496">
        <f t="shared" si="149"/>
        <v>0</v>
      </c>
      <c r="W110" s="496">
        <f t="shared" si="149"/>
        <v>0</v>
      </c>
      <c r="X110" s="496">
        <f t="shared" si="149"/>
        <v>0</v>
      </c>
      <c r="Y110" s="496">
        <f t="shared" si="149"/>
        <v>0</v>
      </c>
      <c r="Z110" s="496">
        <f t="shared" si="149"/>
        <v>0</v>
      </c>
      <c r="AA110" s="496">
        <f t="shared" si="149"/>
        <v>0</v>
      </c>
      <c r="AB110" s="496">
        <f t="shared" si="149"/>
        <v>0</v>
      </c>
      <c r="AC110" s="496">
        <f t="shared" si="149"/>
        <v>0</v>
      </c>
      <c r="AD110" s="496">
        <f t="shared" si="149"/>
        <v>0</v>
      </c>
      <c r="AE110" s="496">
        <f t="shared" si="149"/>
        <v>0</v>
      </c>
      <c r="AF110" s="496">
        <f t="shared" si="149"/>
        <v>0</v>
      </c>
      <c r="AG110" s="496">
        <f t="shared" si="149"/>
        <v>0</v>
      </c>
      <c r="AH110" s="456">
        <f t="shared" si="149"/>
        <v>0</v>
      </c>
      <c r="AI110" s="456">
        <f t="shared" si="149"/>
        <v>0</v>
      </c>
      <c r="AJ110" s="456">
        <f t="shared" si="149"/>
        <v>0</v>
      </c>
      <c r="AK110" s="456">
        <f t="shared" si="149"/>
        <v>0</v>
      </c>
      <c r="AL110" s="456">
        <f t="shared" si="149"/>
        <v>0</v>
      </c>
      <c r="AM110" s="456">
        <f t="shared" si="149"/>
        <v>0</v>
      </c>
      <c r="AN110" s="456">
        <f t="shared" si="149"/>
        <v>0</v>
      </c>
      <c r="AO110" s="456">
        <f t="shared" si="149"/>
        <v>0</v>
      </c>
      <c r="AP110" s="456">
        <f t="shared" si="149"/>
        <v>0</v>
      </c>
      <c r="AQ110" s="543">
        <f t="shared" si="149"/>
        <v>0</v>
      </c>
      <c r="AR110" s="542">
        <f t="shared" si="149"/>
        <v>49167579</v>
      </c>
      <c r="AS110" s="496">
        <f t="shared" si="149"/>
        <v>35491173</v>
      </c>
      <c r="AT110" s="496">
        <f t="shared" si="149"/>
        <v>65000</v>
      </c>
      <c r="AU110" s="496">
        <f t="shared" si="149"/>
        <v>12017987</v>
      </c>
      <c r="AV110" s="496">
        <f t="shared" si="149"/>
        <v>709823</v>
      </c>
      <c r="AW110" s="496">
        <f t="shared" si="149"/>
        <v>883596</v>
      </c>
      <c r="AX110" s="456">
        <f t="shared" si="149"/>
        <v>71.013800000000003</v>
      </c>
      <c r="AY110" s="456">
        <f t="shared" si="149"/>
        <v>51.618000000000002</v>
      </c>
      <c r="AZ110" s="543">
        <f t="shared" si="149"/>
        <v>19.395800000000001</v>
      </c>
    </row>
    <row r="111" spans="1:52" s="238" customFormat="1" ht="12.75" customHeight="1" x14ac:dyDescent="0.2">
      <c r="A111" s="240">
        <v>25</v>
      </c>
      <c r="B111" s="241">
        <v>3411</v>
      </c>
      <c r="C111" s="241">
        <v>600078400</v>
      </c>
      <c r="D111" s="241">
        <v>72742950</v>
      </c>
      <c r="E111" s="242" t="s">
        <v>57</v>
      </c>
      <c r="F111" s="241">
        <v>3113</v>
      </c>
      <c r="G111" s="242" t="s">
        <v>315</v>
      </c>
      <c r="H111" s="278" t="s">
        <v>278</v>
      </c>
      <c r="I111" s="489">
        <v>32334010</v>
      </c>
      <c r="J111" s="489">
        <v>23236274</v>
      </c>
      <c r="K111" s="489">
        <v>0</v>
      </c>
      <c r="L111" s="489">
        <v>7853861</v>
      </c>
      <c r="M111" s="489">
        <v>464725</v>
      </c>
      <c r="N111" s="489">
        <v>779150</v>
      </c>
      <c r="O111" s="490">
        <v>40.101900000000001</v>
      </c>
      <c r="P111" s="491">
        <v>30.909300000000002</v>
      </c>
      <c r="Q111" s="500">
        <v>9.1925999999999988</v>
      </c>
      <c r="R111" s="502">
        <f t="shared" si="106"/>
        <v>0</v>
      </c>
      <c r="S111" s="492">
        <v>0</v>
      </c>
      <c r="T111" s="492">
        <v>0</v>
      </c>
      <c r="U111" s="492">
        <v>0</v>
      </c>
      <c r="V111" s="492">
        <f t="shared" si="107"/>
        <v>0</v>
      </c>
      <c r="W111" s="492">
        <v>0</v>
      </c>
      <c r="X111" s="492">
        <v>0</v>
      </c>
      <c r="Y111" s="492">
        <v>0</v>
      </c>
      <c r="Z111" s="492">
        <f t="shared" si="108"/>
        <v>0</v>
      </c>
      <c r="AA111" s="492">
        <f t="shared" si="109"/>
        <v>0</v>
      </c>
      <c r="AB111" s="74">
        <f t="shared" si="110"/>
        <v>0</v>
      </c>
      <c r="AC111" s="74">
        <f t="shared" si="111"/>
        <v>0</v>
      </c>
      <c r="AD111" s="492">
        <v>0</v>
      </c>
      <c r="AE111" s="492">
        <v>0</v>
      </c>
      <c r="AF111" s="492">
        <f t="shared" si="112"/>
        <v>0</v>
      </c>
      <c r="AG111" s="492">
        <f t="shared" si="113"/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ref="AO111:AO115" si="150">AH111+AJ111+AM111+AK111</f>
        <v>0</v>
      </c>
      <c r="AP111" s="493">
        <f t="shared" ref="AP111:AP115" si="151">AI111+AN111+AL111</f>
        <v>0</v>
      </c>
      <c r="AQ111" s="495">
        <f t="shared" si="114"/>
        <v>0</v>
      </c>
      <c r="AR111" s="502">
        <f t="shared" si="115"/>
        <v>32334010</v>
      </c>
      <c r="AS111" s="492">
        <f t="shared" si="116"/>
        <v>23236274</v>
      </c>
      <c r="AT111" s="492">
        <f t="shared" ref="AT111:AT115" si="152">K111+Z111</f>
        <v>0</v>
      </c>
      <c r="AU111" s="492">
        <f t="shared" ref="AU111:AV115" si="153">L111+AB111</f>
        <v>7853861</v>
      </c>
      <c r="AV111" s="492">
        <f t="shared" si="153"/>
        <v>464725</v>
      </c>
      <c r="AW111" s="492">
        <f t="shared" si="117"/>
        <v>779150</v>
      </c>
      <c r="AX111" s="493">
        <f t="shared" si="118"/>
        <v>40.101900000000001</v>
      </c>
      <c r="AY111" s="493">
        <f t="shared" ref="AY111:AZ115" si="154">P111+AO111</f>
        <v>30.909300000000002</v>
      </c>
      <c r="AZ111" s="495">
        <f t="shared" si="154"/>
        <v>9.1925999999999988</v>
      </c>
    </row>
    <row r="112" spans="1:52" s="238" customFormat="1" x14ac:dyDescent="0.2">
      <c r="A112" s="240">
        <v>25</v>
      </c>
      <c r="B112" s="241">
        <v>3411</v>
      </c>
      <c r="C112" s="241">
        <v>600078400</v>
      </c>
      <c r="D112" s="241">
        <v>72742950</v>
      </c>
      <c r="E112" s="242" t="s">
        <v>57</v>
      </c>
      <c r="F112" s="241">
        <v>3113</v>
      </c>
      <c r="G112" s="242" t="s">
        <v>313</v>
      </c>
      <c r="H112" s="278" t="s">
        <v>279</v>
      </c>
      <c r="I112" s="489">
        <v>5075963</v>
      </c>
      <c r="J112" s="489">
        <v>3735981</v>
      </c>
      <c r="K112" s="489">
        <v>0</v>
      </c>
      <c r="L112" s="489">
        <v>1262762</v>
      </c>
      <c r="M112" s="489">
        <v>74720</v>
      </c>
      <c r="N112" s="489">
        <v>2500</v>
      </c>
      <c r="O112" s="490">
        <v>9.9600000000000009</v>
      </c>
      <c r="P112" s="491">
        <v>9.9600000000000009</v>
      </c>
      <c r="Q112" s="500">
        <v>0</v>
      </c>
      <c r="R112" s="502">
        <f t="shared" si="106"/>
        <v>0</v>
      </c>
      <c r="S112" s="492">
        <v>0</v>
      </c>
      <c r="T112" s="492">
        <v>0</v>
      </c>
      <c r="U112" s="492">
        <v>0</v>
      </c>
      <c r="V112" s="492">
        <f t="shared" si="107"/>
        <v>0</v>
      </c>
      <c r="W112" s="492">
        <v>0</v>
      </c>
      <c r="X112" s="492">
        <v>0</v>
      </c>
      <c r="Y112" s="492">
        <v>0</v>
      </c>
      <c r="Z112" s="492">
        <f t="shared" si="108"/>
        <v>0</v>
      </c>
      <c r="AA112" s="492">
        <f t="shared" si="109"/>
        <v>0</v>
      </c>
      <c r="AB112" s="74">
        <f t="shared" si="110"/>
        <v>0</v>
      </c>
      <c r="AC112" s="74">
        <f t="shared" si="111"/>
        <v>0</v>
      </c>
      <c r="AD112" s="492">
        <v>0</v>
      </c>
      <c r="AE112" s="492">
        <v>0</v>
      </c>
      <c r="AF112" s="492">
        <f t="shared" si="112"/>
        <v>0</v>
      </c>
      <c r="AG112" s="492">
        <f t="shared" si="113"/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150"/>
        <v>0</v>
      </c>
      <c r="AP112" s="493">
        <f t="shared" si="151"/>
        <v>0</v>
      </c>
      <c r="AQ112" s="495">
        <f t="shared" si="114"/>
        <v>0</v>
      </c>
      <c r="AR112" s="502">
        <f t="shared" si="115"/>
        <v>5075963</v>
      </c>
      <c r="AS112" s="492">
        <f t="shared" si="116"/>
        <v>3735981</v>
      </c>
      <c r="AT112" s="492">
        <f t="shared" si="152"/>
        <v>0</v>
      </c>
      <c r="AU112" s="492">
        <f t="shared" si="153"/>
        <v>1262762</v>
      </c>
      <c r="AV112" s="492">
        <f t="shared" si="153"/>
        <v>74720</v>
      </c>
      <c r="AW112" s="492">
        <f t="shared" si="117"/>
        <v>2500</v>
      </c>
      <c r="AX112" s="493">
        <f t="shared" si="118"/>
        <v>9.9600000000000009</v>
      </c>
      <c r="AY112" s="493">
        <f t="shared" si="154"/>
        <v>9.9600000000000009</v>
      </c>
      <c r="AZ112" s="495">
        <f t="shared" si="154"/>
        <v>0</v>
      </c>
    </row>
    <row r="113" spans="1:52" s="238" customFormat="1" ht="12.75" customHeight="1" x14ac:dyDescent="0.2">
      <c r="A113" s="240">
        <v>25</v>
      </c>
      <c r="B113" s="241">
        <v>3411</v>
      </c>
      <c r="C113" s="241">
        <v>600078400</v>
      </c>
      <c r="D113" s="241">
        <v>72742950</v>
      </c>
      <c r="E113" s="242" t="s">
        <v>57</v>
      </c>
      <c r="F113" s="241">
        <v>3141</v>
      </c>
      <c r="G113" s="242" t="s">
        <v>316</v>
      </c>
      <c r="H113" s="278" t="s">
        <v>279</v>
      </c>
      <c r="I113" s="489">
        <v>3837901</v>
      </c>
      <c r="J113" s="489">
        <v>2802927</v>
      </c>
      <c r="K113" s="489">
        <v>0</v>
      </c>
      <c r="L113" s="489">
        <v>947389</v>
      </c>
      <c r="M113" s="489">
        <v>56059</v>
      </c>
      <c r="N113" s="489">
        <v>31526</v>
      </c>
      <c r="O113" s="490">
        <v>8.83</v>
      </c>
      <c r="P113" s="491">
        <v>0</v>
      </c>
      <c r="Q113" s="500">
        <v>8.83</v>
      </c>
      <c r="R113" s="502">
        <f t="shared" si="106"/>
        <v>0</v>
      </c>
      <c r="S113" s="492">
        <v>0</v>
      </c>
      <c r="T113" s="492">
        <v>0</v>
      </c>
      <c r="U113" s="492">
        <v>51745</v>
      </c>
      <c r="V113" s="492">
        <f t="shared" si="107"/>
        <v>51745</v>
      </c>
      <c r="W113" s="492">
        <v>0</v>
      </c>
      <c r="X113" s="492">
        <v>0</v>
      </c>
      <c r="Y113" s="492">
        <v>0</v>
      </c>
      <c r="Z113" s="492">
        <f t="shared" si="108"/>
        <v>0</v>
      </c>
      <c r="AA113" s="492">
        <f t="shared" si="109"/>
        <v>51745</v>
      </c>
      <c r="AB113" s="74">
        <f t="shared" si="110"/>
        <v>17490</v>
      </c>
      <c r="AC113" s="74">
        <f t="shared" si="111"/>
        <v>1035</v>
      </c>
      <c r="AD113" s="492">
        <v>0</v>
      </c>
      <c r="AE113" s="492">
        <v>780</v>
      </c>
      <c r="AF113" s="492">
        <f t="shared" si="112"/>
        <v>780</v>
      </c>
      <c r="AG113" s="492">
        <f t="shared" si="113"/>
        <v>71050</v>
      </c>
      <c r="AH113" s="493">
        <v>0</v>
      </c>
      <c r="AI113" s="493">
        <v>0</v>
      </c>
      <c r="AJ113" s="493">
        <v>0</v>
      </c>
      <c r="AK113" s="493">
        <v>0</v>
      </c>
      <c r="AL113" s="493">
        <v>0</v>
      </c>
      <c r="AM113" s="493">
        <v>0</v>
      </c>
      <c r="AN113" s="493">
        <v>0.16</v>
      </c>
      <c r="AO113" s="493">
        <f t="shared" si="150"/>
        <v>0</v>
      </c>
      <c r="AP113" s="493">
        <f t="shared" si="151"/>
        <v>0.16</v>
      </c>
      <c r="AQ113" s="495">
        <f t="shared" si="114"/>
        <v>0.16</v>
      </c>
      <c r="AR113" s="502">
        <f t="shared" si="115"/>
        <v>3908951</v>
      </c>
      <c r="AS113" s="492">
        <f t="shared" si="116"/>
        <v>2854672</v>
      </c>
      <c r="AT113" s="492">
        <f t="shared" si="152"/>
        <v>0</v>
      </c>
      <c r="AU113" s="492">
        <f t="shared" si="153"/>
        <v>964879</v>
      </c>
      <c r="AV113" s="492">
        <f t="shared" si="153"/>
        <v>57094</v>
      </c>
      <c r="AW113" s="492">
        <f t="shared" si="117"/>
        <v>32306</v>
      </c>
      <c r="AX113" s="493">
        <f t="shared" si="118"/>
        <v>8.99</v>
      </c>
      <c r="AY113" s="493">
        <f t="shared" si="154"/>
        <v>0</v>
      </c>
      <c r="AZ113" s="495">
        <f t="shared" si="154"/>
        <v>8.99</v>
      </c>
    </row>
    <row r="114" spans="1:52" s="238" customFormat="1" ht="12.75" customHeight="1" x14ac:dyDescent="0.2">
      <c r="A114" s="240">
        <v>25</v>
      </c>
      <c r="B114" s="241">
        <v>3411</v>
      </c>
      <c r="C114" s="241">
        <v>600078400</v>
      </c>
      <c r="D114" s="241">
        <v>72742950</v>
      </c>
      <c r="E114" s="242" t="s">
        <v>57</v>
      </c>
      <c r="F114" s="241">
        <v>3143</v>
      </c>
      <c r="G114" s="242" t="s">
        <v>629</v>
      </c>
      <c r="H114" s="278" t="s">
        <v>278</v>
      </c>
      <c r="I114" s="489">
        <v>2698387</v>
      </c>
      <c r="J114" s="489">
        <v>1987030</v>
      </c>
      <c r="K114" s="489">
        <v>0</v>
      </c>
      <c r="L114" s="489">
        <v>671616</v>
      </c>
      <c r="M114" s="489">
        <v>39741</v>
      </c>
      <c r="N114" s="489">
        <v>0</v>
      </c>
      <c r="O114" s="490">
        <v>4</v>
      </c>
      <c r="P114" s="491">
        <v>4</v>
      </c>
      <c r="Q114" s="500">
        <v>0</v>
      </c>
      <c r="R114" s="502">
        <f t="shared" si="106"/>
        <v>0</v>
      </c>
      <c r="S114" s="492">
        <v>0</v>
      </c>
      <c r="T114" s="492">
        <v>0</v>
      </c>
      <c r="U114" s="492">
        <v>0</v>
      </c>
      <c r="V114" s="492">
        <f t="shared" si="107"/>
        <v>0</v>
      </c>
      <c r="W114" s="492">
        <v>0</v>
      </c>
      <c r="X114" s="492">
        <v>0</v>
      </c>
      <c r="Y114" s="492">
        <v>0</v>
      </c>
      <c r="Z114" s="492">
        <f t="shared" si="108"/>
        <v>0</v>
      </c>
      <c r="AA114" s="492">
        <f t="shared" si="109"/>
        <v>0</v>
      </c>
      <c r="AB114" s="74">
        <f t="shared" si="110"/>
        <v>0</v>
      </c>
      <c r="AC114" s="74">
        <f t="shared" si="111"/>
        <v>0</v>
      </c>
      <c r="AD114" s="492">
        <v>0</v>
      </c>
      <c r="AE114" s="492">
        <v>0</v>
      </c>
      <c r="AF114" s="492">
        <f t="shared" si="112"/>
        <v>0</v>
      </c>
      <c r="AG114" s="492">
        <f t="shared" si="113"/>
        <v>0</v>
      </c>
      <c r="AH114" s="493">
        <v>0</v>
      </c>
      <c r="AI114" s="493">
        <v>0</v>
      </c>
      <c r="AJ114" s="493">
        <v>0</v>
      </c>
      <c r="AK114" s="493">
        <v>0</v>
      </c>
      <c r="AL114" s="493">
        <v>0</v>
      </c>
      <c r="AM114" s="493">
        <v>0</v>
      </c>
      <c r="AN114" s="493">
        <v>0</v>
      </c>
      <c r="AO114" s="493">
        <f t="shared" si="150"/>
        <v>0</v>
      </c>
      <c r="AP114" s="493">
        <f t="shared" si="151"/>
        <v>0</v>
      </c>
      <c r="AQ114" s="495">
        <f t="shared" si="114"/>
        <v>0</v>
      </c>
      <c r="AR114" s="502">
        <f t="shared" si="115"/>
        <v>2698387</v>
      </c>
      <c r="AS114" s="492">
        <f t="shared" si="116"/>
        <v>1987030</v>
      </c>
      <c r="AT114" s="492">
        <f t="shared" si="152"/>
        <v>0</v>
      </c>
      <c r="AU114" s="492">
        <f t="shared" si="153"/>
        <v>671616</v>
      </c>
      <c r="AV114" s="492">
        <f t="shared" si="153"/>
        <v>39741</v>
      </c>
      <c r="AW114" s="492">
        <f t="shared" si="117"/>
        <v>0</v>
      </c>
      <c r="AX114" s="493">
        <f t="shared" si="118"/>
        <v>4</v>
      </c>
      <c r="AY114" s="493">
        <f t="shared" si="154"/>
        <v>4</v>
      </c>
      <c r="AZ114" s="495">
        <f t="shared" si="154"/>
        <v>0</v>
      </c>
    </row>
    <row r="115" spans="1:52" s="238" customFormat="1" ht="12.75" customHeight="1" x14ac:dyDescent="0.2">
      <c r="A115" s="240">
        <v>25</v>
      </c>
      <c r="B115" s="241">
        <v>3411</v>
      </c>
      <c r="C115" s="241">
        <v>600078400</v>
      </c>
      <c r="D115" s="241">
        <v>72742950</v>
      </c>
      <c r="E115" s="242" t="s">
        <v>57</v>
      </c>
      <c r="F115" s="241">
        <v>3143</v>
      </c>
      <c r="G115" s="242" t="s">
        <v>630</v>
      </c>
      <c r="H115" s="278" t="s">
        <v>279</v>
      </c>
      <c r="I115" s="489">
        <v>102816</v>
      </c>
      <c r="J115" s="489">
        <v>72707</v>
      </c>
      <c r="K115" s="489">
        <v>0</v>
      </c>
      <c r="L115" s="489">
        <v>24575</v>
      </c>
      <c r="M115" s="489">
        <v>1454</v>
      </c>
      <c r="N115" s="489">
        <v>4080</v>
      </c>
      <c r="O115" s="490">
        <v>0.28000000000000003</v>
      </c>
      <c r="P115" s="491">
        <v>0</v>
      </c>
      <c r="Q115" s="500">
        <v>0.28000000000000003</v>
      </c>
      <c r="R115" s="502">
        <f t="shared" si="106"/>
        <v>0</v>
      </c>
      <c r="S115" s="492">
        <v>0</v>
      </c>
      <c r="T115" s="492">
        <v>0</v>
      </c>
      <c r="U115" s="492">
        <v>0</v>
      </c>
      <c r="V115" s="492">
        <f t="shared" si="107"/>
        <v>0</v>
      </c>
      <c r="W115" s="492">
        <v>0</v>
      </c>
      <c r="X115" s="492">
        <v>0</v>
      </c>
      <c r="Y115" s="492">
        <v>0</v>
      </c>
      <c r="Z115" s="492">
        <f t="shared" si="108"/>
        <v>0</v>
      </c>
      <c r="AA115" s="492">
        <f t="shared" si="109"/>
        <v>0</v>
      </c>
      <c r="AB115" s="74">
        <f t="shared" si="110"/>
        <v>0</v>
      </c>
      <c r="AC115" s="74">
        <f t="shared" si="111"/>
        <v>0</v>
      </c>
      <c r="AD115" s="492">
        <v>0</v>
      </c>
      <c r="AE115" s="492">
        <v>0</v>
      </c>
      <c r="AF115" s="492">
        <f t="shared" si="112"/>
        <v>0</v>
      </c>
      <c r="AG115" s="492">
        <f t="shared" si="113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si="150"/>
        <v>0</v>
      </c>
      <c r="AP115" s="493">
        <f t="shared" si="151"/>
        <v>0</v>
      </c>
      <c r="AQ115" s="495">
        <f t="shared" si="114"/>
        <v>0</v>
      </c>
      <c r="AR115" s="502">
        <f t="shared" si="115"/>
        <v>102816</v>
      </c>
      <c r="AS115" s="492">
        <f t="shared" si="116"/>
        <v>72707</v>
      </c>
      <c r="AT115" s="492">
        <f t="shared" si="152"/>
        <v>0</v>
      </c>
      <c r="AU115" s="492">
        <f t="shared" si="153"/>
        <v>24575</v>
      </c>
      <c r="AV115" s="492">
        <f t="shared" si="153"/>
        <v>1454</v>
      </c>
      <c r="AW115" s="492">
        <f t="shared" si="117"/>
        <v>4080</v>
      </c>
      <c r="AX115" s="493">
        <f t="shared" si="118"/>
        <v>0.28000000000000003</v>
      </c>
      <c r="AY115" s="493">
        <f t="shared" si="154"/>
        <v>0</v>
      </c>
      <c r="AZ115" s="495">
        <f t="shared" si="154"/>
        <v>0.28000000000000003</v>
      </c>
    </row>
    <row r="116" spans="1:52" s="238" customFormat="1" ht="12.75" customHeight="1" x14ac:dyDescent="0.2">
      <c r="A116" s="164">
        <v>25</v>
      </c>
      <c r="B116" s="15">
        <v>3411</v>
      </c>
      <c r="C116" s="163">
        <v>600078400</v>
      </c>
      <c r="D116" s="163">
        <v>72742950</v>
      </c>
      <c r="E116" s="239" t="s">
        <v>58</v>
      </c>
      <c r="F116" s="15"/>
      <c r="G116" s="239"/>
      <c r="H116" s="277"/>
      <c r="I116" s="496">
        <v>44049077</v>
      </c>
      <c r="J116" s="496">
        <v>31834919</v>
      </c>
      <c r="K116" s="496">
        <v>0</v>
      </c>
      <c r="L116" s="496">
        <v>10760203</v>
      </c>
      <c r="M116" s="496">
        <v>636699</v>
      </c>
      <c r="N116" s="496">
        <v>817256</v>
      </c>
      <c r="O116" s="456">
        <v>63.171900000000001</v>
      </c>
      <c r="P116" s="456">
        <v>44.869300000000003</v>
      </c>
      <c r="Q116" s="456">
        <v>18.302599999999998</v>
      </c>
      <c r="R116" s="542">
        <f t="shared" ref="R116:AZ116" si="155">SUM(R111:R115)</f>
        <v>0</v>
      </c>
      <c r="S116" s="496">
        <f t="shared" si="155"/>
        <v>0</v>
      </c>
      <c r="T116" s="496">
        <f t="shared" si="155"/>
        <v>0</v>
      </c>
      <c r="U116" s="496">
        <f t="shared" si="155"/>
        <v>51745</v>
      </c>
      <c r="V116" s="496">
        <f t="shared" si="155"/>
        <v>51745</v>
      </c>
      <c r="W116" s="496">
        <f t="shared" si="155"/>
        <v>0</v>
      </c>
      <c r="X116" s="496">
        <f t="shared" si="155"/>
        <v>0</v>
      </c>
      <c r="Y116" s="496">
        <f t="shared" si="155"/>
        <v>0</v>
      </c>
      <c r="Z116" s="496">
        <f t="shared" si="155"/>
        <v>0</v>
      </c>
      <c r="AA116" s="496">
        <f t="shared" si="155"/>
        <v>51745</v>
      </c>
      <c r="AB116" s="496">
        <f t="shared" si="155"/>
        <v>17490</v>
      </c>
      <c r="AC116" s="496">
        <f t="shared" si="155"/>
        <v>1035</v>
      </c>
      <c r="AD116" s="496">
        <f t="shared" si="155"/>
        <v>0</v>
      </c>
      <c r="AE116" s="496">
        <f t="shared" si="155"/>
        <v>780</v>
      </c>
      <c r="AF116" s="496">
        <f t="shared" si="155"/>
        <v>780</v>
      </c>
      <c r="AG116" s="496">
        <f t="shared" si="155"/>
        <v>71050</v>
      </c>
      <c r="AH116" s="456">
        <f t="shared" si="155"/>
        <v>0</v>
      </c>
      <c r="AI116" s="456">
        <f t="shared" si="155"/>
        <v>0</v>
      </c>
      <c r="AJ116" s="456">
        <f t="shared" si="155"/>
        <v>0</v>
      </c>
      <c r="AK116" s="456">
        <f t="shared" si="155"/>
        <v>0</v>
      </c>
      <c r="AL116" s="456">
        <f t="shared" si="155"/>
        <v>0</v>
      </c>
      <c r="AM116" s="456">
        <f t="shared" si="155"/>
        <v>0</v>
      </c>
      <c r="AN116" s="456">
        <f t="shared" si="155"/>
        <v>0.16</v>
      </c>
      <c r="AO116" s="456">
        <f t="shared" si="155"/>
        <v>0</v>
      </c>
      <c r="AP116" s="456">
        <f t="shared" si="155"/>
        <v>0.16</v>
      </c>
      <c r="AQ116" s="543">
        <f t="shared" si="155"/>
        <v>0.16</v>
      </c>
      <c r="AR116" s="542">
        <f t="shared" si="155"/>
        <v>44120127</v>
      </c>
      <c r="AS116" s="496">
        <f t="shared" si="155"/>
        <v>31886664</v>
      </c>
      <c r="AT116" s="496">
        <f t="shared" si="155"/>
        <v>0</v>
      </c>
      <c r="AU116" s="496">
        <f t="shared" si="155"/>
        <v>10777693</v>
      </c>
      <c r="AV116" s="496">
        <f t="shared" si="155"/>
        <v>637734</v>
      </c>
      <c r="AW116" s="496">
        <f t="shared" si="155"/>
        <v>818036</v>
      </c>
      <c r="AX116" s="456">
        <f t="shared" si="155"/>
        <v>63.331900000000005</v>
      </c>
      <c r="AY116" s="456">
        <f t="shared" si="155"/>
        <v>44.869300000000003</v>
      </c>
      <c r="AZ116" s="543">
        <f t="shared" si="155"/>
        <v>18.462600000000002</v>
      </c>
    </row>
    <row r="117" spans="1:52" s="238" customFormat="1" ht="12.75" customHeight="1" x14ac:dyDescent="0.2">
      <c r="A117" s="240">
        <v>26</v>
      </c>
      <c r="B117" s="241">
        <v>3408</v>
      </c>
      <c r="C117" s="241">
        <v>600078566</v>
      </c>
      <c r="D117" s="241">
        <v>72743115</v>
      </c>
      <c r="E117" s="242" t="s">
        <v>59</v>
      </c>
      <c r="F117" s="241">
        <v>3113</v>
      </c>
      <c r="G117" s="242" t="s">
        <v>315</v>
      </c>
      <c r="H117" s="278" t="s">
        <v>278</v>
      </c>
      <c r="I117" s="489">
        <v>20080757</v>
      </c>
      <c r="J117" s="489">
        <v>14493392</v>
      </c>
      <c r="K117" s="489">
        <v>0</v>
      </c>
      <c r="L117" s="489">
        <v>4898767</v>
      </c>
      <c r="M117" s="489">
        <v>289868</v>
      </c>
      <c r="N117" s="489">
        <v>398730</v>
      </c>
      <c r="O117" s="490">
        <v>24.932600000000001</v>
      </c>
      <c r="P117" s="491">
        <v>19.295500000000001</v>
      </c>
      <c r="Q117" s="500">
        <v>5.6371000000000002</v>
      </c>
      <c r="R117" s="502">
        <f t="shared" si="106"/>
        <v>0</v>
      </c>
      <c r="S117" s="492">
        <v>0</v>
      </c>
      <c r="T117" s="492">
        <v>0</v>
      </c>
      <c r="U117" s="492">
        <v>0</v>
      </c>
      <c r="V117" s="492">
        <f t="shared" si="107"/>
        <v>0</v>
      </c>
      <c r="W117" s="492">
        <v>0</v>
      </c>
      <c r="X117" s="492">
        <v>0</v>
      </c>
      <c r="Y117" s="492">
        <v>0</v>
      </c>
      <c r="Z117" s="492">
        <f t="shared" si="108"/>
        <v>0</v>
      </c>
      <c r="AA117" s="492">
        <f t="shared" si="109"/>
        <v>0</v>
      </c>
      <c r="AB117" s="74">
        <f t="shared" si="110"/>
        <v>0</v>
      </c>
      <c r="AC117" s="74">
        <f t="shared" si="111"/>
        <v>0</v>
      </c>
      <c r="AD117" s="492">
        <v>0</v>
      </c>
      <c r="AE117" s="492">
        <v>0</v>
      </c>
      <c r="AF117" s="492">
        <f t="shared" si="112"/>
        <v>0</v>
      </c>
      <c r="AG117" s="492">
        <f t="shared" si="113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ref="AO117:AO121" si="156">AH117+AJ117+AM117+AK117</f>
        <v>0</v>
      </c>
      <c r="AP117" s="493">
        <f t="shared" ref="AP117:AP121" si="157">AI117+AN117+AL117</f>
        <v>0</v>
      </c>
      <c r="AQ117" s="495">
        <f t="shared" si="114"/>
        <v>0</v>
      </c>
      <c r="AR117" s="502">
        <f t="shared" si="115"/>
        <v>20080757</v>
      </c>
      <c r="AS117" s="492">
        <f t="shared" si="116"/>
        <v>14493392</v>
      </c>
      <c r="AT117" s="492">
        <f t="shared" ref="AT117:AT121" si="158">K117+Z117</f>
        <v>0</v>
      </c>
      <c r="AU117" s="492">
        <f t="shared" ref="AU117:AV121" si="159">L117+AB117</f>
        <v>4898767</v>
      </c>
      <c r="AV117" s="492">
        <f t="shared" si="159"/>
        <v>289868</v>
      </c>
      <c r="AW117" s="492">
        <f t="shared" si="117"/>
        <v>398730</v>
      </c>
      <c r="AX117" s="493">
        <f t="shared" si="118"/>
        <v>24.932600000000001</v>
      </c>
      <c r="AY117" s="493">
        <f t="shared" ref="AY117:AZ121" si="160">P117+AO117</f>
        <v>19.295500000000001</v>
      </c>
      <c r="AZ117" s="495">
        <f t="shared" si="160"/>
        <v>5.6371000000000002</v>
      </c>
    </row>
    <row r="118" spans="1:52" s="238" customFormat="1" x14ac:dyDescent="0.2">
      <c r="A118" s="240">
        <v>26</v>
      </c>
      <c r="B118" s="241">
        <v>3408</v>
      </c>
      <c r="C118" s="241">
        <v>600078566</v>
      </c>
      <c r="D118" s="241">
        <v>72743115</v>
      </c>
      <c r="E118" s="242" t="s">
        <v>59</v>
      </c>
      <c r="F118" s="241">
        <v>3113</v>
      </c>
      <c r="G118" s="242" t="s">
        <v>313</v>
      </c>
      <c r="H118" s="278" t="s">
        <v>279</v>
      </c>
      <c r="I118" s="489">
        <v>1900506</v>
      </c>
      <c r="J118" s="489">
        <v>1399489</v>
      </c>
      <c r="K118" s="489">
        <v>0</v>
      </c>
      <c r="L118" s="489">
        <v>473027</v>
      </c>
      <c r="M118" s="489">
        <v>27990</v>
      </c>
      <c r="N118" s="489">
        <v>0</v>
      </c>
      <c r="O118" s="490">
        <v>3.72</v>
      </c>
      <c r="P118" s="491">
        <v>3.72</v>
      </c>
      <c r="Q118" s="500">
        <v>0</v>
      </c>
      <c r="R118" s="502">
        <f t="shared" si="106"/>
        <v>0</v>
      </c>
      <c r="S118" s="492">
        <v>0</v>
      </c>
      <c r="T118" s="492">
        <v>0</v>
      </c>
      <c r="U118" s="492">
        <v>0</v>
      </c>
      <c r="V118" s="492">
        <f t="shared" si="107"/>
        <v>0</v>
      </c>
      <c r="W118" s="492">
        <v>0</v>
      </c>
      <c r="X118" s="492">
        <v>0</v>
      </c>
      <c r="Y118" s="492">
        <v>0</v>
      </c>
      <c r="Z118" s="492">
        <f t="shared" si="108"/>
        <v>0</v>
      </c>
      <c r="AA118" s="492">
        <f t="shared" si="109"/>
        <v>0</v>
      </c>
      <c r="AB118" s="74">
        <f t="shared" si="110"/>
        <v>0</v>
      </c>
      <c r="AC118" s="74">
        <f t="shared" si="111"/>
        <v>0</v>
      </c>
      <c r="AD118" s="492">
        <v>0</v>
      </c>
      <c r="AE118" s="492">
        <v>0</v>
      </c>
      <c r="AF118" s="492">
        <f t="shared" si="112"/>
        <v>0</v>
      </c>
      <c r="AG118" s="492">
        <f t="shared" si="113"/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 t="shared" si="156"/>
        <v>0</v>
      </c>
      <c r="AP118" s="493">
        <f t="shared" si="157"/>
        <v>0</v>
      </c>
      <c r="AQ118" s="495">
        <f t="shared" si="114"/>
        <v>0</v>
      </c>
      <c r="AR118" s="502">
        <f t="shared" si="115"/>
        <v>1900506</v>
      </c>
      <c r="AS118" s="492">
        <f t="shared" si="116"/>
        <v>1399489</v>
      </c>
      <c r="AT118" s="492">
        <f t="shared" si="158"/>
        <v>0</v>
      </c>
      <c r="AU118" s="492">
        <f t="shared" si="159"/>
        <v>473027</v>
      </c>
      <c r="AV118" s="492">
        <f t="shared" si="159"/>
        <v>27990</v>
      </c>
      <c r="AW118" s="492">
        <f t="shared" si="117"/>
        <v>0</v>
      </c>
      <c r="AX118" s="493">
        <f t="shared" si="118"/>
        <v>3.72</v>
      </c>
      <c r="AY118" s="493">
        <f t="shared" si="160"/>
        <v>3.72</v>
      </c>
      <c r="AZ118" s="495">
        <f t="shared" si="160"/>
        <v>0</v>
      </c>
    </row>
    <row r="119" spans="1:52" s="238" customFormat="1" ht="12.75" customHeight="1" x14ac:dyDescent="0.2">
      <c r="A119" s="240">
        <v>26</v>
      </c>
      <c r="B119" s="241">
        <v>3408</v>
      </c>
      <c r="C119" s="241">
        <v>600078566</v>
      </c>
      <c r="D119" s="241">
        <v>72743115</v>
      </c>
      <c r="E119" s="242" t="s">
        <v>59</v>
      </c>
      <c r="F119" s="241">
        <v>3141</v>
      </c>
      <c r="G119" s="242" t="s">
        <v>316</v>
      </c>
      <c r="H119" s="278" t="s">
        <v>279</v>
      </c>
      <c r="I119" s="489">
        <v>1680353</v>
      </c>
      <c r="J119" s="489">
        <v>1227635</v>
      </c>
      <c r="K119" s="489">
        <v>0</v>
      </c>
      <c r="L119" s="489">
        <v>414941</v>
      </c>
      <c r="M119" s="489">
        <v>24553</v>
      </c>
      <c r="N119" s="489">
        <v>13224</v>
      </c>
      <c r="O119" s="490">
        <v>3.87</v>
      </c>
      <c r="P119" s="491">
        <v>0</v>
      </c>
      <c r="Q119" s="500">
        <v>3.87</v>
      </c>
      <c r="R119" s="502">
        <f t="shared" si="106"/>
        <v>0</v>
      </c>
      <c r="S119" s="492">
        <v>0</v>
      </c>
      <c r="T119" s="492">
        <v>0</v>
      </c>
      <c r="U119" s="492">
        <v>0</v>
      </c>
      <c r="V119" s="492">
        <f t="shared" si="107"/>
        <v>0</v>
      </c>
      <c r="W119" s="492">
        <v>0</v>
      </c>
      <c r="X119" s="492">
        <v>0</v>
      </c>
      <c r="Y119" s="492">
        <v>0</v>
      </c>
      <c r="Z119" s="492">
        <f t="shared" si="108"/>
        <v>0</v>
      </c>
      <c r="AA119" s="492">
        <f t="shared" si="109"/>
        <v>0</v>
      </c>
      <c r="AB119" s="74">
        <f t="shared" si="110"/>
        <v>0</v>
      </c>
      <c r="AC119" s="74">
        <f t="shared" si="111"/>
        <v>0</v>
      </c>
      <c r="AD119" s="492">
        <v>0</v>
      </c>
      <c r="AE119" s="492">
        <v>0</v>
      </c>
      <c r="AF119" s="492">
        <f t="shared" si="112"/>
        <v>0</v>
      </c>
      <c r="AG119" s="492">
        <f t="shared" si="113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si="156"/>
        <v>0</v>
      </c>
      <c r="AP119" s="493">
        <f t="shared" si="157"/>
        <v>0</v>
      </c>
      <c r="AQ119" s="495">
        <f t="shared" si="114"/>
        <v>0</v>
      </c>
      <c r="AR119" s="502">
        <f t="shared" si="115"/>
        <v>1680353</v>
      </c>
      <c r="AS119" s="492">
        <f t="shared" si="116"/>
        <v>1227635</v>
      </c>
      <c r="AT119" s="492">
        <f t="shared" si="158"/>
        <v>0</v>
      </c>
      <c r="AU119" s="492">
        <f t="shared" si="159"/>
        <v>414941</v>
      </c>
      <c r="AV119" s="492">
        <f t="shared" si="159"/>
        <v>24553</v>
      </c>
      <c r="AW119" s="492">
        <f t="shared" si="117"/>
        <v>13224</v>
      </c>
      <c r="AX119" s="493">
        <f t="shared" si="118"/>
        <v>3.87</v>
      </c>
      <c r="AY119" s="493">
        <f t="shared" si="160"/>
        <v>0</v>
      </c>
      <c r="AZ119" s="495">
        <f t="shared" si="160"/>
        <v>3.87</v>
      </c>
    </row>
    <row r="120" spans="1:52" s="238" customFormat="1" ht="12.75" customHeight="1" x14ac:dyDescent="0.2">
      <c r="A120" s="240">
        <v>26</v>
      </c>
      <c r="B120" s="241">
        <v>3408</v>
      </c>
      <c r="C120" s="241">
        <v>600078566</v>
      </c>
      <c r="D120" s="241">
        <v>72743115</v>
      </c>
      <c r="E120" s="242" t="s">
        <v>59</v>
      </c>
      <c r="F120" s="241">
        <v>3143</v>
      </c>
      <c r="G120" s="242" t="s">
        <v>629</v>
      </c>
      <c r="H120" s="278" t="s">
        <v>278</v>
      </c>
      <c r="I120" s="489">
        <v>1741576</v>
      </c>
      <c r="J120" s="489">
        <v>1282457</v>
      </c>
      <c r="K120" s="489">
        <v>0</v>
      </c>
      <c r="L120" s="489">
        <v>433470</v>
      </c>
      <c r="M120" s="489">
        <v>25649</v>
      </c>
      <c r="N120" s="489">
        <v>0</v>
      </c>
      <c r="O120" s="490">
        <v>2.5897999999999999</v>
      </c>
      <c r="P120" s="491">
        <v>2.5897999999999999</v>
      </c>
      <c r="Q120" s="500">
        <v>0</v>
      </c>
      <c r="R120" s="502">
        <f t="shared" si="106"/>
        <v>0</v>
      </c>
      <c r="S120" s="492">
        <v>0</v>
      </c>
      <c r="T120" s="492">
        <v>0</v>
      </c>
      <c r="U120" s="492">
        <v>0</v>
      </c>
      <c r="V120" s="492">
        <f t="shared" si="107"/>
        <v>0</v>
      </c>
      <c r="W120" s="492">
        <v>0</v>
      </c>
      <c r="X120" s="492">
        <v>0</v>
      </c>
      <c r="Y120" s="492">
        <v>0</v>
      </c>
      <c r="Z120" s="492">
        <f t="shared" si="108"/>
        <v>0</v>
      </c>
      <c r="AA120" s="492">
        <f t="shared" si="109"/>
        <v>0</v>
      </c>
      <c r="AB120" s="74">
        <f t="shared" si="110"/>
        <v>0</v>
      </c>
      <c r="AC120" s="74">
        <f t="shared" si="111"/>
        <v>0</v>
      </c>
      <c r="AD120" s="492">
        <v>0</v>
      </c>
      <c r="AE120" s="492">
        <v>0</v>
      </c>
      <c r="AF120" s="492">
        <f t="shared" si="112"/>
        <v>0</v>
      </c>
      <c r="AG120" s="492">
        <f t="shared" si="113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si="156"/>
        <v>0</v>
      </c>
      <c r="AP120" s="493">
        <f t="shared" si="157"/>
        <v>0</v>
      </c>
      <c r="AQ120" s="495">
        <f t="shared" si="114"/>
        <v>0</v>
      </c>
      <c r="AR120" s="502">
        <f t="shared" si="115"/>
        <v>1741576</v>
      </c>
      <c r="AS120" s="492">
        <f t="shared" si="116"/>
        <v>1282457</v>
      </c>
      <c r="AT120" s="492">
        <f t="shared" si="158"/>
        <v>0</v>
      </c>
      <c r="AU120" s="492">
        <f t="shared" si="159"/>
        <v>433470</v>
      </c>
      <c r="AV120" s="492">
        <f t="shared" si="159"/>
        <v>25649</v>
      </c>
      <c r="AW120" s="492">
        <f t="shared" si="117"/>
        <v>0</v>
      </c>
      <c r="AX120" s="493">
        <f t="shared" si="118"/>
        <v>2.5897999999999999</v>
      </c>
      <c r="AY120" s="493">
        <f t="shared" si="160"/>
        <v>2.5897999999999999</v>
      </c>
      <c r="AZ120" s="495">
        <f t="shared" si="160"/>
        <v>0</v>
      </c>
    </row>
    <row r="121" spans="1:52" s="238" customFormat="1" ht="12.75" customHeight="1" x14ac:dyDescent="0.2">
      <c r="A121" s="240">
        <v>26</v>
      </c>
      <c r="B121" s="241">
        <v>3408</v>
      </c>
      <c r="C121" s="241">
        <v>600078566</v>
      </c>
      <c r="D121" s="241">
        <v>72743115</v>
      </c>
      <c r="E121" s="242" t="s">
        <v>59</v>
      </c>
      <c r="F121" s="241">
        <v>3143</v>
      </c>
      <c r="G121" s="242" t="s">
        <v>630</v>
      </c>
      <c r="H121" s="278" t="s">
        <v>279</v>
      </c>
      <c r="I121" s="489">
        <v>58212</v>
      </c>
      <c r="J121" s="489">
        <v>41165</v>
      </c>
      <c r="K121" s="489">
        <v>0</v>
      </c>
      <c r="L121" s="489">
        <v>13914</v>
      </c>
      <c r="M121" s="489">
        <v>823</v>
      </c>
      <c r="N121" s="489">
        <v>2310</v>
      </c>
      <c r="O121" s="490">
        <v>0.16</v>
      </c>
      <c r="P121" s="491">
        <v>0</v>
      </c>
      <c r="Q121" s="500">
        <v>0.16</v>
      </c>
      <c r="R121" s="502">
        <f t="shared" si="106"/>
        <v>0</v>
      </c>
      <c r="S121" s="492">
        <v>0</v>
      </c>
      <c r="T121" s="492">
        <v>0</v>
      </c>
      <c r="U121" s="492">
        <v>0</v>
      </c>
      <c r="V121" s="492">
        <f t="shared" si="107"/>
        <v>0</v>
      </c>
      <c r="W121" s="492">
        <v>0</v>
      </c>
      <c r="X121" s="492">
        <v>0</v>
      </c>
      <c r="Y121" s="492">
        <v>0</v>
      </c>
      <c r="Z121" s="492">
        <f t="shared" si="108"/>
        <v>0</v>
      </c>
      <c r="AA121" s="492">
        <f t="shared" si="109"/>
        <v>0</v>
      </c>
      <c r="AB121" s="74">
        <f t="shared" si="110"/>
        <v>0</v>
      </c>
      <c r="AC121" s="74">
        <f t="shared" si="111"/>
        <v>0</v>
      </c>
      <c r="AD121" s="492">
        <v>0</v>
      </c>
      <c r="AE121" s="492">
        <v>0</v>
      </c>
      <c r="AF121" s="492">
        <f t="shared" si="112"/>
        <v>0</v>
      </c>
      <c r="AG121" s="492">
        <f t="shared" si="113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56"/>
        <v>0</v>
      </c>
      <c r="AP121" s="493">
        <f t="shared" si="157"/>
        <v>0</v>
      </c>
      <c r="AQ121" s="495">
        <f t="shared" si="114"/>
        <v>0</v>
      </c>
      <c r="AR121" s="502">
        <f t="shared" si="115"/>
        <v>58212</v>
      </c>
      <c r="AS121" s="492">
        <f t="shared" si="116"/>
        <v>41165</v>
      </c>
      <c r="AT121" s="492">
        <f t="shared" si="158"/>
        <v>0</v>
      </c>
      <c r="AU121" s="492">
        <f t="shared" si="159"/>
        <v>13914</v>
      </c>
      <c r="AV121" s="492">
        <f t="shared" si="159"/>
        <v>823</v>
      </c>
      <c r="AW121" s="492">
        <f t="shared" si="117"/>
        <v>2310</v>
      </c>
      <c r="AX121" s="493">
        <f t="shared" si="118"/>
        <v>0.16</v>
      </c>
      <c r="AY121" s="493">
        <f t="shared" si="160"/>
        <v>0</v>
      </c>
      <c r="AZ121" s="495">
        <f t="shared" si="160"/>
        <v>0.16</v>
      </c>
    </row>
    <row r="122" spans="1:52" s="238" customFormat="1" ht="12.75" customHeight="1" x14ac:dyDescent="0.2">
      <c r="A122" s="164">
        <v>26</v>
      </c>
      <c r="B122" s="15">
        <v>3408</v>
      </c>
      <c r="C122" s="163">
        <v>600078566</v>
      </c>
      <c r="D122" s="163">
        <v>72743115</v>
      </c>
      <c r="E122" s="239" t="s">
        <v>60</v>
      </c>
      <c r="F122" s="15"/>
      <c r="G122" s="239"/>
      <c r="H122" s="277"/>
      <c r="I122" s="496">
        <v>25461404</v>
      </c>
      <c r="J122" s="496">
        <v>18444138</v>
      </c>
      <c r="K122" s="496">
        <v>0</v>
      </c>
      <c r="L122" s="496">
        <v>6234119</v>
      </c>
      <c r="M122" s="496">
        <v>368883</v>
      </c>
      <c r="N122" s="496">
        <v>414264</v>
      </c>
      <c r="O122" s="456">
        <v>35.27239999999999</v>
      </c>
      <c r="P122" s="456">
        <v>25.6053</v>
      </c>
      <c r="Q122" s="456">
        <v>9.6671000000000014</v>
      </c>
      <c r="R122" s="542">
        <f t="shared" ref="R122:AZ122" si="161">SUM(R117:R121)</f>
        <v>0</v>
      </c>
      <c r="S122" s="496">
        <f t="shared" si="161"/>
        <v>0</v>
      </c>
      <c r="T122" s="496">
        <f t="shared" si="161"/>
        <v>0</v>
      </c>
      <c r="U122" s="496">
        <f t="shared" si="161"/>
        <v>0</v>
      </c>
      <c r="V122" s="496">
        <f t="shared" si="161"/>
        <v>0</v>
      </c>
      <c r="W122" s="496">
        <f t="shared" si="161"/>
        <v>0</v>
      </c>
      <c r="X122" s="496">
        <f t="shared" si="161"/>
        <v>0</v>
      </c>
      <c r="Y122" s="496">
        <f t="shared" si="161"/>
        <v>0</v>
      </c>
      <c r="Z122" s="496">
        <f t="shared" si="161"/>
        <v>0</v>
      </c>
      <c r="AA122" s="496">
        <f t="shared" si="161"/>
        <v>0</v>
      </c>
      <c r="AB122" s="496">
        <f t="shared" si="161"/>
        <v>0</v>
      </c>
      <c r="AC122" s="496">
        <f t="shared" si="161"/>
        <v>0</v>
      </c>
      <c r="AD122" s="496">
        <f t="shared" si="161"/>
        <v>0</v>
      </c>
      <c r="AE122" s="496">
        <f t="shared" si="161"/>
        <v>0</v>
      </c>
      <c r="AF122" s="496">
        <f t="shared" si="161"/>
        <v>0</v>
      </c>
      <c r="AG122" s="496">
        <f t="shared" si="161"/>
        <v>0</v>
      </c>
      <c r="AH122" s="456">
        <f t="shared" si="161"/>
        <v>0</v>
      </c>
      <c r="AI122" s="456">
        <f t="shared" si="161"/>
        <v>0</v>
      </c>
      <c r="AJ122" s="456">
        <f t="shared" si="161"/>
        <v>0</v>
      </c>
      <c r="AK122" s="456">
        <f t="shared" si="161"/>
        <v>0</v>
      </c>
      <c r="AL122" s="456">
        <f t="shared" si="161"/>
        <v>0</v>
      </c>
      <c r="AM122" s="456">
        <f t="shared" si="161"/>
        <v>0</v>
      </c>
      <c r="AN122" s="456">
        <f t="shared" si="161"/>
        <v>0</v>
      </c>
      <c r="AO122" s="456">
        <f t="shared" si="161"/>
        <v>0</v>
      </c>
      <c r="AP122" s="456">
        <f t="shared" si="161"/>
        <v>0</v>
      </c>
      <c r="AQ122" s="543">
        <f t="shared" si="161"/>
        <v>0</v>
      </c>
      <c r="AR122" s="542">
        <f t="shared" si="161"/>
        <v>25461404</v>
      </c>
      <c r="AS122" s="496">
        <f t="shared" si="161"/>
        <v>18444138</v>
      </c>
      <c r="AT122" s="496">
        <f t="shared" si="161"/>
        <v>0</v>
      </c>
      <c r="AU122" s="496">
        <f t="shared" si="161"/>
        <v>6234119</v>
      </c>
      <c r="AV122" s="496">
        <f t="shared" si="161"/>
        <v>368883</v>
      </c>
      <c r="AW122" s="496">
        <f t="shared" si="161"/>
        <v>414264</v>
      </c>
      <c r="AX122" s="456">
        <f t="shared" si="161"/>
        <v>35.27239999999999</v>
      </c>
      <c r="AY122" s="456">
        <f t="shared" si="161"/>
        <v>25.6053</v>
      </c>
      <c r="AZ122" s="543">
        <f t="shared" si="161"/>
        <v>9.6671000000000014</v>
      </c>
    </row>
    <row r="123" spans="1:52" s="238" customFormat="1" ht="12.75" customHeight="1" x14ac:dyDescent="0.2">
      <c r="A123" s="240">
        <v>27</v>
      </c>
      <c r="B123" s="241">
        <v>3417</v>
      </c>
      <c r="C123" s="241">
        <v>600078353</v>
      </c>
      <c r="D123" s="241">
        <v>72743352</v>
      </c>
      <c r="E123" s="242" t="s">
        <v>61</v>
      </c>
      <c r="F123" s="241">
        <v>3113</v>
      </c>
      <c r="G123" s="242" t="s">
        <v>315</v>
      </c>
      <c r="H123" s="278" t="s">
        <v>278</v>
      </c>
      <c r="I123" s="489">
        <v>14887671</v>
      </c>
      <c r="J123" s="489">
        <v>10724291</v>
      </c>
      <c r="K123" s="489">
        <v>13000</v>
      </c>
      <c r="L123" s="489">
        <v>3629204</v>
      </c>
      <c r="M123" s="489">
        <v>214486</v>
      </c>
      <c r="N123" s="489">
        <v>306690</v>
      </c>
      <c r="O123" s="490">
        <v>18.827100000000002</v>
      </c>
      <c r="P123" s="491">
        <v>14.272600000000001</v>
      </c>
      <c r="Q123" s="500">
        <v>4.5545</v>
      </c>
      <c r="R123" s="502">
        <f t="shared" si="106"/>
        <v>0</v>
      </c>
      <c r="S123" s="492">
        <v>0</v>
      </c>
      <c r="T123" s="492">
        <v>0</v>
      </c>
      <c r="U123" s="492">
        <v>0</v>
      </c>
      <c r="V123" s="492">
        <f t="shared" si="107"/>
        <v>0</v>
      </c>
      <c r="W123" s="492">
        <v>0</v>
      </c>
      <c r="X123" s="492">
        <v>0</v>
      </c>
      <c r="Y123" s="492">
        <v>0</v>
      </c>
      <c r="Z123" s="492">
        <f t="shared" si="108"/>
        <v>0</v>
      </c>
      <c r="AA123" s="492">
        <f t="shared" si="109"/>
        <v>0</v>
      </c>
      <c r="AB123" s="74">
        <f t="shared" si="110"/>
        <v>0</v>
      </c>
      <c r="AC123" s="74">
        <f t="shared" si="111"/>
        <v>0</v>
      </c>
      <c r="AD123" s="492">
        <v>0</v>
      </c>
      <c r="AE123" s="492">
        <v>0</v>
      </c>
      <c r="AF123" s="492">
        <f t="shared" si="112"/>
        <v>0</v>
      </c>
      <c r="AG123" s="492">
        <f t="shared" si="113"/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 t="shared" ref="AO123:AO127" si="162">AH123+AJ123+AM123+AK123</f>
        <v>0</v>
      </c>
      <c r="AP123" s="493">
        <f t="shared" ref="AP123:AP127" si="163">AI123+AN123+AL123</f>
        <v>0</v>
      </c>
      <c r="AQ123" s="495">
        <f t="shared" si="114"/>
        <v>0</v>
      </c>
      <c r="AR123" s="502">
        <f t="shared" si="115"/>
        <v>14887671</v>
      </c>
      <c r="AS123" s="492">
        <f t="shared" si="116"/>
        <v>10724291</v>
      </c>
      <c r="AT123" s="492">
        <f t="shared" ref="AT123:AT127" si="164">K123+Z123</f>
        <v>13000</v>
      </c>
      <c r="AU123" s="492">
        <f t="shared" ref="AU123:AV127" si="165">L123+AB123</f>
        <v>3629204</v>
      </c>
      <c r="AV123" s="492">
        <f t="shared" si="165"/>
        <v>214486</v>
      </c>
      <c r="AW123" s="492">
        <f t="shared" si="117"/>
        <v>306690</v>
      </c>
      <c r="AX123" s="493">
        <f t="shared" si="118"/>
        <v>18.827100000000002</v>
      </c>
      <c r="AY123" s="493">
        <f t="shared" ref="AY123:AZ127" si="166">P123+AO123</f>
        <v>14.272600000000001</v>
      </c>
      <c r="AZ123" s="495">
        <f t="shared" si="166"/>
        <v>4.5545</v>
      </c>
    </row>
    <row r="124" spans="1:52" s="238" customFormat="1" x14ac:dyDescent="0.2">
      <c r="A124" s="240">
        <v>27</v>
      </c>
      <c r="B124" s="241">
        <v>3417</v>
      </c>
      <c r="C124" s="241">
        <v>600078353</v>
      </c>
      <c r="D124" s="241">
        <v>72743352</v>
      </c>
      <c r="E124" s="242" t="s">
        <v>61</v>
      </c>
      <c r="F124" s="241">
        <v>3113</v>
      </c>
      <c r="G124" s="242" t="s">
        <v>313</v>
      </c>
      <c r="H124" s="278" t="s">
        <v>279</v>
      </c>
      <c r="I124" s="489">
        <v>1189256</v>
      </c>
      <c r="J124" s="489">
        <v>875741</v>
      </c>
      <c r="K124" s="489">
        <v>0</v>
      </c>
      <c r="L124" s="489">
        <v>296000</v>
      </c>
      <c r="M124" s="489">
        <v>17515</v>
      </c>
      <c r="N124" s="489">
        <v>0</v>
      </c>
      <c r="O124" s="490">
        <v>2.5300000000000002</v>
      </c>
      <c r="P124" s="491">
        <v>2.5300000000000002</v>
      </c>
      <c r="Q124" s="500">
        <v>0</v>
      </c>
      <c r="R124" s="502">
        <f t="shared" si="106"/>
        <v>0</v>
      </c>
      <c r="S124" s="492">
        <v>0</v>
      </c>
      <c r="T124" s="492">
        <v>0</v>
      </c>
      <c r="U124" s="492">
        <v>0</v>
      </c>
      <c r="V124" s="492">
        <f t="shared" si="107"/>
        <v>0</v>
      </c>
      <c r="W124" s="492">
        <v>0</v>
      </c>
      <c r="X124" s="492">
        <v>0</v>
      </c>
      <c r="Y124" s="492">
        <v>0</v>
      </c>
      <c r="Z124" s="492">
        <f t="shared" si="108"/>
        <v>0</v>
      </c>
      <c r="AA124" s="492">
        <f t="shared" si="109"/>
        <v>0</v>
      </c>
      <c r="AB124" s="74">
        <f t="shared" si="110"/>
        <v>0</v>
      </c>
      <c r="AC124" s="74">
        <f t="shared" si="111"/>
        <v>0</v>
      </c>
      <c r="AD124" s="492">
        <v>0</v>
      </c>
      <c r="AE124" s="492">
        <v>0</v>
      </c>
      <c r="AF124" s="492">
        <f t="shared" si="112"/>
        <v>0</v>
      </c>
      <c r="AG124" s="492">
        <f t="shared" si="113"/>
        <v>0</v>
      </c>
      <c r="AH124" s="493">
        <v>0</v>
      </c>
      <c r="AI124" s="493">
        <v>0</v>
      </c>
      <c r="AJ124" s="493">
        <v>0</v>
      </c>
      <c r="AK124" s="493">
        <v>0</v>
      </c>
      <c r="AL124" s="493">
        <v>0</v>
      </c>
      <c r="AM124" s="493">
        <v>0</v>
      </c>
      <c r="AN124" s="493">
        <v>0</v>
      </c>
      <c r="AO124" s="493">
        <f t="shared" si="162"/>
        <v>0</v>
      </c>
      <c r="AP124" s="493">
        <f t="shared" si="163"/>
        <v>0</v>
      </c>
      <c r="AQ124" s="495">
        <f t="shared" si="114"/>
        <v>0</v>
      </c>
      <c r="AR124" s="502">
        <f t="shared" si="115"/>
        <v>1189256</v>
      </c>
      <c r="AS124" s="492">
        <f t="shared" si="116"/>
        <v>875741</v>
      </c>
      <c r="AT124" s="492">
        <f t="shared" si="164"/>
        <v>0</v>
      </c>
      <c r="AU124" s="492">
        <f t="shared" si="165"/>
        <v>296000</v>
      </c>
      <c r="AV124" s="492">
        <f t="shared" si="165"/>
        <v>17515</v>
      </c>
      <c r="AW124" s="492">
        <f t="shared" si="117"/>
        <v>0</v>
      </c>
      <c r="AX124" s="493">
        <f t="shared" si="118"/>
        <v>2.5300000000000002</v>
      </c>
      <c r="AY124" s="493">
        <f t="shared" si="166"/>
        <v>2.5300000000000002</v>
      </c>
      <c r="AZ124" s="495">
        <f t="shared" si="166"/>
        <v>0</v>
      </c>
    </row>
    <row r="125" spans="1:52" s="238" customFormat="1" ht="12.75" customHeight="1" x14ac:dyDescent="0.2">
      <c r="A125" s="240">
        <v>27</v>
      </c>
      <c r="B125" s="241">
        <v>3417</v>
      </c>
      <c r="C125" s="241">
        <v>600078353</v>
      </c>
      <c r="D125" s="241">
        <v>72743352</v>
      </c>
      <c r="E125" s="242" t="s">
        <v>61</v>
      </c>
      <c r="F125" s="241">
        <v>3141</v>
      </c>
      <c r="G125" s="242" t="s">
        <v>316</v>
      </c>
      <c r="H125" s="278" t="s">
        <v>279</v>
      </c>
      <c r="I125" s="489">
        <v>1418198</v>
      </c>
      <c r="J125" s="489">
        <v>1030066</v>
      </c>
      <c r="K125" s="489">
        <v>6500</v>
      </c>
      <c r="L125" s="489">
        <v>350359</v>
      </c>
      <c r="M125" s="489">
        <v>20601</v>
      </c>
      <c r="N125" s="489">
        <v>10672</v>
      </c>
      <c r="O125" s="490">
        <v>3.26</v>
      </c>
      <c r="P125" s="491">
        <v>0</v>
      </c>
      <c r="Q125" s="500">
        <v>3.26</v>
      </c>
      <c r="R125" s="502">
        <f t="shared" si="106"/>
        <v>0</v>
      </c>
      <c r="S125" s="492">
        <v>0</v>
      </c>
      <c r="T125" s="492">
        <v>0</v>
      </c>
      <c r="U125" s="492">
        <v>0</v>
      </c>
      <c r="V125" s="492">
        <f t="shared" si="107"/>
        <v>0</v>
      </c>
      <c r="W125" s="492">
        <v>0</v>
      </c>
      <c r="X125" s="492">
        <v>0</v>
      </c>
      <c r="Y125" s="492">
        <v>0</v>
      </c>
      <c r="Z125" s="492">
        <f t="shared" si="108"/>
        <v>0</v>
      </c>
      <c r="AA125" s="492">
        <f t="shared" si="109"/>
        <v>0</v>
      </c>
      <c r="AB125" s="74">
        <f t="shared" si="110"/>
        <v>0</v>
      </c>
      <c r="AC125" s="74">
        <f t="shared" si="111"/>
        <v>0</v>
      </c>
      <c r="AD125" s="492">
        <v>0</v>
      </c>
      <c r="AE125" s="492">
        <v>0</v>
      </c>
      <c r="AF125" s="492">
        <f t="shared" si="112"/>
        <v>0</v>
      </c>
      <c r="AG125" s="492">
        <f t="shared" si="113"/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 t="shared" si="162"/>
        <v>0</v>
      </c>
      <c r="AP125" s="493">
        <f t="shared" si="163"/>
        <v>0</v>
      </c>
      <c r="AQ125" s="495">
        <f t="shared" si="114"/>
        <v>0</v>
      </c>
      <c r="AR125" s="502">
        <f t="shared" si="115"/>
        <v>1418198</v>
      </c>
      <c r="AS125" s="492">
        <f t="shared" si="116"/>
        <v>1030066</v>
      </c>
      <c r="AT125" s="492">
        <f t="shared" si="164"/>
        <v>6500</v>
      </c>
      <c r="AU125" s="492">
        <f t="shared" si="165"/>
        <v>350359</v>
      </c>
      <c r="AV125" s="492">
        <f t="shared" si="165"/>
        <v>20601</v>
      </c>
      <c r="AW125" s="492">
        <f t="shared" si="117"/>
        <v>10672</v>
      </c>
      <c r="AX125" s="493">
        <f t="shared" si="118"/>
        <v>3.26</v>
      </c>
      <c r="AY125" s="493">
        <f t="shared" si="166"/>
        <v>0</v>
      </c>
      <c r="AZ125" s="495">
        <f t="shared" si="166"/>
        <v>3.26</v>
      </c>
    </row>
    <row r="126" spans="1:52" s="238" customFormat="1" ht="12.75" customHeight="1" x14ac:dyDescent="0.2">
      <c r="A126" s="240">
        <v>27</v>
      </c>
      <c r="B126" s="241">
        <v>3417</v>
      </c>
      <c r="C126" s="241">
        <v>600078353</v>
      </c>
      <c r="D126" s="241">
        <v>72743352</v>
      </c>
      <c r="E126" s="242" t="s">
        <v>61</v>
      </c>
      <c r="F126" s="241">
        <v>3143</v>
      </c>
      <c r="G126" s="242" t="s">
        <v>629</v>
      </c>
      <c r="H126" s="278" t="s">
        <v>278</v>
      </c>
      <c r="I126" s="489">
        <v>1416284</v>
      </c>
      <c r="J126" s="489">
        <v>1039717</v>
      </c>
      <c r="K126" s="489">
        <v>3250</v>
      </c>
      <c r="L126" s="489">
        <v>352523</v>
      </c>
      <c r="M126" s="489">
        <v>20794</v>
      </c>
      <c r="N126" s="489">
        <v>0</v>
      </c>
      <c r="O126" s="490">
        <v>2</v>
      </c>
      <c r="P126" s="491">
        <v>2</v>
      </c>
      <c r="Q126" s="500">
        <v>0</v>
      </c>
      <c r="R126" s="502">
        <f t="shared" si="106"/>
        <v>0</v>
      </c>
      <c r="S126" s="492">
        <v>0</v>
      </c>
      <c r="T126" s="492">
        <v>0</v>
      </c>
      <c r="U126" s="492">
        <v>0</v>
      </c>
      <c r="V126" s="492">
        <f t="shared" si="107"/>
        <v>0</v>
      </c>
      <c r="W126" s="492">
        <v>0</v>
      </c>
      <c r="X126" s="492">
        <v>0</v>
      </c>
      <c r="Y126" s="492">
        <v>0</v>
      </c>
      <c r="Z126" s="492">
        <f t="shared" si="108"/>
        <v>0</v>
      </c>
      <c r="AA126" s="492">
        <f t="shared" si="109"/>
        <v>0</v>
      </c>
      <c r="AB126" s="74">
        <f t="shared" si="110"/>
        <v>0</v>
      </c>
      <c r="AC126" s="74">
        <f t="shared" si="111"/>
        <v>0</v>
      </c>
      <c r="AD126" s="492">
        <v>0</v>
      </c>
      <c r="AE126" s="492">
        <v>0</v>
      </c>
      <c r="AF126" s="492">
        <f t="shared" si="112"/>
        <v>0</v>
      </c>
      <c r="AG126" s="492">
        <f t="shared" si="113"/>
        <v>0</v>
      </c>
      <c r="AH126" s="493">
        <v>0</v>
      </c>
      <c r="AI126" s="493">
        <v>0</v>
      </c>
      <c r="AJ126" s="493">
        <v>0</v>
      </c>
      <c r="AK126" s="493">
        <v>0</v>
      </c>
      <c r="AL126" s="493">
        <v>0</v>
      </c>
      <c r="AM126" s="493">
        <v>0</v>
      </c>
      <c r="AN126" s="493">
        <v>0</v>
      </c>
      <c r="AO126" s="493">
        <f t="shared" si="162"/>
        <v>0</v>
      </c>
      <c r="AP126" s="493">
        <f t="shared" si="163"/>
        <v>0</v>
      </c>
      <c r="AQ126" s="495">
        <f t="shared" si="114"/>
        <v>0</v>
      </c>
      <c r="AR126" s="502">
        <f t="shared" si="115"/>
        <v>1416284</v>
      </c>
      <c r="AS126" s="492">
        <f t="shared" si="116"/>
        <v>1039717</v>
      </c>
      <c r="AT126" s="492">
        <f t="shared" si="164"/>
        <v>3250</v>
      </c>
      <c r="AU126" s="492">
        <f t="shared" si="165"/>
        <v>352523</v>
      </c>
      <c r="AV126" s="492">
        <f t="shared" si="165"/>
        <v>20794</v>
      </c>
      <c r="AW126" s="492">
        <f t="shared" si="117"/>
        <v>0</v>
      </c>
      <c r="AX126" s="493">
        <f t="shared" si="118"/>
        <v>2</v>
      </c>
      <c r="AY126" s="493">
        <f t="shared" si="166"/>
        <v>2</v>
      </c>
      <c r="AZ126" s="495">
        <f t="shared" si="166"/>
        <v>0</v>
      </c>
    </row>
    <row r="127" spans="1:52" s="238" customFormat="1" ht="12.75" customHeight="1" x14ac:dyDescent="0.2">
      <c r="A127" s="240">
        <v>27</v>
      </c>
      <c r="B127" s="241">
        <v>3417</v>
      </c>
      <c r="C127" s="241">
        <v>600078353</v>
      </c>
      <c r="D127" s="241">
        <v>72743352</v>
      </c>
      <c r="E127" s="242" t="s">
        <v>61</v>
      </c>
      <c r="F127" s="241">
        <v>3143</v>
      </c>
      <c r="G127" s="242" t="s">
        <v>630</v>
      </c>
      <c r="H127" s="278" t="s">
        <v>279</v>
      </c>
      <c r="I127" s="489">
        <v>45361</v>
      </c>
      <c r="J127" s="489">
        <v>32077</v>
      </c>
      <c r="K127" s="489">
        <v>0</v>
      </c>
      <c r="L127" s="489">
        <v>10842</v>
      </c>
      <c r="M127" s="489">
        <v>642</v>
      </c>
      <c r="N127" s="489">
        <v>1800</v>
      </c>
      <c r="O127" s="490">
        <v>0.13</v>
      </c>
      <c r="P127" s="491">
        <v>0</v>
      </c>
      <c r="Q127" s="500">
        <v>0.13</v>
      </c>
      <c r="R127" s="502">
        <f t="shared" si="106"/>
        <v>0</v>
      </c>
      <c r="S127" s="492">
        <v>0</v>
      </c>
      <c r="T127" s="492">
        <v>0</v>
      </c>
      <c r="U127" s="492">
        <v>0</v>
      </c>
      <c r="V127" s="492">
        <f t="shared" si="107"/>
        <v>0</v>
      </c>
      <c r="W127" s="492">
        <v>0</v>
      </c>
      <c r="X127" s="492">
        <v>0</v>
      </c>
      <c r="Y127" s="492">
        <v>0</v>
      </c>
      <c r="Z127" s="492">
        <f t="shared" si="108"/>
        <v>0</v>
      </c>
      <c r="AA127" s="492">
        <f t="shared" si="109"/>
        <v>0</v>
      </c>
      <c r="AB127" s="74">
        <f t="shared" si="110"/>
        <v>0</v>
      </c>
      <c r="AC127" s="74">
        <f t="shared" si="111"/>
        <v>0</v>
      </c>
      <c r="AD127" s="492">
        <v>0</v>
      </c>
      <c r="AE127" s="492">
        <v>0</v>
      </c>
      <c r="AF127" s="492">
        <f t="shared" si="112"/>
        <v>0</v>
      </c>
      <c r="AG127" s="492">
        <f t="shared" si="113"/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 t="shared" si="162"/>
        <v>0</v>
      </c>
      <c r="AP127" s="493">
        <f t="shared" si="163"/>
        <v>0</v>
      </c>
      <c r="AQ127" s="495">
        <f t="shared" si="114"/>
        <v>0</v>
      </c>
      <c r="AR127" s="502">
        <f t="shared" si="115"/>
        <v>45361</v>
      </c>
      <c r="AS127" s="492">
        <f t="shared" si="116"/>
        <v>32077</v>
      </c>
      <c r="AT127" s="492">
        <f t="shared" si="164"/>
        <v>0</v>
      </c>
      <c r="AU127" s="492">
        <f t="shared" si="165"/>
        <v>10842</v>
      </c>
      <c r="AV127" s="492">
        <f t="shared" si="165"/>
        <v>642</v>
      </c>
      <c r="AW127" s="492">
        <f t="shared" si="117"/>
        <v>1800</v>
      </c>
      <c r="AX127" s="493">
        <f t="shared" si="118"/>
        <v>0.13</v>
      </c>
      <c r="AY127" s="493">
        <f t="shared" si="166"/>
        <v>0</v>
      </c>
      <c r="AZ127" s="495">
        <f t="shared" si="166"/>
        <v>0.13</v>
      </c>
    </row>
    <row r="128" spans="1:52" s="238" customFormat="1" ht="12.75" customHeight="1" x14ac:dyDescent="0.2">
      <c r="A128" s="164">
        <v>27</v>
      </c>
      <c r="B128" s="15">
        <v>3417</v>
      </c>
      <c r="C128" s="163">
        <v>600078353</v>
      </c>
      <c r="D128" s="163">
        <v>72743352</v>
      </c>
      <c r="E128" s="239" t="s">
        <v>62</v>
      </c>
      <c r="F128" s="15"/>
      <c r="G128" s="239"/>
      <c r="H128" s="277"/>
      <c r="I128" s="496">
        <v>18956770</v>
      </c>
      <c r="J128" s="496">
        <v>13701892</v>
      </c>
      <c r="K128" s="496">
        <v>22750</v>
      </c>
      <c r="L128" s="496">
        <v>4638928</v>
      </c>
      <c r="M128" s="496">
        <v>274038</v>
      </c>
      <c r="N128" s="496">
        <v>319162</v>
      </c>
      <c r="O128" s="456">
        <v>26.7471</v>
      </c>
      <c r="P128" s="456">
        <v>18.802600000000002</v>
      </c>
      <c r="Q128" s="456">
        <v>7.9444999999999997</v>
      </c>
      <c r="R128" s="542">
        <f t="shared" ref="R128:AZ128" si="167">SUM(R123:R127)</f>
        <v>0</v>
      </c>
      <c r="S128" s="496">
        <f t="shared" si="167"/>
        <v>0</v>
      </c>
      <c r="T128" s="496">
        <f t="shared" si="167"/>
        <v>0</v>
      </c>
      <c r="U128" s="496">
        <f t="shared" si="167"/>
        <v>0</v>
      </c>
      <c r="V128" s="496">
        <f t="shared" si="167"/>
        <v>0</v>
      </c>
      <c r="W128" s="496">
        <f t="shared" si="167"/>
        <v>0</v>
      </c>
      <c r="X128" s="496">
        <f t="shared" si="167"/>
        <v>0</v>
      </c>
      <c r="Y128" s="496">
        <f t="shared" si="167"/>
        <v>0</v>
      </c>
      <c r="Z128" s="496">
        <f t="shared" si="167"/>
        <v>0</v>
      </c>
      <c r="AA128" s="496">
        <f t="shared" si="167"/>
        <v>0</v>
      </c>
      <c r="AB128" s="496">
        <f t="shared" si="167"/>
        <v>0</v>
      </c>
      <c r="AC128" s="496">
        <f t="shared" si="167"/>
        <v>0</v>
      </c>
      <c r="AD128" s="496">
        <f t="shared" si="167"/>
        <v>0</v>
      </c>
      <c r="AE128" s="496">
        <f t="shared" si="167"/>
        <v>0</v>
      </c>
      <c r="AF128" s="496">
        <f t="shared" si="167"/>
        <v>0</v>
      </c>
      <c r="AG128" s="496">
        <f t="shared" si="167"/>
        <v>0</v>
      </c>
      <c r="AH128" s="456">
        <f t="shared" si="167"/>
        <v>0</v>
      </c>
      <c r="AI128" s="456">
        <f t="shared" si="167"/>
        <v>0</v>
      </c>
      <c r="AJ128" s="456">
        <f t="shared" si="167"/>
        <v>0</v>
      </c>
      <c r="AK128" s="456">
        <f t="shared" si="167"/>
        <v>0</v>
      </c>
      <c r="AL128" s="456">
        <f t="shared" si="167"/>
        <v>0</v>
      </c>
      <c r="AM128" s="456">
        <f t="shared" si="167"/>
        <v>0</v>
      </c>
      <c r="AN128" s="456">
        <f t="shared" si="167"/>
        <v>0</v>
      </c>
      <c r="AO128" s="456">
        <f t="shared" si="167"/>
        <v>0</v>
      </c>
      <c r="AP128" s="456">
        <f t="shared" si="167"/>
        <v>0</v>
      </c>
      <c r="AQ128" s="543">
        <f t="shared" si="167"/>
        <v>0</v>
      </c>
      <c r="AR128" s="542">
        <f t="shared" si="167"/>
        <v>18956770</v>
      </c>
      <c r="AS128" s="496">
        <f t="shared" si="167"/>
        <v>13701892</v>
      </c>
      <c r="AT128" s="496">
        <f t="shared" si="167"/>
        <v>22750</v>
      </c>
      <c r="AU128" s="496">
        <f t="shared" si="167"/>
        <v>4638928</v>
      </c>
      <c r="AV128" s="496">
        <f t="shared" si="167"/>
        <v>274038</v>
      </c>
      <c r="AW128" s="496">
        <f t="shared" si="167"/>
        <v>319162</v>
      </c>
      <c r="AX128" s="456">
        <f t="shared" si="167"/>
        <v>26.7471</v>
      </c>
      <c r="AY128" s="456">
        <f t="shared" si="167"/>
        <v>18.802600000000002</v>
      </c>
      <c r="AZ128" s="543">
        <f t="shared" si="167"/>
        <v>7.9444999999999997</v>
      </c>
    </row>
    <row r="129" spans="1:52" s="238" customFormat="1" ht="12.75" customHeight="1" x14ac:dyDescent="0.2">
      <c r="A129" s="240">
        <v>28</v>
      </c>
      <c r="B129" s="241">
        <v>3410</v>
      </c>
      <c r="C129" s="241">
        <v>650038550</v>
      </c>
      <c r="D129" s="241">
        <v>72743191</v>
      </c>
      <c r="E129" s="242" t="s">
        <v>63</v>
      </c>
      <c r="F129" s="241">
        <v>3113</v>
      </c>
      <c r="G129" s="242" t="s">
        <v>315</v>
      </c>
      <c r="H129" s="278" t="s">
        <v>278</v>
      </c>
      <c r="I129" s="489">
        <v>26303519</v>
      </c>
      <c r="J129" s="489">
        <v>18814112</v>
      </c>
      <c r="K129" s="489">
        <v>114540</v>
      </c>
      <c r="L129" s="489">
        <v>6397885</v>
      </c>
      <c r="M129" s="489">
        <v>376282</v>
      </c>
      <c r="N129" s="489">
        <v>600700</v>
      </c>
      <c r="O129" s="490">
        <v>34.5184</v>
      </c>
      <c r="P129" s="491">
        <v>26.2258</v>
      </c>
      <c r="Q129" s="500">
        <v>8.2926000000000002</v>
      </c>
      <c r="R129" s="502">
        <f t="shared" si="106"/>
        <v>0</v>
      </c>
      <c r="S129" s="492">
        <v>0</v>
      </c>
      <c r="T129" s="492">
        <v>0</v>
      </c>
      <c r="U129" s="492">
        <v>0</v>
      </c>
      <c r="V129" s="492">
        <f t="shared" si="107"/>
        <v>0</v>
      </c>
      <c r="W129" s="492">
        <v>0</v>
      </c>
      <c r="X129" s="492">
        <v>0</v>
      </c>
      <c r="Y129" s="492">
        <v>0</v>
      </c>
      <c r="Z129" s="492">
        <f t="shared" si="108"/>
        <v>0</v>
      </c>
      <c r="AA129" s="492">
        <f t="shared" si="109"/>
        <v>0</v>
      </c>
      <c r="AB129" s="74">
        <f t="shared" si="110"/>
        <v>0</v>
      </c>
      <c r="AC129" s="74">
        <f t="shared" si="111"/>
        <v>0</v>
      </c>
      <c r="AD129" s="492">
        <v>0</v>
      </c>
      <c r="AE129" s="492">
        <v>0</v>
      </c>
      <c r="AF129" s="492">
        <f t="shared" si="112"/>
        <v>0</v>
      </c>
      <c r="AG129" s="492">
        <f t="shared" si="113"/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 t="shared" ref="AO129:AO133" si="168">AH129+AJ129+AM129+AK129</f>
        <v>0</v>
      </c>
      <c r="AP129" s="493">
        <f t="shared" ref="AP129:AP133" si="169">AI129+AN129+AL129</f>
        <v>0</v>
      </c>
      <c r="AQ129" s="495">
        <f t="shared" si="114"/>
        <v>0</v>
      </c>
      <c r="AR129" s="502">
        <f t="shared" si="115"/>
        <v>26303519</v>
      </c>
      <c r="AS129" s="492">
        <f t="shared" si="116"/>
        <v>18814112</v>
      </c>
      <c r="AT129" s="492">
        <f t="shared" ref="AT129:AT133" si="170">K129+Z129</f>
        <v>114540</v>
      </c>
      <c r="AU129" s="492">
        <f t="shared" ref="AU129:AV133" si="171">L129+AB129</f>
        <v>6397885</v>
      </c>
      <c r="AV129" s="492">
        <f t="shared" si="171"/>
        <v>376282</v>
      </c>
      <c r="AW129" s="492">
        <f t="shared" si="117"/>
        <v>600700</v>
      </c>
      <c r="AX129" s="493">
        <f t="shared" si="118"/>
        <v>34.5184</v>
      </c>
      <c r="AY129" s="493">
        <f t="shared" ref="AY129:AZ133" si="172">P129+AO129</f>
        <v>26.2258</v>
      </c>
      <c r="AZ129" s="495">
        <f t="shared" si="172"/>
        <v>8.2926000000000002</v>
      </c>
    </row>
    <row r="130" spans="1:52" s="238" customFormat="1" x14ac:dyDescent="0.2">
      <c r="A130" s="240">
        <v>28</v>
      </c>
      <c r="B130" s="241">
        <v>3410</v>
      </c>
      <c r="C130" s="241">
        <v>650038550</v>
      </c>
      <c r="D130" s="241">
        <v>72743191</v>
      </c>
      <c r="E130" s="242" t="s">
        <v>63</v>
      </c>
      <c r="F130" s="241">
        <v>3113</v>
      </c>
      <c r="G130" s="242" t="s">
        <v>313</v>
      </c>
      <c r="H130" s="278" t="s">
        <v>279</v>
      </c>
      <c r="I130" s="489">
        <v>1474250</v>
      </c>
      <c r="J130" s="489">
        <v>1085604</v>
      </c>
      <c r="K130" s="489">
        <v>0</v>
      </c>
      <c r="L130" s="489">
        <v>366934</v>
      </c>
      <c r="M130" s="489">
        <v>21712</v>
      </c>
      <c r="N130" s="489">
        <v>0</v>
      </c>
      <c r="O130" s="490">
        <v>3.1</v>
      </c>
      <c r="P130" s="491">
        <v>3.1</v>
      </c>
      <c r="Q130" s="500">
        <v>0</v>
      </c>
      <c r="R130" s="502">
        <f t="shared" si="106"/>
        <v>0</v>
      </c>
      <c r="S130" s="492">
        <v>0</v>
      </c>
      <c r="T130" s="492">
        <v>0</v>
      </c>
      <c r="U130" s="492">
        <v>0</v>
      </c>
      <c r="V130" s="492">
        <f t="shared" si="107"/>
        <v>0</v>
      </c>
      <c r="W130" s="492">
        <v>0</v>
      </c>
      <c r="X130" s="492">
        <v>0</v>
      </c>
      <c r="Y130" s="492">
        <v>0</v>
      </c>
      <c r="Z130" s="492">
        <f t="shared" si="108"/>
        <v>0</v>
      </c>
      <c r="AA130" s="492">
        <f t="shared" si="109"/>
        <v>0</v>
      </c>
      <c r="AB130" s="74">
        <f t="shared" si="110"/>
        <v>0</v>
      </c>
      <c r="AC130" s="74">
        <f t="shared" si="111"/>
        <v>0</v>
      </c>
      <c r="AD130" s="492">
        <v>0</v>
      </c>
      <c r="AE130" s="492">
        <v>0</v>
      </c>
      <c r="AF130" s="492">
        <f t="shared" si="112"/>
        <v>0</v>
      </c>
      <c r="AG130" s="492">
        <f t="shared" si="113"/>
        <v>0</v>
      </c>
      <c r="AH130" s="493">
        <v>0</v>
      </c>
      <c r="AI130" s="493">
        <v>0</v>
      </c>
      <c r="AJ130" s="493">
        <v>0</v>
      </c>
      <c r="AK130" s="493">
        <v>0</v>
      </c>
      <c r="AL130" s="493">
        <v>0</v>
      </c>
      <c r="AM130" s="493">
        <v>0</v>
      </c>
      <c r="AN130" s="493">
        <v>0</v>
      </c>
      <c r="AO130" s="493">
        <f t="shared" si="168"/>
        <v>0</v>
      </c>
      <c r="AP130" s="493">
        <f t="shared" si="169"/>
        <v>0</v>
      </c>
      <c r="AQ130" s="495">
        <f t="shared" si="114"/>
        <v>0</v>
      </c>
      <c r="AR130" s="502">
        <f t="shared" si="115"/>
        <v>1474250</v>
      </c>
      <c r="AS130" s="492">
        <f t="shared" si="116"/>
        <v>1085604</v>
      </c>
      <c r="AT130" s="492">
        <f t="shared" si="170"/>
        <v>0</v>
      </c>
      <c r="AU130" s="492">
        <f t="shared" si="171"/>
        <v>366934</v>
      </c>
      <c r="AV130" s="492">
        <f t="shared" si="171"/>
        <v>21712</v>
      </c>
      <c r="AW130" s="492">
        <f t="shared" si="117"/>
        <v>0</v>
      </c>
      <c r="AX130" s="493">
        <f t="shared" si="118"/>
        <v>3.1</v>
      </c>
      <c r="AY130" s="493">
        <f t="shared" si="172"/>
        <v>3.1</v>
      </c>
      <c r="AZ130" s="495">
        <f t="shared" si="172"/>
        <v>0</v>
      </c>
    </row>
    <row r="131" spans="1:52" s="238" customFormat="1" ht="12.75" customHeight="1" x14ac:dyDescent="0.2">
      <c r="A131" s="240">
        <v>28</v>
      </c>
      <c r="B131" s="241">
        <v>3410</v>
      </c>
      <c r="C131" s="241">
        <v>650038550</v>
      </c>
      <c r="D131" s="241">
        <v>72743191</v>
      </c>
      <c r="E131" s="242" t="s">
        <v>63</v>
      </c>
      <c r="F131" s="241">
        <v>3141</v>
      </c>
      <c r="G131" s="242" t="s">
        <v>316</v>
      </c>
      <c r="H131" s="278" t="s">
        <v>279</v>
      </c>
      <c r="I131" s="489">
        <v>2730812</v>
      </c>
      <c r="J131" s="489">
        <v>1995745</v>
      </c>
      <c r="K131" s="489">
        <v>0</v>
      </c>
      <c r="L131" s="489">
        <v>674562</v>
      </c>
      <c r="M131" s="489">
        <v>39915</v>
      </c>
      <c r="N131" s="489">
        <v>20590</v>
      </c>
      <c r="O131" s="490">
        <v>6.29</v>
      </c>
      <c r="P131" s="491">
        <v>0</v>
      </c>
      <c r="Q131" s="500">
        <v>6.29</v>
      </c>
      <c r="R131" s="502">
        <f t="shared" si="106"/>
        <v>0</v>
      </c>
      <c r="S131" s="492">
        <v>0</v>
      </c>
      <c r="T131" s="492">
        <v>0</v>
      </c>
      <c r="U131" s="492">
        <v>0</v>
      </c>
      <c r="V131" s="492">
        <f t="shared" si="107"/>
        <v>0</v>
      </c>
      <c r="W131" s="492">
        <v>0</v>
      </c>
      <c r="X131" s="492">
        <v>0</v>
      </c>
      <c r="Y131" s="492">
        <v>0</v>
      </c>
      <c r="Z131" s="492">
        <f t="shared" si="108"/>
        <v>0</v>
      </c>
      <c r="AA131" s="492">
        <f t="shared" si="109"/>
        <v>0</v>
      </c>
      <c r="AB131" s="74">
        <f t="shared" si="110"/>
        <v>0</v>
      </c>
      <c r="AC131" s="74">
        <f t="shared" si="111"/>
        <v>0</v>
      </c>
      <c r="AD131" s="492">
        <v>0</v>
      </c>
      <c r="AE131" s="492">
        <v>0</v>
      </c>
      <c r="AF131" s="492">
        <f t="shared" si="112"/>
        <v>0</v>
      </c>
      <c r="AG131" s="492">
        <f t="shared" si="113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 t="shared" si="168"/>
        <v>0</v>
      </c>
      <c r="AP131" s="493">
        <f t="shared" si="169"/>
        <v>0</v>
      </c>
      <c r="AQ131" s="495">
        <f t="shared" si="114"/>
        <v>0</v>
      </c>
      <c r="AR131" s="502">
        <f t="shared" si="115"/>
        <v>2730812</v>
      </c>
      <c r="AS131" s="492">
        <f t="shared" si="116"/>
        <v>1995745</v>
      </c>
      <c r="AT131" s="492">
        <f t="shared" si="170"/>
        <v>0</v>
      </c>
      <c r="AU131" s="492">
        <f t="shared" si="171"/>
        <v>674562</v>
      </c>
      <c r="AV131" s="492">
        <f t="shared" si="171"/>
        <v>39915</v>
      </c>
      <c r="AW131" s="492">
        <f t="shared" si="117"/>
        <v>20590</v>
      </c>
      <c r="AX131" s="493">
        <f t="shared" si="118"/>
        <v>6.29</v>
      </c>
      <c r="AY131" s="493">
        <f t="shared" si="172"/>
        <v>0</v>
      </c>
      <c r="AZ131" s="495">
        <f t="shared" si="172"/>
        <v>6.29</v>
      </c>
    </row>
    <row r="132" spans="1:52" s="238" customFormat="1" ht="12.75" customHeight="1" x14ac:dyDescent="0.2">
      <c r="A132" s="240">
        <v>28</v>
      </c>
      <c r="B132" s="241">
        <v>3410</v>
      </c>
      <c r="C132" s="241">
        <v>650038550</v>
      </c>
      <c r="D132" s="241">
        <v>72743191</v>
      </c>
      <c r="E132" s="242" t="s">
        <v>63</v>
      </c>
      <c r="F132" s="241">
        <v>3143</v>
      </c>
      <c r="G132" s="242" t="s">
        <v>629</v>
      </c>
      <c r="H132" s="278" t="s">
        <v>278</v>
      </c>
      <c r="I132" s="489">
        <v>2318103</v>
      </c>
      <c r="J132" s="489">
        <v>1706998</v>
      </c>
      <c r="K132" s="489">
        <v>0</v>
      </c>
      <c r="L132" s="489">
        <v>576965</v>
      </c>
      <c r="M132" s="489">
        <v>34140</v>
      </c>
      <c r="N132" s="489">
        <v>0</v>
      </c>
      <c r="O132" s="490">
        <v>3.2616999999999998</v>
      </c>
      <c r="P132" s="491">
        <v>3.2616999999999998</v>
      </c>
      <c r="Q132" s="500">
        <v>0</v>
      </c>
      <c r="R132" s="502">
        <f t="shared" si="106"/>
        <v>0</v>
      </c>
      <c r="S132" s="492">
        <v>0</v>
      </c>
      <c r="T132" s="492">
        <v>0</v>
      </c>
      <c r="U132" s="492">
        <v>0</v>
      </c>
      <c r="V132" s="492">
        <f t="shared" si="107"/>
        <v>0</v>
      </c>
      <c r="W132" s="492">
        <v>0</v>
      </c>
      <c r="X132" s="492">
        <v>0</v>
      </c>
      <c r="Y132" s="492">
        <v>0</v>
      </c>
      <c r="Z132" s="492">
        <f t="shared" si="108"/>
        <v>0</v>
      </c>
      <c r="AA132" s="492">
        <f t="shared" si="109"/>
        <v>0</v>
      </c>
      <c r="AB132" s="74">
        <f t="shared" si="110"/>
        <v>0</v>
      </c>
      <c r="AC132" s="74">
        <f t="shared" si="111"/>
        <v>0</v>
      </c>
      <c r="AD132" s="492">
        <v>0</v>
      </c>
      <c r="AE132" s="492">
        <v>0</v>
      </c>
      <c r="AF132" s="492">
        <f t="shared" si="112"/>
        <v>0</v>
      </c>
      <c r="AG132" s="492">
        <f t="shared" si="113"/>
        <v>0</v>
      </c>
      <c r="AH132" s="493">
        <v>0</v>
      </c>
      <c r="AI132" s="493">
        <v>0</v>
      </c>
      <c r="AJ132" s="493">
        <v>0</v>
      </c>
      <c r="AK132" s="493">
        <v>0</v>
      </c>
      <c r="AL132" s="493">
        <v>0</v>
      </c>
      <c r="AM132" s="493">
        <v>0</v>
      </c>
      <c r="AN132" s="493">
        <v>0</v>
      </c>
      <c r="AO132" s="493">
        <f t="shared" si="168"/>
        <v>0</v>
      </c>
      <c r="AP132" s="493">
        <f t="shared" si="169"/>
        <v>0</v>
      </c>
      <c r="AQ132" s="495">
        <f t="shared" si="114"/>
        <v>0</v>
      </c>
      <c r="AR132" s="502">
        <f t="shared" si="115"/>
        <v>2318103</v>
      </c>
      <c r="AS132" s="492">
        <f t="shared" si="116"/>
        <v>1706998</v>
      </c>
      <c r="AT132" s="492">
        <f t="shared" si="170"/>
        <v>0</v>
      </c>
      <c r="AU132" s="492">
        <f t="shared" si="171"/>
        <v>576965</v>
      </c>
      <c r="AV132" s="492">
        <f t="shared" si="171"/>
        <v>34140</v>
      </c>
      <c r="AW132" s="492">
        <f t="shared" si="117"/>
        <v>0</v>
      </c>
      <c r="AX132" s="493">
        <f t="shared" si="118"/>
        <v>3.2616999999999998</v>
      </c>
      <c r="AY132" s="493">
        <f t="shared" si="172"/>
        <v>3.2616999999999998</v>
      </c>
      <c r="AZ132" s="495">
        <f t="shared" si="172"/>
        <v>0</v>
      </c>
    </row>
    <row r="133" spans="1:52" s="238" customFormat="1" ht="12.75" customHeight="1" x14ac:dyDescent="0.2">
      <c r="A133" s="240">
        <v>28</v>
      </c>
      <c r="B133" s="241">
        <v>3410</v>
      </c>
      <c r="C133" s="241">
        <v>650038550</v>
      </c>
      <c r="D133" s="241">
        <v>72743191</v>
      </c>
      <c r="E133" s="242" t="s">
        <v>63</v>
      </c>
      <c r="F133" s="241">
        <v>3143</v>
      </c>
      <c r="G133" s="242" t="s">
        <v>630</v>
      </c>
      <c r="H133" s="278" t="s">
        <v>279</v>
      </c>
      <c r="I133" s="489">
        <v>90721</v>
      </c>
      <c r="J133" s="489">
        <v>64154</v>
      </c>
      <c r="K133" s="489">
        <v>0</v>
      </c>
      <c r="L133" s="489">
        <v>21684</v>
      </c>
      <c r="M133" s="489">
        <v>1283</v>
      </c>
      <c r="N133" s="489">
        <v>3600</v>
      </c>
      <c r="O133" s="490">
        <v>0.26</v>
      </c>
      <c r="P133" s="491">
        <v>0</v>
      </c>
      <c r="Q133" s="500">
        <v>0.26</v>
      </c>
      <c r="R133" s="502">
        <f t="shared" si="106"/>
        <v>0</v>
      </c>
      <c r="S133" s="492">
        <v>0</v>
      </c>
      <c r="T133" s="492">
        <v>0</v>
      </c>
      <c r="U133" s="492">
        <v>0</v>
      </c>
      <c r="V133" s="492">
        <f t="shared" si="107"/>
        <v>0</v>
      </c>
      <c r="W133" s="492">
        <v>0</v>
      </c>
      <c r="X133" s="492">
        <v>0</v>
      </c>
      <c r="Y133" s="492">
        <v>0</v>
      </c>
      <c r="Z133" s="492">
        <f t="shared" si="108"/>
        <v>0</v>
      </c>
      <c r="AA133" s="492">
        <f t="shared" si="109"/>
        <v>0</v>
      </c>
      <c r="AB133" s="74">
        <f t="shared" si="110"/>
        <v>0</v>
      </c>
      <c r="AC133" s="74">
        <f t="shared" si="111"/>
        <v>0</v>
      </c>
      <c r="AD133" s="492">
        <v>0</v>
      </c>
      <c r="AE133" s="492">
        <v>0</v>
      </c>
      <c r="AF133" s="492">
        <f t="shared" si="112"/>
        <v>0</v>
      </c>
      <c r="AG133" s="492">
        <f t="shared" si="113"/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 t="shared" si="168"/>
        <v>0</v>
      </c>
      <c r="AP133" s="493">
        <f t="shared" si="169"/>
        <v>0</v>
      </c>
      <c r="AQ133" s="495">
        <f t="shared" si="114"/>
        <v>0</v>
      </c>
      <c r="AR133" s="502">
        <f t="shared" si="115"/>
        <v>90721</v>
      </c>
      <c r="AS133" s="492">
        <f t="shared" si="116"/>
        <v>64154</v>
      </c>
      <c r="AT133" s="492">
        <f t="shared" si="170"/>
        <v>0</v>
      </c>
      <c r="AU133" s="492">
        <f t="shared" si="171"/>
        <v>21684</v>
      </c>
      <c r="AV133" s="492">
        <f t="shared" si="171"/>
        <v>1283</v>
      </c>
      <c r="AW133" s="492">
        <f t="shared" si="117"/>
        <v>3600</v>
      </c>
      <c r="AX133" s="493">
        <f t="shared" si="118"/>
        <v>0.26</v>
      </c>
      <c r="AY133" s="493">
        <f t="shared" si="172"/>
        <v>0</v>
      </c>
      <c r="AZ133" s="495">
        <f t="shared" si="172"/>
        <v>0.26</v>
      </c>
    </row>
    <row r="134" spans="1:52" s="238" customFormat="1" ht="12.75" customHeight="1" x14ac:dyDescent="0.2">
      <c r="A134" s="164">
        <v>28</v>
      </c>
      <c r="B134" s="15">
        <v>3410</v>
      </c>
      <c r="C134" s="163">
        <v>650038550</v>
      </c>
      <c r="D134" s="163">
        <v>72743191</v>
      </c>
      <c r="E134" s="239" t="s">
        <v>64</v>
      </c>
      <c r="F134" s="15"/>
      <c r="G134" s="239"/>
      <c r="H134" s="277"/>
      <c r="I134" s="496">
        <v>32917405</v>
      </c>
      <c r="J134" s="496">
        <v>23666613</v>
      </c>
      <c r="K134" s="496">
        <v>114540</v>
      </c>
      <c r="L134" s="496">
        <v>8038030</v>
      </c>
      <c r="M134" s="496">
        <v>473332</v>
      </c>
      <c r="N134" s="496">
        <v>624890</v>
      </c>
      <c r="O134" s="456">
        <v>47.430099999999996</v>
      </c>
      <c r="P134" s="456">
        <v>32.587499999999999</v>
      </c>
      <c r="Q134" s="456">
        <v>14.842599999999999</v>
      </c>
      <c r="R134" s="542">
        <f t="shared" ref="R134:AZ134" si="173">SUM(R129:R133)</f>
        <v>0</v>
      </c>
      <c r="S134" s="496">
        <f t="shared" si="173"/>
        <v>0</v>
      </c>
      <c r="T134" s="496">
        <f t="shared" si="173"/>
        <v>0</v>
      </c>
      <c r="U134" s="496">
        <f t="shared" si="173"/>
        <v>0</v>
      </c>
      <c r="V134" s="496">
        <f t="shared" si="173"/>
        <v>0</v>
      </c>
      <c r="W134" s="496">
        <f t="shared" si="173"/>
        <v>0</v>
      </c>
      <c r="X134" s="496">
        <f t="shared" si="173"/>
        <v>0</v>
      </c>
      <c r="Y134" s="496">
        <f t="shared" si="173"/>
        <v>0</v>
      </c>
      <c r="Z134" s="496">
        <f t="shared" si="173"/>
        <v>0</v>
      </c>
      <c r="AA134" s="496">
        <f t="shared" si="173"/>
        <v>0</v>
      </c>
      <c r="AB134" s="496">
        <f t="shared" si="173"/>
        <v>0</v>
      </c>
      <c r="AC134" s="496">
        <f t="shared" si="173"/>
        <v>0</v>
      </c>
      <c r="AD134" s="496">
        <f t="shared" si="173"/>
        <v>0</v>
      </c>
      <c r="AE134" s="496">
        <f t="shared" si="173"/>
        <v>0</v>
      </c>
      <c r="AF134" s="496">
        <f t="shared" si="173"/>
        <v>0</v>
      </c>
      <c r="AG134" s="496">
        <f t="shared" si="173"/>
        <v>0</v>
      </c>
      <c r="AH134" s="456">
        <f t="shared" si="173"/>
        <v>0</v>
      </c>
      <c r="AI134" s="456">
        <f t="shared" si="173"/>
        <v>0</v>
      </c>
      <c r="AJ134" s="456">
        <f t="shared" si="173"/>
        <v>0</v>
      </c>
      <c r="AK134" s="456">
        <f t="shared" si="173"/>
        <v>0</v>
      </c>
      <c r="AL134" s="456">
        <f t="shared" si="173"/>
        <v>0</v>
      </c>
      <c r="AM134" s="456">
        <f t="shared" si="173"/>
        <v>0</v>
      </c>
      <c r="AN134" s="456">
        <f t="shared" si="173"/>
        <v>0</v>
      </c>
      <c r="AO134" s="456">
        <f t="shared" si="173"/>
        <v>0</v>
      </c>
      <c r="AP134" s="456">
        <f t="shared" si="173"/>
        <v>0</v>
      </c>
      <c r="AQ134" s="543">
        <f t="shared" si="173"/>
        <v>0</v>
      </c>
      <c r="AR134" s="542">
        <f t="shared" si="173"/>
        <v>32917405</v>
      </c>
      <c r="AS134" s="496">
        <f t="shared" si="173"/>
        <v>23666613</v>
      </c>
      <c r="AT134" s="496">
        <f t="shared" si="173"/>
        <v>114540</v>
      </c>
      <c r="AU134" s="496">
        <f t="shared" si="173"/>
        <v>8038030</v>
      </c>
      <c r="AV134" s="496">
        <f t="shared" si="173"/>
        <v>473332</v>
      </c>
      <c r="AW134" s="496">
        <f t="shared" si="173"/>
        <v>624890</v>
      </c>
      <c r="AX134" s="456">
        <f t="shared" si="173"/>
        <v>47.430099999999996</v>
      </c>
      <c r="AY134" s="456">
        <f t="shared" si="173"/>
        <v>32.587499999999999</v>
      </c>
      <c r="AZ134" s="543">
        <f t="shared" si="173"/>
        <v>14.842599999999999</v>
      </c>
    </row>
    <row r="135" spans="1:52" s="238" customFormat="1" ht="12.75" customHeight="1" x14ac:dyDescent="0.2">
      <c r="A135" s="240">
        <v>29</v>
      </c>
      <c r="B135" s="241">
        <v>3455</v>
      </c>
      <c r="C135" s="241">
        <v>651040515</v>
      </c>
      <c r="D135" s="241">
        <v>75122308</v>
      </c>
      <c r="E135" s="242" t="s">
        <v>65</v>
      </c>
      <c r="F135" s="241">
        <v>3231</v>
      </c>
      <c r="G135" s="242" t="s">
        <v>317</v>
      </c>
      <c r="H135" s="278" t="s">
        <v>278</v>
      </c>
      <c r="I135" s="489">
        <v>30841435</v>
      </c>
      <c r="J135" s="489">
        <v>22476863</v>
      </c>
      <c r="K135" s="489">
        <v>162500</v>
      </c>
      <c r="L135" s="489">
        <v>7652105</v>
      </c>
      <c r="M135" s="489">
        <v>449537</v>
      </c>
      <c r="N135" s="489">
        <v>100430</v>
      </c>
      <c r="O135" s="490">
        <v>41.966300000000004</v>
      </c>
      <c r="P135" s="491">
        <v>37.228200000000001</v>
      </c>
      <c r="Q135" s="500">
        <v>4.7381000000000002</v>
      </c>
      <c r="R135" s="502">
        <f t="shared" si="106"/>
        <v>0</v>
      </c>
      <c r="S135" s="492">
        <v>0</v>
      </c>
      <c r="T135" s="492">
        <v>0</v>
      </c>
      <c r="U135" s="492">
        <v>0</v>
      </c>
      <c r="V135" s="492">
        <f t="shared" si="107"/>
        <v>0</v>
      </c>
      <c r="W135" s="492">
        <v>0</v>
      </c>
      <c r="X135" s="492">
        <v>0</v>
      </c>
      <c r="Y135" s="492">
        <v>0</v>
      </c>
      <c r="Z135" s="492">
        <f t="shared" si="108"/>
        <v>0</v>
      </c>
      <c r="AA135" s="492">
        <f t="shared" si="109"/>
        <v>0</v>
      </c>
      <c r="AB135" s="74">
        <f t="shared" si="110"/>
        <v>0</v>
      </c>
      <c r="AC135" s="74">
        <f t="shared" si="111"/>
        <v>0</v>
      </c>
      <c r="AD135" s="492">
        <v>0</v>
      </c>
      <c r="AE135" s="492">
        <v>0</v>
      </c>
      <c r="AF135" s="492">
        <f t="shared" si="112"/>
        <v>0</v>
      </c>
      <c r="AG135" s="492">
        <f t="shared" si="113"/>
        <v>0</v>
      </c>
      <c r="AH135" s="493">
        <v>0</v>
      </c>
      <c r="AI135" s="493">
        <v>0</v>
      </c>
      <c r="AJ135" s="493">
        <v>0</v>
      </c>
      <c r="AK135" s="493">
        <v>0</v>
      </c>
      <c r="AL135" s="493">
        <v>0</v>
      </c>
      <c r="AM135" s="493">
        <v>0</v>
      </c>
      <c r="AN135" s="493">
        <v>0</v>
      </c>
      <c r="AO135" s="493">
        <f>AH135+AJ135+AM135+AK135</f>
        <v>0</v>
      </c>
      <c r="AP135" s="493">
        <f>AI135+AN135+AL135</f>
        <v>0</v>
      </c>
      <c r="AQ135" s="495">
        <f t="shared" si="114"/>
        <v>0</v>
      </c>
      <c r="AR135" s="502">
        <f t="shared" si="115"/>
        <v>30841435</v>
      </c>
      <c r="AS135" s="492">
        <f t="shared" si="116"/>
        <v>22476863</v>
      </c>
      <c r="AT135" s="492">
        <f>K135+Z135</f>
        <v>162500</v>
      </c>
      <c r="AU135" s="492">
        <f>L135+AB135</f>
        <v>7652105</v>
      </c>
      <c r="AV135" s="492">
        <f>M135+AC135</f>
        <v>449537</v>
      </c>
      <c r="AW135" s="492">
        <f t="shared" si="117"/>
        <v>100430</v>
      </c>
      <c r="AX135" s="493">
        <f t="shared" si="118"/>
        <v>41.966300000000004</v>
      </c>
      <c r="AY135" s="493">
        <f>P135+AO135</f>
        <v>37.228200000000001</v>
      </c>
      <c r="AZ135" s="495">
        <f>Q135+AP135</f>
        <v>4.7381000000000002</v>
      </c>
    </row>
    <row r="136" spans="1:52" s="238" customFormat="1" ht="12.75" customHeight="1" x14ac:dyDescent="0.2">
      <c r="A136" s="164">
        <v>29</v>
      </c>
      <c r="B136" s="15">
        <v>3455</v>
      </c>
      <c r="C136" s="163">
        <v>651040515</v>
      </c>
      <c r="D136" s="163">
        <v>75122308</v>
      </c>
      <c r="E136" s="239" t="s">
        <v>66</v>
      </c>
      <c r="F136" s="15"/>
      <c r="G136" s="239"/>
      <c r="H136" s="277"/>
      <c r="I136" s="496">
        <v>30841435</v>
      </c>
      <c r="J136" s="496">
        <v>22476863</v>
      </c>
      <c r="K136" s="496">
        <v>162500</v>
      </c>
      <c r="L136" s="496">
        <v>7652105</v>
      </c>
      <c r="M136" s="496">
        <v>449537</v>
      </c>
      <c r="N136" s="496">
        <v>100430</v>
      </c>
      <c r="O136" s="456">
        <v>41.966300000000004</v>
      </c>
      <c r="P136" s="456">
        <v>37.228200000000001</v>
      </c>
      <c r="Q136" s="456">
        <v>4.7381000000000002</v>
      </c>
      <c r="R136" s="542">
        <f t="shared" ref="R136:AZ136" si="174">SUM(R135)</f>
        <v>0</v>
      </c>
      <c r="S136" s="496">
        <f t="shared" si="174"/>
        <v>0</v>
      </c>
      <c r="T136" s="496">
        <f t="shared" si="174"/>
        <v>0</v>
      </c>
      <c r="U136" s="496">
        <f t="shared" si="174"/>
        <v>0</v>
      </c>
      <c r="V136" s="496">
        <f t="shared" si="174"/>
        <v>0</v>
      </c>
      <c r="W136" s="496">
        <f t="shared" si="174"/>
        <v>0</v>
      </c>
      <c r="X136" s="496">
        <f t="shared" si="174"/>
        <v>0</v>
      </c>
      <c r="Y136" s="496">
        <f t="shared" si="174"/>
        <v>0</v>
      </c>
      <c r="Z136" s="496">
        <f t="shared" si="174"/>
        <v>0</v>
      </c>
      <c r="AA136" s="496">
        <f t="shared" si="174"/>
        <v>0</v>
      </c>
      <c r="AB136" s="496">
        <f t="shared" si="174"/>
        <v>0</v>
      </c>
      <c r="AC136" s="496">
        <f t="shared" si="174"/>
        <v>0</v>
      </c>
      <c r="AD136" s="496">
        <f t="shared" si="174"/>
        <v>0</v>
      </c>
      <c r="AE136" s="496">
        <f t="shared" si="174"/>
        <v>0</v>
      </c>
      <c r="AF136" s="496">
        <f t="shared" si="174"/>
        <v>0</v>
      </c>
      <c r="AG136" s="496">
        <f t="shared" si="174"/>
        <v>0</v>
      </c>
      <c r="AH136" s="456">
        <f t="shared" si="174"/>
        <v>0</v>
      </c>
      <c r="AI136" s="456">
        <f t="shared" si="174"/>
        <v>0</v>
      </c>
      <c r="AJ136" s="456">
        <f t="shared" si="174"/>
        <v>0</v>
      </c>
      <c r="AK136" s="456">
        <f t="shared" si="174"/>
        <v>0</v>
      </c>
      <c r="AL136" s="456">
        <f t="shared" si="174"/>
        <v>0</v>
      </c>
      <c r="AM136" s="456">
        <f t="shared" si="174"/>
        <v>0</v>
      </c>
      <c r="AN136" s="456">
        <f t="shared" si="174"/>
        <v>0</v>
      </c>
      <c r="AO136" s="456">
        <f t="shared" si="174"/>
        <v>0</v>
      </c>
      <c r="AP136" s="456">
        <f t="shared" si="174"/>
        <v>0</v>
      </c>
      <c r="AQ136" s="543">
        <f t="shared" si="174"/>
        <v>0</v>
      </c>
      <c r="AR136" s="542">
        <f t="shared" si="174"/>
        <v>30841435</v>
      </c>
      <c r="AS136" s="496">
        <f t="shared" si="174"/>
        <v>22476863</v>
      </c>
      <c r="AT136" s="496">
        <f t="shared" si="174"/>
        <v>162500</v>
      </c>
      <c r="AU136" s="496">
        <f t="shared" si="174"/>
        <v>7652105</v>
      </c>
      <c r="AV136" s="496">
        <f t="shared" si="174"/>
        <v>449537</v>
      </c>
      <c r="AW136" s="496">
        <f t="shared" si="174"/>
        <v>100430</v>
      </c>
      <c r="AX136" s="456">
        <f t="shared" si="174"/>
        <v>41.966300000000004</v>
      </c>
      <c r="AY136" s="456">
        <f t="shared" si="174"/>
        <v>37.228200000000001</v>
      </c>
      <c r="AZ136" s="543">
        <f t="shared" si="174"/>
        <v>4.7381000000000002</v>
      </c>
    </row>
    <row r="137" spans="1:52" s="238" customFormat="1" ht="12.75" customHeight="1" x14ac:dyDescent="0.2">
      <c r="A137" s="240">
        <v>30</v>
      </c>
      <c r="B137" s="241">
        <v>3419</v>
      </c>
      <c r="C137" s="241">
        <v>600078434</v>
      </c>
      <c r="D137" s="241">
        <v>72742658</v>
      </c>
      <c r="E137" s="242" t="s">
        <v>67</v>
      </c>
      <c r="F137" s="241">
        <v>3111</v>
      </c>
      <c r="G137" s="242" t="s">
        <v>312</v>
      </c>
      <c r="H137" s="278" t="s">
        <v>278</v>
      </c>
      <c r="I137" s="489">
        <v>3070972</v>
      </c>
      <c r="J137" s="489">
        <v>2239095</v>
      </c>
      <c r="K137" s="489">
        <v>6825</v>
      </c>
      <c r="L137" s="489">
        <v>759121</v>
      </c>
      <c r="M137" s="489">
        <v>44781</v>
      </c>
      <c r="N137" s="489">
        <v>21150</v>
      </c>
      <c r="O137" s="490">
        <v>4.8617999999999997</v>
      </c>
      <c r="P137" s="491">
        <v>3.87</v>
      </c>
      <c r="Q137" s="500">
        <v>0.99180000000000001</v>
      </c>
      <c r="R137" s="502">
        <f t="shared" si="106"/>
        <v>0</v>
      </c>
      <c r="S137" s="492">
        <v>0</v>
      </c>
      <c r="T137" s="492">
        <v>0</v>
      </c>
      <c r="U137" s="492">
        <v>0</v>
      </c>
      <c r="V137" s="492">
        <f t="shared" si="107"/>
        <v>0</v>
      </c>
      <c r="W137" s="492">
        <v>0</v>
      </c>
      <c r="X137" s="492">
        <v>0</v>
      </c>
      <c r="Y137" s="492">
        <v>0</v>
      </c>
      <c r="Z137" s="492">
        <f t="shared" si="108"/>
        <v>0</v>
      </c>
      <c r="AA137" s="492">
        <f t="shared" si="109"/>
        <v>0</v>
      </c>
      <c r="AB137" s="74">
        <f t="shared" si="110"/>
        <v>0</v>
      </c>
      <c r="AC137" s="74">
        <f t="shared" si="111"/>
        <v>0</v>
      </c>
      <c r="AD137" s="492">
        <v>0</v>
      </c>
      <c r="AE137" s="492">
        <v>0</v>
      </c>
      <c r="AF137" s="492">
        <f t="shared" si="112"/>
        <v>0</v>
      </c>
      <c r="AG137" s="492">
        <f t="shared" si="113"/>
        <v>0</v>
      </c>
      <c r="AH137" s="493">
        <v>0</v>
      </c>
      <c r="AI137" s="493">
        <v>0</v>
      </c>
      <c r="AJ137" s="493">
        <v>0</v>
      </c>
      <c r="AK137" s="493">
        <v>0</v>
      </c>
      <c r="AL137" s="493">
        <v>0</v>
      </c>
      <c r="AM137" s="493">
        <v>0</v>
      </c>
      <c r="AN137" s="493">
        <v>0</v>
      </c>
      <c r="AO137" s="493">
        <f t="shared" ref="AO137:AO143" si="175">AH137+AJ137+AM137+AK137</f>
        <v>0</v>
      </c>
      <c r="AP137" s="493">
        <f t="shared" ref="AP137:AP143" si="176">AI137+AN137+AL137</f>
        <v>0</v>
      </c>
      <c r="AQ137" s="495">
        <f t="shared" si="114"/>
        <v>0</v>
      </c>
      <c r="AR137" s="502">
        <f t="shared" si="115"/>
        <v>3070972</v>
      </c>
      <c r="AS137" s="492">
        <f t="shared" si="116"/>
        <v>2239095</v>
      </c>
      <c r="AT137" s="492">
        <f t="shared" ref="AT137:AT143" si="177">K137+Z137</f>
        <v>6825</v>
      </c>
      <c r="AU137" s="492">
        <f t="shared" ref="AU137:AV143" si="178">L137+AB137</f>
        <v>759121</v>
      </c>
      <c r="AV137" s="492">
        <f t="shared" si="178"/>
        <v>44781</v>
      </c>
      <c r="AW137" s="492">
        <f t="shared" si="117"/>
        <v>21150</v>
      </c>
      <c r="AX137" s="493">
        <f t="shared" si="118"/>
        <v>4.8617999999999997</v>
      </c>
      <c r="AY137" s="493">
        <f t="shared" ref="AY137:AZ143" si="179">P137+AO137</f>
        <v>3.87</v>
      </c>
      <c r="AZ137" s="495">
        <f t="shared" si="179"/>
        <v>0.99180000000000001</v>
      </c>
    </row>
    <row r="138" spans="1:52" s="238" customFormat="1" ht="12.75" customHeight="1" x14ac:dyDescent="0.2">
      <c r="A138" s="240">
        <v>30</v>
      </c>
      <c r="B138" s="241">
        <v>3419</v>
      </c>
      <c r="C138" s="241">
        <v>600078434</v>
      </c>
      <c r="D138" s="241">
        <v>72742658</v>
      </c>
      <c r="E138" s="242" t="s">
        <v>67</v>
      </c>
      <c r="F138" s="241">
        <v>3113</v>
      </c>
      <c r="G138" s="242" t="s">
        <v>315</v>
      </c>
      <c r="H138" s="278" t="s">
        <v>278</v>
      </c>
      <c r="I138" s="489">
        <v>13012534</v>
      </c>
      <c r="J138" s="489">
        <v>9342519</v>
      </c>
      <c r="K138" s="489">
        <v>54665</v>
      </c>
      <c r="L138" s="489">
        <v>3176248</v>
      </c>
      <c r="M138" s="489">
        <v>186852</v>
      </c>
      <c r="N138" s="489">
        <v>252250</v>
      </c>
      <c r="O138" s="490">
        <v>17.527700000000003</v>
      </c>
      <c r="P138" s="491">
        <v>12.577500000000001</v>
      </c>
      <c r="Q138" s="500">
        <v>4.9501999999999997</v>
      </c>
      <c r="R138" s="502">
        <f t="shared" si="106"/>
        <v>0</v>
      </c>
      <c r="S138" s="492">
        <v>0</v>
      </c>
      <c r="T138" s="492">
        <v>0</v>
      </c>
      <c r="U138" s="492">
        <v>0</v>
      </c>
      <c r="V138" s="492">
        <f t="shared" si="107"/>
        <v>0</v>
      </c>
      <c r="W138" s="492">
        <v>0</v>
      </c>
      <c r="X138" s="492">
        <v>0</v>
      </c>
      <c r="Y138" s="492">
        <v>0</v>
      </c>
      <c r="Z138" s="492">
        <f t="shared" si="108"/>
        <v>0</v>
      </c>
      <c r="AA138" s="492">
        <f t="shared" si="109"/>
        <v>0</v>
      </c>
      <c r="AB138" s="74">
        <f t="shared" si="110"/>
        <v>0</v>
      </c>
      <c r="AC138" s="74">
        <f t="shared" si="111"/>
        <v>0</v>
      </c>
      <c r="AD138" s="492">
        <v>0</v>
      </c>
      <c r="AE138" s="492">
        <v>0</v>
      </c>
      <c r="AF138" s="492">
        <f t="shared" si="112"/>
        <v>0</v>
      </c>
      <c r="AG138" s="492">
        <f t="shared" si="113"/>
        <v>0</v>
      </c>
      <c r="AH138" s="493">
        <v>0</v>
      </c>
      <c r="AI138" s="493">
        <v>0</v>
      </c>
      <c r="AJ138" s="493">
        <v>0</v>
      </c>
      <c r="AK138" s="493">
        <v>0</v>
      </c>
      <c r="AL138" s="493">
        <v>0</v>
      </c>
      <c r="AM138" s="493">
        <v>0</v>
      </c>
      <c r="AN138" s="493">
        <v>0</v>
      </c>
      <c r="AO138" s="493">
        <f t="shared" si="175"/>
        <v>0</v>
      </c>
      <c r="AP138" s="493">
        <f t="shared" si="176"/>
        <v>0</v>
      </c>
      <c r="AQ138" s="495">
        <f t="shared" si="114"/>
        <v>0</v>
      </c>
      <c r="AR138" s="502">
        <f t="shared" si="115"/>
        <v>13012534</v>
      </c>
      <c r="AS138" s="492">
        <f t="shared" si="116"/>
        <v>9342519</v>
      </c>
      <c r="AT138" s="492">
        <f t="shared" si="177"/>
        <v>54665</v>
      </c>
      <c r="AU138" s="492">
        <f t="shared" si="178"/>
        <v>3176248</v>
      </c>
      <c r="AV138" s="492">
        <f t="shared" si="178"/>
        <v>186852</v>
      </c>
      <c r="AW138" s="492">
        <f t="shared" si="117"/>
        <v>252250</v>
      </c>
      <c r="AX138" s="493">
        <f t="shared" si="118"/>
        <v>17.527700000000003</v>
      </c>
      <c r="AY138" s="493">
        <f t="shared" si="179"/>
        <v>12.577500000000001</v>
      </c>
      <c r="AZ138" s="495">
        <f t="shared" si="179"/>
        <v>4.9501999999999997</v>
      </c>
    </row>
    <row r="139" spans="1:52" s="238" customFormat="1" x14ac:dyDescent="0.2">
      <c r="A139" s="240">
        <v>30</v>
      </c>
      <c r="B139" s="241">
        <v>3419</v>
      </c>
      <c r="C139" s="241">
        <v>600078434</v>
      </c>
      <c r="D139" s="241">
        <v>72742658</v>
      </c>
      <c r="E139" s="242" t="s">
        <v>67</v>
      </c>
      <c r="F139" s="241">
        <v>3113</v>
      </c>
      <c r="G139" s="242" t="s">
        <v>313</v>
      </c>
      <c r="H139" s="278" t="s">
        <v>279</v>
      </c>
      <c r="I139" s="489">
        <v>2334122</v>
      </c>
      <c r="J139" s="489">
        <v>1718794</v>
      </c>
      <c r="K139" s="489">
        <v>0</v>
      </c>
      <c r="L139" s="489">
        <v>580952</v>
      </c>
      <c r="M139" s="489">
        <v>34376</v>
      </c>
      <c r="N139" s="489">
        <v>0</v>
      </c>
      <c r="O139" s="490">
        <v>4.9400000000000004</v>
      </c>
      <c r="P139" s="491">
        <v>4.9400000000000004</v>
      </c>
      <c r="Q139" s="500">
        <v>0</v>
      </c>
      <c r="R139" s="502">
        <f t="shared" si="106"/>
        <v>0</v>
      </c>
      <c r="S139" s="492">
        <v>-64958</v>
      </c>
      <c r="T139" s="492">
        <v>0</v>
      </c>
      <c r="U139" s="492">
        <v>0</v>
      </c>
      <c r="V139" s="492">
        <f t="shared" si="107"/>
        <v>-64958</v>
      </c>
      <c r="W139" s="492">
        <v>0</v>
      </c>
      <c r="X139" s="492">
        <v>0</v>
      </c>
      <c r="Y139" s="492">
        <v>0</v>
      </c>
      <c r="Z139" s="492">
        <f t="shared" si="108"/>
        <v>0</v>
      </c>
      <c r="AA139" s="492">
        <f t="shared" si="109"/>
        <v>-64958</v>
      </c>
      <c r="AB139" s="74">
        <f t="shared" si="110"/>
        <v>-21956</v>
      </c>
      <c r="AC139" s="74">
        <f t="shared" si="111"/>
        <v>-1299</v>
      </c>
      <c r="AD139" s="492">
        <v>0</v>
      </c>
      <c r="AE139" s="492">
        <v>0</v>
      </c>
      <c r="AF139" s="492">
        <f t="shared" si="112"/>
        <v>0</v>
      </c>
      <c r="AG139" s="492">
        <f t="shared" si="113"/>
        <v>-88213</v>
      </c>
      <c r="AH139" s="493">
        <v>0</v>
      </c>
      <c r="AI139" s="493">
        <v>0</v>
      </c>
      <c r="AJ139" s="493">
        <v>-0.18</v>
      </c>
      <c r="AK139" s="493">
        <v>0</v>
      </c>
      <c r="AL139" s="493">
        <v>0</v>
      </c>
      <c r="AM139" s="493">
        <v>0</v>
      </c>
      <c r="AN139" s="493">
        <v>0</v>
      </c>
      <c r="AO139" s="493">
        <f t="shared" si="175"/>
        <v>-0.18</v>
      </c>
      <c r="AP139" s="493">
        <f t="shared" si="176"/>
        <v>0</v>
      </c>
      <c r="AQ139" s="495">
        <f t="shared" si="114"/>
        <v>-0.18</v>
      </c>
      <c r="AR139" s="502">
        <f t="shared" si="115"/>
        <v>2245909</v>
      </c>
      <c r="AS139" s="492">
        <f t="shared" si="116"/>
        <v>1653836</v>
      </c>
      <c r="AT139" s="492">
        <f t="shared" si="177"/>
        <v>0</v>
      </c>
      <c r="AU139" s="492">
        <f t="shared" si="178"/>
        <v>558996</v>
      </c>
      <c r="AV139" s="492">
        <f t="shared" si="178"/>
        <v>33077</v>
      </c>
      <c r="AW139" s="492">
        <f t="shared" si="117"/>
        <v>0</v>
      </c>
      <c r="AX139" s="493">
        <f t="shared" si="118"/>
        <v>4.7600000000000007</v>
      </c>
      <c r="AY139" s="493">
        <f t="shared" si="179"/>
        <v>4.7600000000000007</v>
      </c>
      <c r="AZ139" s="495">
        <f t="shared" si="179"/>
        <v>0</v>
      </c>
    </row>
    <row r="140" spans="1:52" s="238" customFormat="1" ht="12.75" customHeight="1" x14ac:dyDescent="0.2">
      <c r="A140" s="240">
        <v>30</v>
      </c>
      <c r="B140" s="241">
        <v>3419</v>
      </c>
      <c r="C140" s="241">
        <v>600078434</v>
      </c>
      <c r="D140" s="241">
        <v>72742658</v>
      </c>
      <c r="E140" s="242" t="s">
        <v>67</v>
      </c>
      <c r="F140" s="241">
        <v>3141</v>
      </c>
      <c r="G140" s="242" t="s">
        <v>316</v>
      </c>
      <c r="H140" s="278" t="s">
        <v>279</v>
      </c>
      <c r="I140" s="489">
        <v>1879997</v>
      </c>
      <c r="J140" s="489">
        <v>1375887</v>
      </c>
      <c r="K140" s="489">
        <v>0</v>
      </c>
      <c r="L140" s="489">
        <v>465050</v>
      </c>
      <c r="M140" s="489">
        <v>27518</v>
      </c>
      <c r="N140" s="489">
        <v>11542</v>
      </c>
      <c r="O140" s="490">
        <v>4.33</v>
      </c>
      <c r="P140" s="491">
        <v>0</v>
      </c>
      <c r="Q140" s="500">
        <v>4.33</v>
      </c>
      <c r="R140" s="502">
        <f t="shared" si="106"/>
        <v>0</v>
      </c>
      <c r="S140" s="492">
        <v>0</v>
      </c>
      <c r="T140" s="492">
        <v>0</v>
      </c>
      <c r="U140" s="492">
        <v>0</v>
      </c>
      <c r="V140" s="492">
        <f t="shared" si="107"/>
        <v>0</v>
      </c>
      <c r="W140" s="492">
        <v>0</v>
      </c>
      <c r="X140" s="492">
        <v>0</v>
      </c>
      <c r="Y140" s="492">
        <v>0</v>
      </c>
      <c r="Z140" s="492">
        <f t="shared" si="108"/>
        <v>0</v>
      </c>
      <c r="AA140" s="492">
        <f t="shared" si="109"/>
        <v>0</v>
      </c>
      <c r="AB140" s="74">
        <f t="shared" si="110"/>
        <v>0</v>
      </c>
      <c r="AC140" s="74">
        <f t="shared" si="111"/>
        <v>0</v>
      </c>
      <c r="AD140" s="492">
        <v>0</v>
      </c>
      <c r="AE140" s="492">
        <v>0</v>
      </c>
      <c r="AF140" s="492">
        <f t="shared" si="112"/>
        <v>0</v>
      </c>
      <c r="AG140" s="492">
        <f t="shared" si="113"/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175"/>
        <v>0</v>
      </c>
      <c r="AP140" s="493">
        <f t="shared" si="176"/>
        <v>0</v>
      </c>
      <c r="AQ140" s="495">
        <f t="shared" si="114"/>
        <v>0</v>
      </c>
      <c r="AR140" s="502">
        <f t="shared" si="115"/>
        <v>1879997</v>
      </c>
      <c r="AS140" s="492">
        <f t="shared" si="116"/>
        <v>1375887</v>
      </c>
      <c r="AT140" s="492">
        <f t="shared" si="177"/>
        <v>0</v>
      </c>
      <c r="AU140" s="492">
        <f t="shared" si="178"/>
        <v>465050</v>
      </c>
      <c r="AV140" s="492">
        <f t="shared" si="178"/>
        <v>27518</v>
      </c>
      <c r="AW140" s="492">
        <f t="shared" si="117"/>
        <v>11542</v>
      </c>
      <c r="AX140" s="493">
        <f t="shared" si="118"/>
        <v>4.33</v>
      </c>
      <c r="AY140" s="493">
        <f t="shared" si="179"/>
        <v>0</v>
      </c>
      <c r="AZ140" s="495">
        <f t="shared" si="179"/>
        <v>4.33</v>
      </c>
    </row>
    <row r="141" spans="1:52" s="238" customFormat="1" ht="12.75" customHeight="1" x14ac:dyDescent="0.2">
      <c r="A141" s="240">
        <v>30</v>
      </c>
      <c r="B141" s="241">
        <v>3419</v>
      </c>
      <c r="C141" s="241">
        <v>600078434</v>
      </c>
      <c r="D141" s="241">
        <v>72742658</v>
      </c>
      <c r="E141" s="242" t="s">
        <v>67</v>
      </c>
      <c r="F141" s="241">
        <v>3143</v>
      </c>
      <c r="G141" s="242" t="s">
        <v>629</v>
      </c>
      <c r="H141" s="278" t="s">
        <v>278</v>
      </c>
      <c r="I141" s="489">
        <v>870023</v>
      </c>
      <c r="J141" s="489">
        <v>640665</v>
      </c>
      <c r="K141" s="489">
        <v>0</v>
      </c>
      <c r="L141" s="489">
        <v>216545</v>
      </c>
      <c r="M141" s="489">
        <v>12813</v>
      </c>
      <c r="N141" s="489">
        <v>0</v>
      </c>
      <c r="O141" s="490">
        <v>1.2949999999999999</v>
      </c>
      <c r="P141" s="491">
        <v>1.2949999999999999</v>
      </c>
      <c r="Q141" s="500">
        <v>0</v>
      </c>
      <c r="R141" s="502">
        <f t="shared" si="106"/>
        <v>0</v>
      </c>
      <c r="S141" s="492">
        <v>0</v>
      </c>
      <c r="T141" s="492">
        <v>0</v>
      </c>
      <c r="U141" s="492">
        <v>0</v>
      </c>
      <c r="V141" s="492">
        <f t="shared" si="107"/>
        <v>0</v>
      </c>
      <c r="W141" s="492">
        <v>0</v>
      </c>
      <c r="X141" s="492">
        <v>0</v>
      </c>
      <c r="Y141" s="492">
        <v>0</v>
      </c>
      <c r="Z141" s="492">
        <f t="shared" si="108"/>
        <v>0</v>
      </c>
      <c r="AA141" s="492">
        <f t="shared" si="109"/>
        <v>0</v>
      </c>
      <c r="AB141" s="74">
        <f t="shared" si="110"/>
        <v>0</v>
      </c>
      <c r="AC141" s="74">
        <f t="shared" si="111"/>
        <v>0</v>
      </c>
      <c r="AD141" s="492">
        <v>0</v>
      </c>
      <c r="AE141" s="492">
        <v>0</v>
      </c>
      <c r="AF141" s="492">
        <f t="shared" si="112"/>
        <v>0</v>
      </c>
      <c r="AG141" s="492">
        <f t="shared" si="113"/>
        <v>0</v>
      </c>
      <c r="AH141" s="493">
        <v>0</v>
      </c>
      <c r="AI141" s="493">
        <v>0</v>
      </c>
      <c r="AJ141" s="493">
        <v>0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si="175"/>
        <v>0</v>
      </c>
      <c r="AP141" s="493">
        <f t="shared" si="176"/>
        <v>0</v>
      </c>
      <c r="AQ141" s="495">
        <f t="shared" si="114"/>
        <v>0</v>
      </c>
      <c r="AR141" s="502">
        <f t="shared" si="115"/>
        <v>870023</v>
      </c>
      <c r="AS141" s="492">
        <f t="shared" si="116"/>
        <v>640665</v>
      </c>
      <c r="AT141" s="492">
        <f t="shared" si="177"/>
        <v>0</v>
      </c>
      <c r="AU141" s="492">
        <f t="shared" si="178"/>
        <v>216545</v>
      </c>
      <c r="AV141" s="492">
        <f t="shared" si="178"/>
        <v>12813</v>
      </c>
      <c r="AW141" s="492">
        <f t="shared" si="117"/>
        <v>0</v>
      </c>
      <c r="AX141" s="493">
        <f t="shared" si="118"/>
        <v>1.2949999999999999</v>
      </c>
      <c r="AY141" s="493">
        <f t="shared" si="179"/>
        <v>1.2949999999999999</v>
      </c>
      <c r="AZ141" s="495">
        <f t="shared" si="179"/>
        <v>0</v>
      </c>
    </row>
    <row r="142" spans="1:52" s="238" customFormat="1" ht="12.75" customHeight="1" x14ac:dyDescent="0.2">
      <c r="A142" s="240">
        <v>30</v>
      </c>
      <c r="B142" s="241">
        <v>3419</v>
      </c>
      <c r="C142" s="241">
        <v>600078434</v>
      </c>
      <c r="D142" s="241">
        <v>72742658</v>
      </c>
      <c r="E142" s="242" t="s">
        <v>67</v>
      </c>
      <c r="F142" s="241">
        <v>3143</v>
      </c>
      <c r="G142" s="242" t="s">
        <v>630</v>
      </c>
      <c r="H142" s="278" t="s">
        <v>279</v>
      </c>
      <c r="I142" s="489">
        <v>36287</v>
      </c>
      <c r="J142" s="489">
        <v>25661</v>
      </c>
      <c r="K142" s="489">
        <v>0</v>
      </c>
      <c r="L142" s="489">
        <v>8673</v>
      </c>
      <c r="M142" s="489">
        <v>513</v>
      </c>
      <c r="N142" s="489">
        <v>1440</v>
      </c>
      <c r="O142" s="490">
        <v>0.1</v>
      </c>
      <c r="P142" s="491">
        <v>0</v>
      </c>
      <c r="Q142" s="500">
        <v>0.1</v>
      </c>
      <c r="R142" s="502">
        <f t="shared" ref="R142:R186" si="180">W142*-1</f>
        <v>0</v>
      </c>
      <c r="S142" s="492">
        <v>0</v>
      </c>
      <c r="T142" s="492">
        <v>0</v>
      </c>
      <c r="U142" s="492">
        <v>0</v>
      </c>
      <c r="V142" s="492">
        <f t="shared" ref="V142:V186" si="181">SUM(R142:U142)</f>
        <v>0</v>
      </c>
      <c r="W142" s="492">
        <v>0</v>
      </c>
      <c r="X142" s="492">
        <v>0</v>
      </c>
      <c r="Y142" s="492">
        <v>0</v>
      </c>
      <c r="Z142" s="492">
        <f t="shared" ref="Z142:Z186" si="182">SUM(W142:Y142)</f>
        <v>0</v>
      </c>
      <c r="AA142" s="492">
        <f t="shared" ref="AA142:AA186" si="183">V142+Z142</f>
        <v>0</v>
      </c>
      <c r="AB142" s="74">
        <f t="shared" ref="AB142:AB186" si="184">ROUND((V142+W142+X142)*33.8%,0)</f>
        <v>0</v>
      </c>
      <c r="AC142" s="74">
        <f t="shared" ref="AC142:AC186" si="185">ROUND(V142*2%,0)</f>
        <v>0</v>
      </c>
      <c r="AD142" s="492">
        <v>0</v>
      </c>
      <c r="AE142" s="492">
        <v>0</v>
      </c>
      <c r="AF142" s="492">
        <f t="shared" ref="AF142:AF186" si="186">SUM(AD142:AE142)</f>
        <v>0</v>
      </c>
      <c r="AG142" s="492">
        <f t="shared" ref="AG142:AG186" si="187">AA142+AB142+AC142+AF142</f>
        <v>0</v>
      </c>
      <c r="AH142" s="493">
        <v>0</v>
      </c>
      <c r="AI142" s="493">
        <v>0</v>
      </c>
      <c r="AJ142" s="493">
        <v>0</v>
      </c>
      <c r="AK142" s="493">
        <v>0</v>
      </c>
      <c r="AL142" s="493">
        <v>0</v>
      </c>
      <c r="AM142" s="493">
        <v>0</v>
      </c>
      <c r="AN142" s="493">
        <v>0</v>
      </c>
      <c r="AO142" s="493">
        <f t="shared" si="175"/>
        <v>0</v>
      </c>
      <c r="AP142" s="493">
        <f t="shared" si="176"/>
        <v>0</v>
      </c>
      <c r="AQ142" s="495">
        <f t="shared" ref="AQ142:AQ186" si="188">SUM(AO142:AP142)</f>
        <v>0</v>
      </c>
      <c r="AR142" s="502">
        <f t="shared" ref="AR142:AR186" si="189">I142+AG142</f>
        <v>36287</v>
      </c>
      <c r="AS142" s="492">
        <f t="shared" ref="AS142:AS186" si="190">J142+V142</f>
        <v>25661</v>
      </c>
      <c r="AT142" s="492">
        <f t="shared" si="177"/>
        <v>0</v>
      </c>
      <c r="AU142" s="492">
        <f t="shared" si="178"/>
        <v>8673</v>
      </c>
      <c r="AV142" s="492">
        <f t="shared" si="178"/>
        <v>513</v>
      </c>
      <c r="AW142" s="492">
        <f t="shared" ref="AW142:AW186" si="191">N142+AF142</f>
        <v>1440</v>
      </c>
      <c r="AX142" s="493">
        <f t="shared" ref="AX142:AX186" si="192">O142+AQ142</f>
        <v>0.1</v>
      </c>
      <c r="AY142" s="493">
        <f t="shared" si="179"/>
        <v>0</v>
      </c>
      <c r="AZ142" s="495">
        <f t="shared" si="179"/>
        <v>0.1</v>
      </c>
    </row>
    <row r="143" spans="1:52" s="238" customFormat="1" ht="12.75" customHeight="1" x14ac:dyDescent="0.2">
      <c r="A143" s="240">
        <v>30</v>
      </c>
      <c r="B143" s="241">
        <v>3419</v>
      </c>
      <c r="C143" s="241">
        <v>600078434</v>
      </c>
      <c r="D143" s="241">
        <v>72742658</v>
      </c>
      <c r="E143" s="242" t="s">
        <v>67</v>
      </c>
      <c r="F143" s="241">
        <v>3143</v>
      </c>
      <c r="G143" s="242" t="s">
        <v>318</v>
      </c>
      <c r="H143" s="278" t="s">
        <v>279</v>
      </c>
      <c r="I143" s="489">
        <v>200448</v>
      </c>
      <c r="J143" s="489">
        <v>147252</v>
      </c>
      <c r="K143" s="489">
        <v>0</v>
      </c>
      <c r="L143" s="489">
        <v>49771</v>
      </c>
      <c r="M143" s="489">
        <v>2945</v>
      </c>
      <c r="N143" s="489">
        <v>480</v>
      </c>
      <c r="O143" s="490">
        <v>0.32</v>
      </c>
      <c r="P143" s="491">
        <v>0.27</v>
      </c>
      <c r="Q143" s="500">
        <v>0.05</v>
      </c>
      <c r="R143" s="502">
        <f t="shared" si="180"/>
        <v>0</v>
      </c>
      <c r="S143" s="492">
        <v>0</v>
      </c>
      <c r="T143" s="492">
        <v>0</v>
      </c>
      <c r="U143" s="492">
        <v>0</v>
      </c>
      <c r="V143" s="492">
        <f t="shared" si="181"/>
        <v>0</v>
      </c>
      <c r="W143" s="492">
        <v>0</v>
      </c>
      <c r="X143" s="492">
        <v>0</v>
      </c>
      <c r="Y143" s="492">
        <v>0</v>
      </c>
      <c r="Z143" s="492">
        <f t="shared" si="182"/>
        <v>0</v>
      </c>
      <c r="AA143" s="492">
        <f t="shared" si="183"/>
        <v>0</v>
      </c>
      <c r="AB143" s="74">
        <f t="shared" si="184"/>
        <v>0</v>
      </c>
      <c r="AC143" s="74">
        <f t="shared" si="185"/>
        <v>0</v>
      </c>
      <c r="AD143" s="492">
        <v>0</v>
      </c>
      <c r="AE143" s="492">
        <v>0</v>
      </c>
      <c r="AF143" s="492">
        <f t="shared" si="186"/>
        <v>0</v>
      </c>
      <c r="AG143" s="492">
        <f t="shared" si="187"/>
        <v>0</v>
      </c>
      <c r="AH143" s="493">
        <v>0</v>
      </c>
      <c r="AI143" s="493">
        <v>0</v>
      </c>
      <c r="AJ143" s="493">
        <v>0</v>
      </c>
      <c r="AK143" s="493">
        <v>0</v>
      </c>
      <c r="AL143" s="493">
        <v>0</v>
      </c>
      <c r="AM143" s="493">
        <v>0</v>
      </c>
      <c r="AN143" s="493">
        <v>0</v>
      </c>
      <c r="AO143" s="493">
        <f t="shared" si="175"/>
        <v>0</v>
      </c>
      <c r="AP143" s="493">
        <f t="shared" si="176"/>
        <v>0</v>
      </c>
      <c r="AQ143" s="495">
        <f t="shared" si="188"/>
        <v>0</v>
      </c>
      <c r="AR143" s="502">
        <f t="shared" si="189"/>
        <v>200448</v>
      </c>
      <c r="AS143" s="492">
        <f t="shared" si="190"/>
        <v>147252</v>
      </c>
      <c r="AT143" s="492">
        <f t="shared" si="177"/>
        <v>0</v>
      </c>
      <c r="AU143" s="492">
        <f t="shared" si="178"/>
        <v>49771</v>
      </c>
      <c r="AV143" s="492">
        <f t="shared" si="178"/>
        <v>2945</v>
      </c>
      <c r="AW143" s="492">
        <f t="shared" si="191"/>
        <v>480</v>
      </c>
      <c r="AX143" s="493">
        <f t="shared" si="192"/>
        <v>0.32</v>
      </c>
      <c r="AY143" s="493">
        <f t="shared" si="179"/>
        <v>0.27</v>
      </c>
      <c r="AZ143" s="495">
        <f t="shared" si="179"/>
        <v>0.05</v>
      </c>
    </row>
    <row r="144" spans="1:52" s="238" customFormat="1" ht="12.75" customHeight="1" x14ac:dyDescent="0.2">
      <c r="A144" s="164">
        <v>30</v>
      </c>
      <c r="B144" s="15">
        <v>3419</v>
      </c>
      <c r="C144" s="163">
        <v>600078434</v>
      </c>
      <c r="D144" s="163">
        <v>72742658</v>
      </c>
      <c r="E144" s="239" t="s">
        <v>68</v>
      </c>
      <c r="F144" s="15"/>
      <c r="G144" s="239"/>
      <c r="H144" s="277"/>
      <c r="I144" s="496">
        <v>21404383</v>
      </c>
      <c r="J144" s="496">
        <v>15489873</v>
      </c>
      <c r="K144" s="496">
        <v>61490</v>
      </c>
      <c r="L144" s="496">
        <v>5256360</v>
      </c>
      <c r="M144" s="496">
        <v>309798</v>
      </c>
      <c r="N144" s="496">
        <v>286862</v>
      </c>
      <c r="O144" s="456">
        <v>33.374500000000005</v>
      </c>
      <c r="P144" s="456">
        <v>22.952500000000004</v>
      </c>
      <c r="Q144" s="456">
        <v>10.422000000000001</v>
      </c>
      <c r="R144" s="542">
        <f t="shared" ref="R144:AZ144" si="193">SUM(R137:R143)</f>
        <v>0</v>
      </c>
      <c r="S144" s="496">
        <f t="shared" si="193"/>
        <v>-64958</v>
      </c>
      <c r="T144" s="496">
        <f t="shared" si="193"/>
        <v>0</v>
      </c>
      <c r="U144" s="496">
        <f t="shared" si="193"/>
        <v>0</v>
      </c>
      <c r="V144" s="496">
        <f t="shared" si="193"/>
        <v>-64958</v>
      </c>
      <c r="W144" s="496">
        <f t="shared" si="193"/>
        <v>0</v>
      </c>
      <c r="X144" s="496">
        <f t="shared" si="193"/>
        <v>0</v>
      </c>
      <c r="Y144" s="496">
        <f t="shared" si="193"/>
        <v>0</v>
      </c>
      <c r="Z144" s="496">
        <f t="shared" si="193"/>
        <v>0</v>
      </c>
      <c r="AA144" s="496">
        <f t="shared" si="193"/>
        <v>-64958</v>
      </c>
      <c r="AB144" s="496">
        <f t="shared" si="193"/>
        <v>-21956</v>
      </c>
      <c r="AC144" s="496">
        <f t="shared" si="193"/>
        <v>-1299</v>
      </c>
      <c r="AD144" s="496">
        <f t="shared" si="193"/>
        <v>0</v>
      </c>
      <c r="AE144" s="496">
        <f t="shared" si="193"/>
        <v>0</v>
      </c>
      <c r="AF144" s="496">
        <f t="shared" si="193"/>
        <v>0</v>
      </c>
      <c r="AG144" s="496">
        <f t="shared" si="193"/>
        <v>-88213</v>
      </c>
      <c r="AH144" s="456">
        <f t="shared" si="193"/>
        <v>0</v>
      </c>
      <c r="AI144" s="456">
        <f t="shared" si="193"/>
        <v>0</v>
      </c>
      <c r="AJ144" s="456">
        <f t="shared" si="193"/>
        <v>-0.18</v>
      </c>
      <c r="AK144" s="456">
        <f t="shared" si="193"/>
        <v>0</v>
      </c>
      <c r="AL144" s="456">
        <f t="shared" si="193"/>
        <v>0</v>
      </c>
      <c r="AM144" s="456">
        <f t="shared" si="193"/>
        <v>0</v>
      </c>
      <c r="AN144" s="456">
        <f t="shared" si="193"/>
        <v>0</v>
      </c>
      <c r="AO144" s="456">
        <f t="shared" si="193"/>
        <v>-0.18</v>
      </c>
      <c r="AP144" s="456">
        <f t="shared" si="193"/>
        <v>0</v>
      </c>
      <c r="AQ144" s="543">
        <f t="shared" si="193"/>
        <v>-0.18</v>
      </c>
      <c r="AR144" s="542">
        <f t="shared" si="193"/>
        <v>21316170</v>
      </c>
      <c r="AS144" s="496">
        <f t="shared" si="193"/>
        <v>15424915</v>
      </c>
      <c r="AT144" s="496">
        <f t="shared" si="193"/>
        <v>61490</v>
      </c>
      <c r="AU144" s="496">
        <f t="shared" si="193"/>
        <v>5234404</v>
      </c>
      <c r="AV144" s="496">
        <f t="shared" si="193"/>
        <v>308499</v>
      </c>
      <c r="AW144" s="496">
        <f t="shared" si="193"/>
        <v>286862</v>
      </c>
      <c r="AX144" s="456">
        <f t="shared" si="193"/>
        <v>33.194500000000005</v>
      </c>
      <c r="AY144" s="456">
        <f t="shared" si="193"/>
        <v>22.772500000000004</v>
      </c>
      <c r="AZ144" s="543">
        <f t="shared" si="193"/>
        <v>10.422000000000001</v>
      </c>
    </row>
    <row r="145" spans="1:52" s="238" customFormat="1" ht="12.75" customHeight="1" x14ac:dyDescent="0.2">
      <c r="A145" s="240">
        <v>31</v>
      </c>
      <c r="B145" s="241">
        <v>3422</v>
      </c>
      <c r="C145" s="241">
        <v>600078591</v>
      </c>
      <c r="D145" s="241">
        <v>72742682</v>
      </c>
      <c r="E145" s="242" t="s">
        <v>69</v>
      </c>
      <c r="F145" s="241">
        <v>3111</v>
      </c>
      <c r="G145" s="242" t="s">
        <v>312</v>
      </c>
      <c r="H145" s="278" t="s">
        <v>278</v>
      </c>
      <c r="I145" s="489">
        <v>2909057</v>
      </c>
      <c r="J145" s="489">
        <v>2125925</v>
      </c>
      <c r="K145" s="489">
        <v>0</v>
      </c>
      <c r="L145" s="489">
        <v>718563</v>
      </c>
      <c r="M145" s="489">
        <v>42519</v>
      </c>
      <c r="N145" s="489">
        <v>22050</v>
      </c>
      <c r="O145" s="490">
        <v>4.8281999999999998</v>
      </c>
      <c r="P145" s="491">
        <v>3.8064</v>
      </c>
      <c r="Q145" s="500">
        <v>1.0218</v>
      </c>
      <c r="R145" s="502">
        <f t="shared" si="180"/>
        <v>0</v>
      </c>
      <c r="S145" s="492">
        <v>0</v>
      </c>
      <c r="T145" s="492">
        <v>0</v>
      </c>
      <c r="U145" s="492">
        <v>0</v>
      </c>
      <c r="V145" s="492">
        <f t="shared" si="181"/>
        <v>0</v>
      </c>
      <c r="W145" s="492">
        <v>0</v>
      </c>
      <c r="X145" s="492">
        <v>0</v>
      </c>
      <c r="Y145" s="492">
        <v>0</v>
      </c>
      <c r="Z145" s="492">
        <f t="shared" si="182"/>
        <v>0</v>
      </c>
      <c r="AA145" s="492">
        <f t="shared" si="183"/>
        <v>0</v>
      </c>
      <c r="AB145" s="74">
        <f t="shared" si="184"/>
        <v>0</v>
      </c>
      <c r="AC145" s="74">
        <f t="shared" si="185"/>
        <v>0</v>
      </c>
      <c r="AD145" s="492">
        <v>0</v>
      </c>
      <c r="AE145" s="492">
        <v>0</v>
      </c>
      <c r="AF145" s="492">
        <f t="shared" si="186"/>
        <v>0</v>
      </c>
      <c r="AG145" s="492">
        <f t="shared" si="187"/>
        <v>0</v>
      </c>
      <c r="AH145" s="493">
        <v>0</v>
      </c>
      <c r="AI145" s="493">
        <v>0</v>
      </c>
      <c r="AJ145" s="493">
        <v>0</v>
      </c>
      <c r="AK145" s="493">
        <v>0</v>
      </c>
      <c r="AL145" s="493">
        <v>0</v>
      </c>
      <c r="AM145" s="493">
        <v>0</v>
      </c>
      <c r="AN145" s="493">
        <v>0</v>
      </c>
      <c r="AO145" s="493">
        <f t="shared" ref="AO145:AO150" si="194">AH145+AJ145+AM145+AK145</f>
        <v>0</v>
      </c>
      <c r="AP145" s="493">
        <f t="shared" ref="AP145:AP150" si="195">AI145+AN145+AL145</f>
        <v>0</v>
      </c>
      <c r="AQ145" s="495">
        <f t="shared" si="188"/>
        <v>0</v>
      </c>
      <c r="AR145" s="502">
        <f t="shared" si="189"/>
        <v>2909057</v>
      </c>
      <c r="AS145" s="492">
        <f t="shared" si="190"/>
        <v>2125925</v>
      </c>
      <c r="AT145" s="492">
        <f t="shared" ref="AT145:AT150" si="196">K145+Z145</f>
        <v>0</v>
      </c>
      <c r="AU145" s="492">
        <f t="shared" ref="AU145:AV150" si="197">L145+AB145</f>
        <v>718563</v>
      </c>
      <c r="AV145" s="492">
        <f t="shared" si="197"/>
        <v>42519</v>
      </c>
      <c r="AW145" s="492">
        <f t="shared" si="191"/>
        <v>22050</v>
      </c>
      <c r="AX145" s="493">
        <f t="shared" si="192"/>
        <v>4.8281999999999998</v>
      </c>
      <c r="AY145" s="493">
        <f t="shared" ref="AY145:AZ150" si="198">P145+AO145</f>
        <v>3.8064</v>
      </c>
      <c r="AZ145" s="495">
        <f t="shared" si="198"/>
        <v>1.0218</v>
      </c>
    </row>
    <row r="146" spans="1:52" s="238" customFormat="1" ht="12.75" customHeight="1" x14ac:dyDescent="0.2">
      <c r="A146" s="240">
        <v>31</v>
      </c>
      <c r="B146" s="241">
        <v>3422</v>
      </c>
      <c r="C146" s="241">
        <v>600078591</v>
      </c>
      <c r="D146" s="241">
        <v>72742682</v>
      </c>
      <c r="E146" s="242" t="s">
        <v>69</v>
      </c>
      <c r="F146" s="241">
        <v>3113</v>
      </c>
      <c r="G146" s="242" t="s">
        <v>315</v>
      </c>
      <c r="H146" s="278" t="s">
        <v>278</v>
      </c>
      <c r="I146" s="489">
        <v>8845576</v>
      </c>
      <c r="J146" s="489">
        <v>6391664</v>
      </c>
      <c r="K146" s="489">
        <v>6500</v>
      </c>
      <c r="L146" s="489">
        <v>2162579</v>
      </c>
      <c r="M146" s="489">
        <v>127833</v>
      </c>
      <c r="N146" s="489">
        <v>157000</v>
      </c>
      <c r="O146" s="490">
        <v>12.8194</v>
      </c>
      <c r="P146" s="491">
        <v>9.0907999999999998</v>
      </c>
      <c r="Q146" s="500">
        <v>3.7285999999999997</v>
      </c>
      <c r="R146" s="502">
        <f t="shared" si="180"/>
        <v>0</v>
      </c>
      <c r="S146" s="492">
        <v>0</v>
      </c>
      <c r="T146" s="492">
        <v>0</v>
      </c>
      <c r="U146" s="492">
        <v>0</v>
      </c>
      <c r="V146" s="492">
        <f t="shared" si="181"/>
        <v>0</v>
      </c>
      <c r="W146" s="492">
        <v>0</v>
      </c>
      <c r="X146" s="492">
        <v>0</v>
      </c>
      <c r="Y146" s="492">
        <v>0</v>
      </c>
      <c r="Z146" s="492">
        <f t="shared" si="182"/>
        <v>0</v>
      </c>
      <c r="AA146" s="492">
        <f t="shared" si="183"/>
        <v>0</v>
      </c>
      <c r="AB146" s="74">
        <f t="shared" si="184"/>
        <v>0</v>
      </c>
      <c r="AC146" s="74">
        <f t="shared" si="185"/>
        <v>0</v>
      </c>
      <c r="AD146" s="492">
        <v>0</v>
      </c>
      <c r="AE146" s="492">
        <v>0</v>
      </c>
      <c r="AF146" s="492">
        <f t="shared" si="186"/>
        <v>0</v>
      </c>
      <c r="AG146" s="492">
        <f t="shared" si="187"/>
        <v>0</v>
      </c>
      <c r="AH146" s="493">
        <v>0</v>
      </c>
      <c r="AI146" s="493">
        <v>0</v>
      </c>
      <c r="AJ146" s="493">
        <v>0</v>
      </c>
      <c r="AK146" s="493">
        <v>0</v>
      </c>
      <c r="AL146" s="493">
        <v>0</v>
      </c>
      <c r="AM146" s="493">
        <v>0</v>
      </c>
      <c r="AN146" s="493">
        <v>0</v>
      </c>
      <c r="AO146" s="493">
        <f t="shared" si="194"/>
        <v>0</v>
      </c>
      <c r="AP146" s="493">
        <f t="shared" si="195"/>
        <v>0</v>
      </c>
      <c r="AQ146" s="495">
        <f t="shared" si="188"/>
        <v>0</v>
      </c>
      <c r="AR146" s="502">
        <f t="shared" si="189"/>
        <v>8845576</v>
      </c>
      <c r="AS146" s="492">
        <f t="shared" si="190"/>
        <v>6391664</v>
      </c>
      <c r="AT146" s="492">
        <f t="shared" si="196"/>
        <v>6500</v>
      </c>
      <c r="AU146" s="492">
        <f t="shared" si="197"/>
        <v>2162579</v>
      </c>
      <c r="AV146" s="492">
        <f t="shared" si="197"/>
        <v>127833</v>
      </c>
      <c r="AW146" s="492">
        <f t="shared" si="191"/>
        <v>157000</v>
      </c>
      <c r="AX146" s="493">
        <f t="shared" si="192"/>
        <v>12.8194</v>
      </c>
      <c r="AY146" s="493">
        <f t="shared" si="198"/>
        <v>9.0907999999999998</v>
      </c>
      <c r="AZ146" s="495">
        <f t="shared" si="198"/>
        <v>3.7285999999999997</v>
      </c>
    </row>
    <row r="147" spans="1:52" s="238" customFormat="1" x14ac:dyDescent="0.2">
      <c r="A147" s="240">
        <v>31</v>
      </c>
      <c r="B147" s="241">
        <v>3422</v>
      </c>
      <c r="C147" s="241">
        <v>600078591</v>
      </c>
      <c r="D147" s="241">
        <v>72742682</v>
      </c>
      <c r="E147" s="242" t="s">
        <v>69</v>
      </c>
      <c r="F147" s="241">
        <v>3113</v>
      </c>
      <c r="G147" s="242" t="s">
        <v>313</v>
      </c>
      <c r="H147" s="278" t="s">
        <v>279</v>
      </c>
      <c r="I147" s="489">
        <v>1447996</v>
      </c>
      <c r="J147" s="489">
        <v>1066271</v>
      </c>
      <c r="K147" s="489">
        <v>0</v>
      </c>
      <c r="L147" s="489">
        <v>360400</v>
      </c>
      <c r="M147" s="489">
        <v>21325</v>
      </c>
      <c r="N147" s="489">
        <v>0</v>
      </c>
      <c r="O147" s="490">
        <v>3.28</v>
      </c>
      <c r="P147" s="491">
        <v>3.28</v>
      </c>
      <c r="Q147" s="500">
        <v>0</v>
      </c>
      <c r="R147" s="502">
        <f t="shared" si="180"/>
        <v>0</v>
      </c>
      <c r="S147" s="492">
        <v>0</v>
      </c>
      <c r="T147" s="492">
        <v>0</v>
      </c>
      <c r="U147" s="492">
        <v>0</v>
      </c>
      <c r="V147" s="492">
        <f t="shared" si="181"/>
        <v>0</v>
      </c>
      <c r="W147" s="492">
        <v>0</v>
      </c>
      <c r="X147" s="492">
        <v>0</v>
      </c>
      <c r="Y147" s="492">
        <v>0</v>
      </c>
      <c r="Z147" s="492">
        <f t="shared" si="182"/>
        <v>0</v>
      </c>
      <c r="AA147" s="492">
        <f t="shared" si="183"/>
        <v>0</v>
      </c>
      <c r="AB147" s="74">
        <f t="shared" si="184"/>
        <v>0</v>
      </c>
      <c r="AC147" s="74">
        <f t="shared" si="185"/>
        <v>0</v>
      </c>
      <c r="AD147" s="492">
        <v>21250</v>
      </c>
      <c r="AE147" s="492">
        <v>0</v>
      </c>
      <c r="AF147" s="492">
        <f t="shared" si="186"/>
        <v>21250</v>
      </c>
      <c r="AG147" s="492">
        <f t="shared" si="187"/>
        <v>21250</v>
      </c>
      <c r="AH147" s="493">
        <v>0</v>
      </c>
      <c r="AI147" s="493">
        <v>0</v>
      </c>
      <c r="AJ147" s="493">
        <v>0</v>
      </c>
      <c r="AK147" s="493">
        <v>0</v>
      </c>
      <c r="AL147" s="493">
        <v>0</v>
      </c>
      <c r="AM147" s="493">
        <v>0</v>
      </c>
      <c r="AN147" s="493">
        <v>0</v>
      </c>
      <c r="AO147" s="493">
        <f t="shared" si="194"/>
        <v>0</v>
      </c>
      <c r="AP147" s="493">
        <f t="shared" si="195"/>
        <v>0</v>
      </c>
      <c r="AQ147" s="495">
        <f t="shared" si="188"/>
        <v>0</v>
      </c>
      <c r="AR147" s="502">
        <f t="shared" si="189"/>
        <v>1469246</v>
      </c>
      <c r="AS147" s="492">
        <f t="shared" si="190"/>
        <v>1066271</v>
      </c>
      <c r="AT147" s="492">
        <f t="shared" si="196"/>
        <v>0</v>
      </c>
      <c r="AU147" s="492">
        <f t="shared" si="197"/>
        <v>360400</v>
      </c>
      <c r="AV147" s="492">
        <f t="shared" si="197"/>
        <v>21325</v>
      </c>
      <c r="AW147" s="492">
        <f t="shared" si="191"/>
        <v>21250</v>
      </c>
      <c r="AX147" s="493">
        <f t="shared" si="192"/>
        <v>3.28</v>
      </c>
      <c r="AY147" s="493">
        <f t="shared" si="198"/>
        <v>3.28</v>
      </c>
      <c r="AZ147" s="495">
        <f t="shared" si="198"/>
        <v>0</v>
      </c>
    </row>
    <row r="148" spans="1:52" s="238" customFormat="1" ht="12.75" customHeight="1" x14ac:dyDescent="0.2">
      <c r="A148" s="240">
        <v>31</v>
      </c>
      <c r="B148" s="241">
        <v>3422</v>
      </c>
      <c r="C148" s="241">
        <v>600078591</v>
      </c>
      <c r="D148" s="241">
        <v>72742682</v>
      </c>
      <c r="E148" s="242" t="s">
        <v>69</v>
      </c>
      <c r="F148" s="241">
        <v>3141</v>
      </c>
      <c r="G148" s="242" t="s">
        <v>316</v>
      </c>
      <c r="H148" s="278" t="s">
        <v>279</v>
      </c>
      <c r="I148" s="489">
        <v>1508026</v>
      </c>
      <c r="J148" s="489">
        <v>1091901</v>
      </c>
      <c r="K148" s="489">
        <v>13000</v>
      </c>
      <c r="L148" s="489">
        <v>373457</v>
      </c>
      <c r="M148" s="489">
        <v>21838</v>
      </c>
      <c r="N148" s="489">
        <v>7830</v>
      </c>
      <c r="O148" s="490">
        <v>3.48</v>
      </c>
      <c r="P148" s="491">
        <v>0</v>
      </c>
      <c r="Q148" s="500">
        <v>3.48</v>
      </c>
      <c r="R148" s="502">
        <f t="shared" si="180"/>
        <v>0</v>
      </c>
      <c r="S148" s="492">
        <v>0</v>
      </c>
      <c r="T148" s="492">
        <v>0</v>
      </c>
      <c r="U148" s="492">
        <v>0</v>
      </c>
      <c r="V148" s="492">
        <f t="shared" si="181"/>
        <v>0</v>
      </c>
      <c r="W148" s="492">
        <v>0</v>
      </c>
      <c r="X148" s="492">
        <v>0</v>
      </c>
      <c r="Y148" s="492">
        <v>0</v>
      </c>
      <c r="Z148" s="492">
        <f t="shared" si="182"/>
        <v>0</v>
      </c>
      <c r="AA148" s="492">
        <f t="shared" si="183"/>
        <v>0</v>
      </c>
      <c r="AB148" s="74">
        <f t="shared" si="184"/>
        <v>0</v>
      </c>
      <c r="AC148" s="74">
        <f t="shared" si="185"/>
        <v>0</v>
      </c>
      <c r="AD148" s="492">
        <v>0</v>
      </c>
      <c r="AE148" s="492">
        <v>0</v>
      </c>
      <c r="AF148" s="492">
        <f t="shared" si="186"/>
        <v>0</v>
      </c>
      <c r="AG148" s="492">
        <f t="shared" si="187"/>
        <v>0</v>
      </c>
      <c r="AH148" s="493">
        <v>0</v>
      </c>
      <c r="AI148" s="493">
        <v>0</v>
      </c>
      <c r="AJ148" s="493">
        <v>0</v>
      </c>
      <c r="AK148" s="493">
        <v>0</v>
      </c>
      <c r="AL148" s="493">
        <v>0</v>
      </c>
      <c r="AM148" s="493">
        <v>0</v>
      </c>
      <c r="AN148" s="493">
        <v>0</v>
      </c>
      <c r="AO148" s="493">
        <f t="shared" si="194"/>
        <v>0</v>
      </c>
      <c r="AP148" s="493">
        <f t="shared" si="195"/>
        <v>0</v>
      </c>
      <c r="AQ148" s="495">
        <f t="shared" si="188"/>
        <v>0</v>
      </c>
      <c r="AR148" s="502">
        <f t="shared" si="189"/>
        <v>1508026</v>
      </c>
      <c r="AS148" s="492">
        <f t="shared" si="190"/>
        <v>1091901</v>
      </c>
      <c r="AT148" s="492">
        <f t="shared" si="196"/>
        <v>13000</v>
      </c>
      <c r="AU148" s="492">
        <f t="shared" si="197"/>
        <v>373457</v>
      </c>
      <c r="AV148" s="492">
        <f t="shared" si="197"/>
        <v>21838</v>
      </c>
      <c r="AW148" s="492">
        <f t="shared" si="191"/>
        <v>7830</v>
      </c>
      <c r="AX148" s="493">
        <f t="shared" si="192"/>
        <v>3.48</v>
      </c>
      <c r="AY148" s="493">
        <f t="shared" si="198"/>
        <v>0</v>
      </c>
      <c r="AZ148" s="495">
        <f t="shared" si="198"/>
        <v>3.48</v>
      </c>
    </row>
    <row r="149" spans="1:52" s="238" customFormat="1" ht="12.75" customHeight="1" x14ac:dyDescent="0.2">
      <c r="A149" s="240">
        <v>31</v>
      </c>
      <c r="B149" s="241">
        <v>3422</v>
      </c>
      <c r="C149" s="241">
        <v>600078591</v>
      </c>
      <c r="D149" s="241">
        <v>72742682</v>
      </c>
      <c r="E149" s="242" t="s">
        <v>69</v>
      </c>
      <c r="F149" s="241">
        <v>3143</v>
      </c>
      <c r="G149" s="242" t="s">
        <v>629</v>
      </c>
      <c r="H149" s="278" t="s">
        <v>278</v>
      </c>
      <c r="I149" s="489">
        <v>389344</v>
      </c>
      <c r="J149" s="489">
        <v>286704</v>
      </c>
      <c r="K149" s="489">
        <v>0</v>
      </c>
      <c r="L149" s="489">
        <v>96906</v>
      </c>
      <c r="M149" s="489">
        <v>5734</v>
      </c>
      <c r="N149" s="489">
        <v>0</v>
      </c>
      <c r="O149" s="490">
        <v>0.53569999999999995</v>
      </c>
      <c r="P149" s="491">
        <v>0.53569999999999995</v>
      </c>
      <c r="Q149" s="500">
        <v>0</v>
      </c>
      <c r="R149" s="502">
        <f t="shared" si="180"/>
        <v>0</v>
      </c>
      <c r="S149" s="492">
        <v>0</v>
      </c>
      <c r="T149" s="492">
        <v>0</v>
      </c>
      <c r="U149" s="492">
        <v>0</v>
      </c>
      <c r="V149" s="492">
        <f t="shared" si="181"/>
        <v>0</v>
      </c>
      <c r="W149" s="492">
        <v>0</v>
      </c>
      <c r="X149" s="492">
        <v>0</v>
      </c>
      <c r="Y149" s="492">
        <v>0</v>
      </c>
      <c r="Z149" s="492">
        <f t="shared" si="182"/>
        <v>0</v>
      </c>
      <c r="AA149" s="492">
        <f t="shared" si="183"/>
        <v>0</v>
      </c>
      <c r="AB149" s="74">
        <f t="shared" si="184"/>
        <v>0</v>
      </c>
      <c r="AC149" s="74">
        <f t="shared" si="185"/>
        <v>0</v>
      </c>
      <c r="AD149" s="492">
        <v>0</v>
      </c>
      <c r="AE149" s="492">
        <v>0</v>
      </c>
      <c r="AF149" s="492">
        <f t="shared" si="186"/>
        <v>0</v>
      </c>
      <c r="AG149" s="492">
        <f t="shared" si="187"/>
        <v>0</v>
      </c>
      <c r="AH149" s="493">
        <v>0</v>
      </c>
      <c r="AI149" s="493">
        <v>0</v>
      </c>
      <c r="AJ149" s="493">
        <v>0</v>
      </c>
      <c r="AK149" s="493">
        <v>0</v>
      </c>
      <c r="AL149" s="493">
        <v>0</v>
      </c>
      <c r="AM149" s="493">
        <v>0</v>
      </c>
      <c r="AN149" s="493">
        <v>0</v>
      </c>
      <c r="AO149" s="493">
        <f t="shared" si="194"/>
        <v>0</v>
      </c>
      <c r="AP149" s="493">
        <f t="shared" si="195"/>
        <v>0</v>
      </c>
      <c r="AQ149" s="495">
        <f t="shared" si="188"/>
        <v>0</v>
      </c>
      <c r="AR149" s="502">
        <f t="shared" si="189"/>
        <v>389344</v>
      </c>
      <c r="AS149" s="492">
        <f t="shared" si="190"/>
        <v>286704</v>
      </c>
      <c r="AT149" s="492">
        <f t="shared" si="196"/>
        <v>0</v>
      </c>
      <c r="AU149" s="492">
        <f t="shared" si="197"/>
        <v>96906</v>
      </c>
      <c r="AV149" s="492">
        <f t="shared" si="197"/>
        <v>5734</v>
      </c>
      <c r="AW149" s="492">
        <f t="shared" si="191"/>
        <v>0</v>
      </c>
      <c r="AX149" s="493">
        <f t="shared" si="192"/>
        <v>0.53569999999999995</v>
      </c>
      <c r="AY149" s="493">
        <f t="shared" si="198"/>
        <v>0.53569999999999995</v>
      </c>
      <c r="AZ149" s="495">
        <f t="shared" si="198"/>
        <v>0</v>
      </c>
    </row>
    <row r="150" spans="1:52" s="238" customFormat="1" ht="12.75" customHeight="1" x14ac:dyDescent="0.2">
      <c r="A150" s="240">
        <v>31</v>
      </c>
      <c r="B150" s="241">
        <v>3422</v>
      </c>
      <c r="C150" s="241">
        <v>600078591</v>
      </c>
      <c r="D150" s="241">
        <v>72742682</v>
      </c>
      <c r="E150" s="242" t="s">
        <v>69</v>
      </c>
      <c r="F150" s="241">
        <v>3143</v>
      </c>
      <c r="G150" s="242" t="s">
        <v>630</v>
      </c>
      <c r="H150" s="278" t="s">
        <v>279</v>
      </c>
      <c r="I150" s="489">
        <v>22680</v>
      </c>
      <c r="J150" s="489">
        <v>16038</v>
      </c>
      <c r="K150" s="489">
        <v>0</v>
      </c>
      <c r="L150" s="489">
        <v>5421</v>
      </c>
      <c r="M150" s="489">
        <v>321</v>
      </c>
      <c r="N150" s="489">
        <v>900</v>
      </c>
      <c r="O150" s="490">
        <v>0.06</v>
      </c>
      <c r="P150" s="491">
        <v>0</v>
      </c>
      <c r="Q150" s="500">
        <v>0.06</v>
      </c>
      <c r="R150" s="502">
        <f t="shared" si="180"/>
        <v>0</v>
      </c>
      <c r="S150" s="492">
        <v>0</v>
      </c>
      <c r="T150" s="492">
        <v>0</v>
      </c>
      <c r="U150" s="492">
        <v>0</v>
      </c>
      <c r="V150" s="492">
        <f t="shared" si="181"/>
        <v>0</v>
      </c>
      <c r="W150" s="492">
        <v>0</v>
      </c>
      <c r="X150" s="492">
        <v>0</v>
      </c>
      <c r="Y150" s="492">
        <v>0</v>
      </c>
      <c r="Z150" s="492">
        <f t="shared" si="182"/>
        <v>0</v>
      </c>
      <c r="AA150" s="492">
        <f t="shared" si="183"/>
        <v>0</v>
      </c>
      <c r="AB150" s="74">
        <f t="shared" si="184"/>
        <v>0</v>
      </c>
      <c r="AC150" s="74">
        <f t="shared" si="185"/>
        <v>0</v>
      </c>
      <c r="AD150" s="492">
        <v>0</v>
      </c>
      <c r="AE150" s="492">
        <v>0</v>
      </c>
      <c r="AF150" s="492">
        <f t="shared" si="186"/>
        <v>0</v>
      </c>
      <c r="AG150" s="492">
        <f t="shared" si="187"/>
        <v>0</v>
      </c>
      <c r="AH150" s="493">
        <v>0</v>
      </c>
      <c r="AI150" s="493">
        <v>0</v>
      </c>
      <c r="AJ150" s="493">
        <v>0</v>
      </c>
      <c r="AK150" s="493">
        <v>0</v>
      </c>
      <c r="AL150" s="493">
        <v>0</v>
      </c>
      <c r="AM150" s="493">
        <v>0</v>
      </c>
      <c r="AN150" s="493">
        <v>0</v>
      </c>
      <c r="AO150" s="493">
        <f t="shared" si="194"/>
        <v>0</v>
      </c>
      <c r="AP150" s="493">
        <f t="shared" si="195"/>
        <v>0</v>
      </c>
      <c r="AQ150" s="495">
        <f t="shared" si="188"/>
        <v>0</v>
      </c>
      <c r="AR150" s="502">
        <f t="shared" si="189"/>
        <v>22680</v>
      </c>
      <c r="AS150" s="492">
        <f t="shared" si="190"/>
        <v>16038</v>
      </c>
      <c r="AT150" s="492">
        <f t="shared" si="196"/>
        <v>0</v>
      </c>
      <c r="AU150" s="492">
        <f t="shared" si="197"/>
        <v>5421</v>
      </c>
      <c r="AV150" s="492">
        <f t="shared" si="197"/>
        <v>321</v>
      </c>
      <c r="AW150" s="492">
        <f t="shared" si="191"/>
        <v>900</v>
      </c>
      <c r="AX150" s="493">
        <f t="shared" si="192"/>
        <v>0.06</v>
      </c>
      <c r="AY150" s="493">
        <f t="shared" si="198"/>
        <v>0</v>
      </c>
      <c r="AZ150" s="495">
        <f t="shared" si="198"/>
        <v>0.06</v>
      </c>
    </row>
    <row r="151" spans="1:52" s="238" customFormat="1" ht="12.75" customHeight="1" x14ac:dyDescent="0.2">
      <c r="A151" s="164">
        <v>31</v>
      </c>
      <c r="B151" s="15">
        <v>3422</v>
      </c>
      <c r="C151" s="163">
        <v>600078591</v>
      </c>
      <c r="D151" s="163">
        <v>72742682</v>
      </c>
      <c r="E151" s="239" t="s">
        <v>70</v>
      </c>
      <c r="F151" s="15"/>
      <c r="G151" s="239"/>
      <c r="H151" s="277"/>
      <c r="I151" s="496">
        <v>15122679</v>
      </c>
      <c r="J151" s="496">
        <v>10978503</v>
      </c>
      <c r="K151" s="496">
        <v>19500</v>
      </c>
      <c r="L151" s="496">
        <v>3717326</v>
      </c>
      <c r="M151" s="496">
        <v>219570</v>
      </c>
      <c r="N151" s="496">
        <v>187780</v>
      </c>
      <c r="O151" s="456">
        <v>25.003299999999999</v>
      </c>
      <c r="P151" s="456">
        <v>16.712899999999998</v>
      </c>
      <c r="Q151" s="456">
        <v>8.2904</v>
      </c>
      <c r="R151" s="542">
        <f t="shared" ref="R151:AZ151" si="199">SUM(R145:R150)</f>
        <v>0</v>
      </c>
      <c r="S151" s="496">
        <f t="shared" si="199"/>
        <v>0</v>
      </c>
      <c r="T151" s="496">
        <f t="shared" si="199"/>
        <v>0</v>
      </c>
      <c r="U151" s="496">
        <f t="shared" si="199"/>
        <v>0</v>
      </c>
      <c r="V151" s="496">
        <f t="shared" si="199"/>
        <v>0</v>
      </c>
      <c r="W151" s="496">
        <f t="shared" si="199"/>
        <v>0</v>
      </c>
      <c r="X151" s="496">
        <f t="shared" si="199"/>
        <v>0</v>
      </c>
      <c r="Y151" s="496">
        <f t="shared" si="199"/>
        <v>0</v>
      </c>
      <c r="Z151" s="496">
        <f t="shared" si="199"/>
        <v>0</v>
      </c>
      <c r="AA151" s="496">
        <f t="shared" si="199"/>
        <v>0</v>
      </c>
      <c r="AB151" s="496">
        <f t="shared" si="199"/>
        <v>0</v>
      </c>
      <c r="AC151" s="496">
        <f t="shared" si="199"/>
        <v>0</v>
      </c>
      <c r="AD151" s="496">
        <f t="shared" si="199"/>
        <v>21250</v>
      </c>
      <c r="AE151" s="496">
        <f t="shared" si="199"/>
        <v>0</v>
      </c>
      <c r="AF151" s="496">
        <f t="shared" si="199"/>
        <v>21250</v>
      </c>
      <c r="AG151" s="496">
        <f t="shared" si="199"/>
        <v>21250</v>
      </c>
      <c r="AH151" s="456">
        <f t="shared" si="199"/>
        <v>0</v>
      </c>
      <c r="AI151" s="456">
        <f t="shared" si="199"/>
        <v>0</v>
      </c>
      <c r="AJ151" s="456">
        <f t="shared" si="199"/>
        <v>0</v>
      </c>
      <c r="AK151" s="456">
        <f t="shared" si="199"/>
        <v>0</v>
      </c>
      <c r="AL151" s="456">
        <f t="shared" si="199"/>
        <v>0</v>
      </c>
      <c r="AM151" s="456">
        <f t="shared" si="199"/>
        <v>0</v>
      </c>
      <c r="AN151" s="456">
        <f t="shared" si="199"/>
        <v>0</v>
      </c>
      <c r="AO151" s="456">
        <f t="shared" si="199"/>
        <v>0</v>
      </c>
      <c r="AP151" s="456">
        <f t="shared" si="199"/>
        <v>0</v>
      </c>
      <c r="AQ151" s="543">
        <f t="shared" si="199"/>
        <v>0</v>
      </c>
      <c r="AR151" s="542">
        <f t="shared" si="199"/>
        <v>15143929</v>
      </c>
      <c r="AS151" s="496">
        <f t="shared" si="199"/>
        <v>10978503</v>
      </c>
      <c r="AT151" s="496">
        <f t="shared" si="199"/>
        <v>19500</v>
      </c>
      <c r="AU151" s="496">
        <f t="shared" si="199"/>
        <v>3717326</v>
      </c>
      <c r="AV151" s="496">
        <f t="shared" si="199"/>
        <v>219570</v>
      </c>
      <c r="AW151" s="496">
        <f t="shared" si="199"/>
        <v>209030</v>
      </c>
      <c r="AX151" s="456">
        <f t="shared" si="199"/>
        <v>25.003299999999999</v>
      </c>
      <c r="AY151" s="456">
        <f t="shared" si="199"/>
        <v>16.712899999999998</v>
      </c>
      <c r="AZ151" s="543">
        <f t="shared" si="199"/>
        <v>8.2904</v>
      </c>
    </row>
    <row r="152" spans="1:52" s="238" customFormat="1" ht="12.75" customHeight="1" x14ac:dyDescent="0.2">
      <c r="A152" s="240">
        <v>32</v>
      </c>
      <c r="B152" s="241">
        <v>3426</v>
      </c>
      <c r="C152" s="241">
        <v>600078019</v>
      </c>
      <c r="D152" s="241">
        <v>72742470</v>
      </c>
      <c r="E152" s="242" t="s">
        <v>71</v>
      </c>
      <c r="F152" s="241">
        <v>3111</v>
      </c>
      <c r="G152" s="242" t="s">
        <v>312</v>
      </c>
      <c r="H152" s="278" t="s">
        <v>278</v>
      </c>
      <c r="I152" s="489">
        <v>4933102</v>
      </c>
      <c r="J152" s="489">
        <v>3593837</v>
      </c>
      <c r="K152" s="489">
        <v>18850</v>
      </c>
      <c r="L152" s="489">
        <v>1221088</v>
      </c>
      <c r="M152" s="489">
        <v>71877</v>
      </c>
      <c r="N152" s="489">
        <v>27450</v>
      </c>
      <c r="O152" s="490">
        <v>7.8942000000000005</v>
      </c>
      <c r="P152" s="491">
        <v>6</v>
      </c>
      <c r="Q152" s="500">
        <v>1.8942000000000003</v>
      </c>
      <c r="R152" s="502">
        <f t="shared" si="180"/>
        <v>0</v>
      </c>
      <c r="S152" s="492">
        <v>0</v>
      </c>
      <c r="T152" s="492">
        <v>0</v>
      </c>
      <c r="U152" s="492">
        <v>0</v>
      </c>
      <c r="V152" s="492">
        <f t="shared" si="181"/>
        <v>0</v>
      </c>
      <c r="W152" s="492">
        <v>0</v>
      </c>
      <c r="X152" s="492">
        <v>0</v>
      </c>
      <c r="Y152" s="492">
        <v>0</v>
      </c>
      <c r="Z152" s="492">
        <f t="shared" si="182"/>
        <v>0</v>
      </c>
      <c r="AA152" s="492">
        <f t="shared" si="183"/>
        <v>0</v>
      </c>
      <c r="AB152" s="74">
        <f t="shared" si="184"/>
        <v>0</v>
      </c>
      <c r="AC152" s="74">
        <f t="shared" si="185"/>
        <v>0</v>
      </c>
      <c r="AD152" s="492">
        <v>0</v>
      </c>
      <c r="AE152" s="492">
        <v>0</v>
      </c>
      <c r="AF152" s="492">
        <f t="shared" si="186"/>
        <v>0</v>
      </c>
      <c r="AG152" s="492">
        <f t="shared" si="187"/>
        <v>0</v>
      </c>
      <c r="AH152" s="493">
        <v>0</v>
      </c>
      <c r="AI152" s="493">
        <v>0</v>
      </c>
      <c r="AJ152" s="493">
        <v>0</v>
      </c>
      <c r="AK152" s="493">
        <v>0</v>
      </c>
      <c r="AL152" s="493">
        <v>0</v>
      </c>
      <c r="AM152" s="493">
        <v>0</v>
      </c>
      <c r="AN152" s="493">
        <v>0</v>
      </c>
      <c r="AO152" s="493">
        <f t="shared" ref="AO152:AO154" si="200">AH152+AJ152+AM152+AK152</f>
        <v>0</v>
      </c>
      <c r="AP152" s="493">
        <f t="shared" ref="AP152:AP154" si="201">AI152+AN152+AL152</f>
        <v>0</v>
      </c>
      <c r="AQ152" s="495">
        <f t="shared" si="188"/>
        <v>0</v>
      </c>
      <c r="AR152" s="502">
        <f t="shared" si="189"/>
        <v>4933102</v>
      </c>
      <c r="AS152" s="492">
        <f t="shared" si="190"/>
        <v>3593837</v>
      </c>
      <c r="AT152" s="492">
        <f t="shared" ref="AT152:AT154" si="202">K152+Z152</f>
        <v>18850</v>
      </c>
      <c r="AU152" s="492">
        <f t="shared" ref="AU152:AV154" si="203">L152+AB152</f>
        <v>1221088</v>
      </c>
      <c r="AV152" s="492">
        <f t="shared" si="203"/>
        <v>71877</v>
      </c>
      <c r="AW152" s="492">
        <f t="shared" si="191"/>
        <v>27450</v>
      </c>
      <c r="AX152" s="493">
        <f t="shared" si="192"/>
        <v>7.8942000000000005</v>
      </c>
      <c r="AY152" s="493">
        <f t="shared" ref="AY152:AZ154" si="204">P152+AO152</f>
        <v>6</v>
      </c>
      <c r="AZ152" s="495">
        <f t="shared" si="204"/>
        <v>1.8942000000000003</v>
      </c>
    </row>
    <row r="153" spans="1:52" s="238" customFormat="1" x14ac:dyDescent="0.2">
      <c r="A153" s="240">
        <v>32</v>
      </c>
      <c r="B153" s="241">
        <v>3426</v>
      </c>
      <c r="C153" s="241">
        <v>600078019</v>
      </c>
      <c r="D153" s="241">
        <v>72742470</v>
      </c>
      <c r="E153" s="242" t="s">
        <v>71</v>
      </c>
      <c r="F153" s="241">
        <v>3111</v>
      </c>
      <c r="G153" s="242" t="s">
        <v>313</v>
      </c>
      <c r="H153" s="278" t="s">
        <v>279</v>
      </c>
      <c r="I153" s="489">
        <v>705706</v>
      </c>
      <c r="J153" s="489">
        <v>519666</v>
      </c>
      <c r="K153" s="489">
        <v>0</v>
      </c>
      <c r="L153" s="489">
        <v>175647</v>
      </c>
      <c r="M153" s="489">
        <v>10393</v>
      </c>
      <c r="N153" s="489">
        <v>0</v>
      </c>
      <c r="O153" s="490">
        <v>1.5</v>
      </c>
      <c r="P153" s="491">
        <v>1.5</v>
      </c>
      <c r="Q153" s="500">
        <v>0</v>
      </c>
      <c r="R153" s="502">
        <f t="shared" si="180"/>
        <v>0</v>
      </c>
      <c r="S153" s="492">
        <v>0</v>
      </c>
      <c r="T153" s="492">
        <v>0</v>
      </c>
      <c r="U153" s="492">
        <v>0</v>
      </c>
      <c r="V153" s="492">
        <f t="shared" si="181"/>
        <v>0</v>
      </c>
      <c r="W153" s="492">
        <v>0</v>
      </c>
      <c r="X153" s="492">
        <v>0</v>
      </c>
      <c r="Y153" s="492">
        <v>0</v>
      </c>
      <c r="Z153" s="492">
        <f t="shared" si="182"/>
        <v>0</v>
      </c>
      <c r="AA153" s="492">
        <f t="shared" si="183"/>
        <v>0</v>
      </c>
      <c r="AB153" s="74">
        <f t="shared" si="184"/>
        <v>0</v>
      </c>
      <c r="AC153" s="74">
        <f t="shared" si="185"/>
        <v>0</v>
      </c>
      <c r="AD153" s="492">
        <v>0</v>
      </c>
      <c r="AE153" s="492">
        <v>0</v>
      </c>
      <c r="AF153" s="492">
        <f t="shared" si="186"/>
        <v>0</v>
      </c>
      <c r="AG153" s="492">
        <f t="shared" si="187"/>
        <v>0</v>
      </c>
      <c r="AH153" s="493">
        <v>0</v>
      </c>
      <c r="AI153" s="493">
        <v>0</v>
      </c>
      <c r="AJ153" s="493">
        <v>0</v>
      </c>
      <c r="AK153" s="493">
        <v>0</v>
      </c>
      <c r="AL153" s="493">
        <v>0</v>
      </c>
      <c r="AM153" s="493">
        <v>0</v>
      </c>
      <c r="AN153" s="493">
        <v>0</v>
      </c>
      <c r="AO153" s="493">
        <f t="shared" si="200"/>
        <v>0</v>
      </c>
      <c r="AP153" s="493">
        <f t="shared" si="201"/>
        <v>0</v>
      </c>
      <c r="AQ153" s="495">
        <f t="shared" si="188"/>
        <v>0</v>
      </c>
      <c r="AR153" s="502">
        <f t="shared" si="189"/>
        <v>705706</v>
      </c>
      <c r="AS153" s="492">
        <f t="shared" si="190"/>
        <v>519666</v>
      </c>
      <c r="AT153" s="492">
        <f t="shared" si="202"/>
        <v>0</v>
      </c>
      <c r="AU153" s="492">
        <f t="shared" si="203"/>
        <v>175647</v>
      </c>
      <c r="AV153" s="492">
        <f t="shared" si="203"/>
        <v>10393</v>
      </c>
      <c r="AW153" s="492">
        <f t="shared" si="191"/>
        <v>0</v>
      </c>
      <c r="AX153" s="493">
        <f t="shared" si="192"/>
        <v>1.5</v>
      </c>
      <c r="AY153" s="493">
        <f t="shared" si="204"/>
        <v>1.5</v>
      </c>
      <c r="AZ153" s="495">
        <f t="shared" si="204"/>
        <v>0</v>
      </c>
    </row>
    <row r="154" spans="1:52" s="238" customFormat="1" ht="12.75" customHeight="1" x14ac:dyDescent="0.2">
      <c r="A154" s="240">
        <v>32</v>
      </c>
      <c r="B154" s="241">
        <v>3426</v>
      </c>
      <c r="C154" s="241">
        <v>600078019</v>
      </c>
      <c r="D154" s="241">
        <v>72742470</v>
      </c>
      <c r="E154" s="242" t="s">
        <v>71</v>
      </c>
      <c r="F154" s="241">
        <v>3141</v>
      </c>
      <c r="G154" s="242" t="s">
        <v>316</v>
      </c>
      <c r="H154" s="278" t="s">
        <v>279</v>
      </c>
      <c r="I154" s="489">
        <v>1976334</v>
      </c>
      <c r="J154" s="489">
        <v>1446443</v>
      </c>
      <c r="K154" s="489">
        <v>0</v>
      </c>
      <c r="L154" s="489">
        <v>488898</v>
      </c>
      <c r="M154" s="489">
        <v>28929</v>
      </c>
      <c r="N154" s="489">
        <v>12064</v>
      </c>
      <c r="O154" s="490">
        <v>4.5599999999999996</v>
      </c>
      <c r="P154" s="491">
        <v>0</v>
      </c>
      <c r="Q154" s="500">
        <v>4.5599999999999996</v>
      </c>
      <c r="R154" s="502">
        <f t="shared" si="180"/>
        <v>0</v>
      </c>
      <c r="S154" s="492">
        <v>0</v>
      </c>
      <c r="T154" s="492">
        <v>0</v>
      </c>
      <c r="U154" s="492">
        <v>0</v>
      </c>
      <c r="V154" s="492">
        <f t="shared" si="181"/>
        <v>0</v>
      </c>
      <c r="W154" s="492">
        <v>0</v>
      </c>
      <c r="X154" s="492">
        <v>0</v>
      </c>
      <c r="Y154" s="492">
        <v>0</v>
      </c>
      <c r="Z154" s="492">
        <f t="shared" si="182"/>
        <v>0</v>
      </c>
      <c r="AA154" s="492">
        <f t="shared" si="183"/>
        <v>0</v>
      </c>
      <c r="AB154" s="74">
        <f t="shared" si="184"/>
        <v>0</v>
      </c>
      <c r="AC154" s="74">
        <f t="shared" si="185"/>
        <v>0</v>
      </c>
      <c r="AD154" s="492">
        <v>0</v>
      </c>
      <c r="AE154" s="492">
        <v>0</v>
      </c>
      <c r="AF154" s="492">
        <f t="shared" si="186"/>
        <v>0</v>
      </c>
      <c r="AG154" s="492">
        <f t="shared" si="187"/>
        <v>0</v>
      </c>
      <c r="AH154" s="493">
        <v>0</v>
      </c>
      <c r="AI154" s="493">
        <v>0</v>
      </c>
      <c r="AJ154" s="493">
        <v>0</v>
      </c>
      <c r="AK154" s="493">
        <v>0</v>
      </c>
      <c r="AL154" s="493">
        <v>0</v>
      </c>
      <c r="AM154" s="493">
        <v>0</v>
      </c>
      <c r="AN154" s="493">
        <v>0</v>
      </c>
      <c r="AO154" s="493">
        <f t="shared" si="200"/>
        <v>0</v>
      </c>
      <c r="AP154" s="493">
        <f t="shared" si="201"/>
        <v>0</v>
      </c>
      <c r="AQ154" s="495">
        <f t="shared" si="188"/>
        <v>0</v>
      </c>
      <c r="AR154" s="502">
        <f t="shared" si="189"/>
        <v>1976334</v>
      </c>
      <c r="AS154" s="492">
        <f t="shared" si="190"/>
        <v>1446443</v>
      </c>
      <c r="AT154" s="492">
        <f t="shared" si="202"/>
        <v>0</v>
      </c>
      <c r="AU154" s="492">
        <f t="shared" si="203"/>
        <v>488898</v>
      </c>
      <c r="AV154" s="492">
        <f t="shared" si="203"/>
        <v>28929</v>
      </c>
      <c r="AW154" s="492">
        <f t="shared" si="191"/>
        <v>12064</v>
      </c>
      <c r="AX154" s="493">
        <f t="shared" si="192"/>
        <v>4.5599999999999996</v>
      </c>
      <c r="AY154" s="493">
        <f t="shared" si="204"/>
        <v>0</v>
      </c>
      <c r="AZ154" s="495">
        <f t="shared" si="204"/>
        <v>4.5599999999999996</v>
      </c>
    </row>
    <row r="155" spans="1:52" s="238" customFormat="1" ht="12.75" customHeight="1" x14ac:dyDescent="0.2">
      <c r="A155" s="164">
        <v>32</v>
      </c>
      <c r="B155" s="15">
        <v>3426</v>
      </c>
      <c r="C155" s="163">
        <v>600078019</v>
      </c>
      <c r="D155" s="163">
        <v>72742470</v>
      </c>
      <c r="E155" s="239" t="s">
        <v>72</v>
      </c>
      <c r="F155" s="15"/>
      <c r="G155" s="239"/>
      <c r="H155" s="277"/>
      <c r="I155" s="496">
        <v>7615142</v>
      </c>
      <c r="J155" s="496">
        <v>5559946</v>
      </c>
      <c r="K155" s="496">
        <v>18850</v>
      </c>
      <c r="L155" s="496">
        <v>1885633</v>
      </c>
      <c r="M155" s="496">
        <v>111199</v>
      </c>
      <c r="N155" s="496">
        <v>39514</v>
      </c>
      <c r="O155" s="456">
        <v>13.9542</v>
      </c>
      <c r="P155" s="456">
        <v>7.5</v>
      </c>
      <c r="Q155" s="456">
        <v>6.4542000000000002</v>
      </c>
      <c r="R155" s="542">
        <f t="shared" ref="R155:AZ155" si="205">SUM(R152:R154)</f>
        <v>0</v>
      </c>
      <c r="S155" s="496">
        <f t="shared" si="205"/>
        <v>0</v>
      </c>
      <c r="T155" s="496">
        <f t="shared" si="205"/>
        <v>0</v>
      </c>
      <c r="U155" s="496">
        <f t="shared" si="205"/>
        <v>0</v>
      </c>
      <c r="V155" s="496">
        <f t="shared" si="205"/>
        <v>0</v>
      </c>
      <c r="W155" s="496">
        <f t="shared" si="205"/>
        <v>0</v>
      </c>
      <c r="X155" s="496">
        <f t="shared" si="205"/>
        <v>0</v>
      </c>
      <c r="Y155" s="496">
        <f t="shared" si="205"/>
        <v>0</v>
      </c>
      <c r="Z155" s="496">
        <f t="shared" si="205"/>
        <v>0</v>
      </c>
      <c r="AA155" s="496">
        <f t="shared" si="205"/>
        <v>0</v>
      </c>
      <c r="AB155" s="496">
        <f t="shared" si="205"/>
        <v>0</v>
      </c>
      <c r="AC155" s="496">
        <f t="shared" si="205"/>
        <v>0</v>
      </c>
      <c r="AD155" s="496">
        <f t="shared" si="205"/>
        <v>0</v>
      </c>
      <c r="AE155" s="496">
        <f t="shared" si="205"/>
        <v>0</v>
      </c>
      <c r="AF155" s="496">
        <f t="shared" si="205"/>
        <v>0</v>
      </c>
      <c r="AG155" s="496">
        <f t="shared" si="205"/>
        <v>0</v>
      </c>
      <c r="AH155" s="456">
        <f t="shared" si="205"/>
        <v>0</v>
      </c>
      <c r="AI155" s="456">
        <f t="shared" si="205"/>
        <v>0</v>
      </c>
      <c r="AJ155" s="456">
        <f t="shared" si="205"/>
        <v>0</v>
      </c>
      <c r="AK155" s="456">
        <f t="shared" si="205"/>
        <v>0</v>
      </c>
      <c r="AL155" s="456">
        <f t="shared" si="205"/>
        <v>0</v>
      </c>
      <c r="AM155" s="456">
        <f t="shared" si="205"/>
        <v>0</v>
      </c>
      <c r="AN155" s="456">
        <f t="shared" si="205"/>
        <v>0</v>
      </c>
      <c r="AO155" s="456">
        <f t="shared" si="205"/>
        <v>0</v>
      </c>
      <c r="AP155" s="456">
        <f t="shared" si="205"/>
        <v>0</v>
      </c>
      <c r="AQ155" s="543">
        <f t="shared" si="205"/>
        <v>0</v>
      </c>
      <c r="AR155" s="542">
        <f t="shared" si="205"/>
        <v>7615142</v>
      </c>
      <c r="AS155" s="496">
        <f t="shared" si="205"/>
        <v>5559946</v>
      </c>
      <c r="AT155" s="496">
        <f t="shared" si="205"/>
        <v>18850</v>
      </c>
      <c r="AU155" s="496">
        <f t="shared" si="205"/>
        <v>1885633</v>
      </c>
      <c r="AV155" s="496">
        <f t="shared" si="205"/>
        <v>111199</v>
      </c>
      <c r="AW155" s="496">
        <f t="shared" si="205"/>
        <v>39514</v>
      </c>
      <c r="AX155" s="456">
        <f t="shared" si="205"/>
        <v>13.9542</v>
      </c>
      <c r="AY155" s="456">
        <f t="shared" si="205"/>
        <v>7.5</v>
      </c>
      <c r="AZ155" s="543">
        <f t="shared" si="205"/>
        <v>6.4542000000000002</v>
      </c>
    </row>
    <row r="156" spans="1:52" s="238" customFormat="1" ht="12.75" customHeight="1" x14ac:dyDescent="0.2">
      <c r="A156" s="240">
        <v>33</v>
      </c>
      <c r="B156" s="241">
        <v>3425</v>
      </c>
      <c r="C156" s="241">
        <v>600078451</v>
      </c>
      <c r="D156" s="241">
        <v>72742551</v>
      </c>
      <c r="E156" s="242" t="s">
        <v>73</v>
      </c>
      <c r="F156" s="241">
        <v>3113</v>
      </c>
      <c r="G156" s="242" t="s">
        <v>315</v>
      </c>
      <c r="H156" s="278" t="s">
        <v>278</v>
      </c>
      <c r="I156" s="489">
        <v>13190694</v>
      </c>
      <c r="J156" s="489">
        <v>9501978</v>
      </c>
      <c r="K156" s="489">
        <v>12480</v>
      </c>
      <c r="L156" s="489">
        <v>3215887</v>
      </c>
      <c r="M156" s="489">
        <v>190039</v>
      </c>
      <c r="N156" s="489">
        <v>270310</v>
      </c>
      <c r="O156" s="490">
        <v>17.398099999999999</v>
      </c>
      <c r="P156" s="491">
        <v>12.8436</v>
      </c>
      <c r="Q156" s="500">
        <v>4.5545</v>
      </c>
      <c r="R156" s="502">
        <f t="shared" si="180"/>
        <v>0</v>
      </c>
      <c r="S156" s="492">
        <v>0</v>
      </c>
      <c r="T156" s="492">
        <v>0</v>
      </c>
      <c r="U156" s="492">
        <v>-6199</v>
      </c>
      <c r="V156" s="492">
        <f t="shared" si="181"/>
        <v>-6199</v>
      </c>
      <c r="W156" s="492">
        <v>0</v>
      </c>
      <c r="X156" s="492">
        <v>0</v>
      </c>
      <c r="Y156" s="492">
        <v>0</v>
      </c>
      <c r="Z156" s="492">
        <f t="shared" si="182"/>
        <v>0</v>
      </c>
      <c r="AA156" s="492">
        <f t="shared" si="183"/>
        <v>-6199</v>
      </c>
      <c r="AB156" s="74">
        <f t="shared" si="184"/>
        <v>-2095</v>
      </c>
      <c r="AC156" s="74">
        <f t="shared" si="185"/>
        <v>-124</v>
      </c>
      <c r="AD156" s="492">
        <v>0</v>
      </c>
      <c r="AE156" s="492">
        <v>0</v>
      </c>
      <c r="AF156" s="492">
        <f t="shared" si="186"/>
        <v>0</v>
      </c>
      <c r="AG156" s="492">
        <f t="shared" si="187"/>
        <v>-8418</v>
      </c>
      <c r="AH156" s="493">
        <v>0</v>
      </c>
      <c r="AI156" s="493">
        <v>0</v>
      </c>
      <c r="AJ156" s="493">
        <v>0</v>
      </c>
      <c r="AK156" s="493">
        <v>0</v>
      </c>
      <c r="AL156" s="493">
        <v>0</v>
      </c>
      <c r="AM156" s="493">
        <v>-0.01</v>
      </c>
      <c r="AN156" s="493">
        <v>0</v>
      </c>
      <c r="AO156" s="493">
        <f t="shared" ref="AO156:AO159" si="206">AH156+AJ156+AM156+AK156</f>
        <v>-0.01</v>
      </c>
      <c r="AP156" s="493">
        <f t="shared" ref="AP156:AP159" si="207">AI156+AN156+AL156</f>
        <v>0</v>
      </c>
      <c r="AQ156" s="495">
        <f t="shared" si="188"/>
        <v>-0.01</v>
      </c>
      <c r="AR156" s="502">
        <f t="shared" si="189"/>
        <v>13182276</v>
      </c>
      <c r="AS156" s="492">
        <f t="shared" si="190"/>
        <v>9495779</v>
      </c>
      <c r="AT156" s="492">
        <f t="shared" ref="AT156:AT159" si="208">K156+Z156</f>
        <v>12480</v>
      </c>
      <c r="AU156" s="492">
        <f t="shared" ref="AU156:AV159" si="209">L156+AB156</f>
        <v>3213792</v>
      </c>
      <c r="AV156" s="492">
        <f t="shared" si="209"/>
        <v>189915</v>
      </c>
      <c r="AW156" s="492">
        <f t="shared" si="191"/>
        <v>270310</v>
      </c>
      <c r="AX156" s="493">
        <f t="shared" si="192"/>
        <v>17.388099999999998</v>
      </c>
      <c r="AY156" s="493">
        <f t="shared" ref="AY156:AZ159" si="210">P156+AO156</f>
        <v>12.833600000000001</v>
      </c>
      <c r="AZ156" s="495">
        <f t="shared" si="210"/>
        <v>4.5545</v>
      </c>
    </row>
    <row r="157" spans="1:52" s="238" customFormat="1" x14ac:dyDescent="0.2">
      <c r="A157" s="240">
        <v>33</v>
      </c>
      <c r="B157" s="241">
        <v>3425</v>
      </c>
      <c r="C157" s="241">
        <v>600078451</v>
      </c>
      <c r="D157" s="241">
        <v>72742551</v>
      </c>
      <c r="E157" s="242" t="s">
        <v>73</v>
      </c>
      <c r="F157" s="241">
        <v>3113</v>
      </c>
      <c r="G157" s="242" t="s">
        <v>313</v>
      </c>
      <c r="H157" s="278" t="s">
        <v>279</v>
      </c>
      <c r="I157" s="489">
        <v>1753982</v>
      </c>
      <c r="J157" s="489">
        <v>1291592</v>
      </c>
      <c r="K157" s="489">
        <v>0</v>
      </c>
      <c r="L157" s="489">
        <v>436558</v>
      </c>
      <c r="M157" s="489">
        <v>25832</v>
      </c>
      <c r="N157" s="489">
        <v>0</v>
      </c>
      <c r="O157" s="490">
        <v>3.68</v>
      </c>
      <c r="P157" s="491">
        <v>3.68</v>
      </c>
      <c r="Q157" s="500">
        <v>0</v>
      </c>
      <c r="R157" s="502">
        <f t="shared" si="180"/>
        <v>0</v>
      </c>
      <c r="S157" s="492">
        <v>0</v>
      </c>
      <c r="T157" s="492">
        <v>0</v>
      </c>
      <c r="U157" s="492">
        <v>0</v>
      </c>
      <c r="V157" s="492">
        <f t="shared" si="181"/>
        <v>0</v>
      </c>
      <c r="W157" s="492">
        <v>0</v>
      </c>
      <c r="X157" s="492">
        <v>0</v>
      </c>
      <c r="Y157" s="492">
        <v>0</v>
      </c>
      <c r="Z157" s="492">
        <f t="shared" si="182"/>
        <v>0</v>
      </c>
      <c r="AA157" s="492">
        <f t="shared" si="183"/>
        <v>0</v>
      </c>
      <c r="AB157" s="74">
        <f t="shared" si="184"/>
        <v>0</v>
      </c>
      <c r="AC157" s="74">
        <f t="shared" si="185"/>
        <v>0</v>
      </c>
      <c r="AD157" s="492">
        <v>500</v>
      </c>
      <c r="AE157" s="492">
        <v>0</v>
      </c>
      <c r="AF157" s="492">
        <f t="shared" si="186"/>
        <v>500</v>
      </c>
      <c r="AG157" s="492">
        <f t="shared" si="187"/>
        <v>500</v>
      </c>
      <c r="AH157" s="493">
        <v>0</v>
      </c>
      <c r="AI157" s="493">
        <v>0</v>
      </c>
      <c r="AJ157" s="493">
        <v>0</v>
      </c>
      <c r="AK157" s="493">
        <v>0</v>
      </c>
      <c r="AL157" s="493">
        <v>0</v>
      </c>
      <c r="AM157" s="493">
        <v>0</v>
      </c>
      <c r="AN157" s="493">
        <v>0</v>
      </c>
      <c r="AO157" s="493">
        <f t="shared" si="206"/>
        <v>0</v>
      </c>
      <c r="AP157" s="493">
        <f t="shared" si="207"/>
        <v>0</v>
      </c>
      <c r="AQ157" s="495">
        <f t="shared" si="188"/>
        <v>0</v>
      </c>
      <c r="AR157" s="502">
        <f t="shared" si="189"/>
        <v>1754482</v>
      </c>
      <c r="AS157" s="492">
        <f t="shared" si="190"/>
        <v>1291592</v>
      </c>
      <c r="AT157" s="492">
        <f t="shared" si="208"/>
        <v>0</v>
      </c>
      <c r="AU157" s="492">
        <f t="shared" si="209"/>
        <v>436558</v>
      </c>
      <c r="AV157" s="492">
        <f t="shared" si="209"/>
        <v>25832</v>
      </c>
      <c r="AW157" s="492">
        <f t="shared" si="191"/>
        <v>500</v>
      </c>
      <c r="AX157" s="493">
        <f t="shared" si="192"/>
        <v>3.68</v>
      </c>
      <c r="AY157" s="493">
        <f t="shared" si="210"/>
        <v>3.68</v>
      </c>
      <c r="AZ157" s="495">
        <f t="shared" si="210"/>
        <v>0</v>
      </c>
    </row>
    <row r="158" spans="1:52" s="238" customFormat="1" ht="12.75" customHeight="1" x14ac:dyDescent="0.2">
      <c r="A158" s="240">
        <v>33</v>
      </c>
      <c r="B158" s="241">
        <v>3425</v>
      </c>
      <c r="C158" s="241">
        <v>600078451</v>
      </c>
      <c r="D158" s="241">
        <v>72742551</v>
      </c>
      <c r="E158" s="242" t="s">
        <v>73</v>
      </c>
      <c r="F158" s="241">
        <v>3143</v>
      </c>
      <c r="G158" s="242" t="s">
        <v>629</v>
      </c>
      <c r="H158" s="278" t="s">
        <v>278</v>
      </c>
      <c r="I158" s="489">
        <v>1124271</v>
      </c>
      <c r="J158" s="489">
        <v>827887</v>
      </c>
      <c r="K158" s="489">
        <v>0</v>
      </c>
      <c r="L158" s="489">
        <v>279826</v>
      </c>
      <c r="M158" s="489">
        <v>16558</v>
      </c>
      <c r="N158" s="489">
        <v>0</v>
      </c>
      <c r="O158" s="490">
        <v>1.77</v>
      </c>
      <c r="P158" s="491">
        <v>1.77</v>
      </c>
      <c r="Q158" s="500">
        <v>0</v>
      </c>
      <c r="R158" s="502">
        <f t="shared" si="180"/>
        <v>0</v>
      </c>
      <c r="S158" s="492">
        <v>0</v>
      </c>
      <c r="T158" s="492">
        <v>0</v>
      </c>
      <c r="U158" s="492">
        <v>0</v>
      </c>
      <c r="V158" s="492">
        <f t="shared" si="181"/>
        <v>0</v>
      </c>
      <c r="W158" s="492">
        <v>0</v>
      </c>
      <c r="X158" s="492">
        <v>0</v>
      </c>
      <c r="Y158" s="492">
        <v>0</v>
      </c>
      <c r="Z158" s="492">
        <f t="shared" si="182"/>
        <v>0</v>
      </c>
      <c r="AA158" s="492">
        <f t="shared" si="183"/>
        <v>0</v>
      </c>
      <c r="AB158" s="74">
        <f t="shared" si="184"/>
        <v>0</v>
      </c>
      <c r="AC158" s="74">
        <f t="shared" si="185"/>
        <v>0</v>
      </c>
      <c r="AD158" s="492">
        <v>0</v>
      </c>
      <c r="AE158" s="492">
        <v>0</v>
      </c>
      <c r="AF158" s="492">
        <f t="shared" si="186"/>
        <v>0</v>
      </c>
      <c r="AG158" s="492">
        <f t="shared" si="187"/>
        <v>0</v>
      </c>
      <c r="AH158" s="493">
        <v>0</v>
      </c>
      <c r="AI158" s="493">
        <v>0</v>
      </c>
      <c r="AJ158" s="493">
        <v>0</v>
      </c>
      <c r="AK158" s="493">
        <v>0</v>
      </c>
      <c r="AL158" s="493">
        <v>0</v>
      </c>
      <c r="AM158" s="493">
        <v>0</v>
      </c>
      <c r="AN158" s="493">
        <v>0</v>
      </c>
      <c r="AO158" s="493">
        <f t="shared" si="206"/>
        <v>0</v>
      </c>
      <c r="AP158" s="493">
        <f t="shared" si="207"/>
        <v>0</v>
      </c>
      <c r="AQ158" s="495">
        <f t="shared" si="188"/>
        <v>0</v>
      </c>
      <c r="AR158" s="502">
        <f t="shared" si="189"/>
        <v>1124271</v>
      </c>
      <c r="AS158" s="492">
        <f t="shared" si="190"/>
        <v>827887</v>
      </c>
      <c r="AT158" s="492">
        <f t="shared" si="208"/>
        <v>0</v>
      </c>
      <c r="AU158" s="492">
        <f t="shared" si="209"/>
        <v>279826</v>
      </c>
      <c r="AV158" s="492">
        <f t="shared" si="209"/>
        <v>16558</v>
      </c>
      <c r="AW158" s="492">
        <f t="shared" si="191"/>
        <v>0</v>
      </c>
      <c r="AX158" s="493">
        <f t="shared" si="192"/>
        <v>1.77</v>
      </c>
      <c r="AY158" s="493">
        <f t="shared" si="210"/>
        <v>1.77</v>
      </c>
      <c r="AZ158" s="495">
        <f t="shared" si="210"/>
        <v>0</v>
      </c>
    </row>
    <row r="159" spans="1:52" s="238" customFormat="1" ht="12.75" customHeight="1" x14ac:dyDescent="0.2">
      <c r="A159" s="240">
        <v>33</v>
      </c>
      <c r="B159" s="241">
        <v>3425</v>
      </c>
      <c r="C159" s="241">
        <v>600078451</v>
      </c>
      <c r="D159" s="241">
        <v>72742551</v>
      </c>
      <c r="E159" s="242" t="s">
        <v>73</v>
      </c>
      <c r="F159" s="241">
        <v>3143</v>
      </c>
      <c r="G159" s="242" t="s">
        <v>630</v>
      </c>
      <c r="H159" s="278" t="s">
        <v>279</v>
      </c>
      <c r="I159" s="489">
        <v>40068</v>
      </c>
      <c r="J159" s="489">
        <v>28334</v>
      </c>
      <c r="K159" s="489">
        <v>0</v>
      </c>
      <c r="L159" s="489">
        <v>9577</v>
      </c>
      <c r="M159" s="489">
        <v>567</v>
      </c>
      <c r="N159" s="489">
        <v>1590</v>
      </c>
      <c r="O159" s="490">
        <v>0.11</v>
      </c>
      <c r="P159" s="491">
        <v>0</v>
      </c>
      <c r="Q159" s="500">
        <v>0.11</v>
      </c>
      <c r="R159" s="502">
        <f t="shared" si="180"/>
        <v>0</v>
      </c>
      <c r="S159" s="492">
        <v>0</v>
      </c>
      <c r="T159" s="492">
        <v>0</v>
      </c>
      <c r="U159" s="492">
        <v>0</v>
      </c>
      <c r="V159" s="492">
        <f t="shared" si="181"/>
        <v>0</v>
      </c>
      <c r="W159" s="492">
        <v>0</v>
      </c>
      <c r="X159" s="492">
        <v>0</v>
      </c>
      <c r="Y159" s="492">
        <v>0</v>
      </c>
      <c r="Z159" s="492">
        <f t="shared" si="182"/>
        <v>0</v>
      </c>
      <c r="AA159" s="492">
        <f t="shared" si="183"/>
        <v>0</v>
      </c>
      <c r="AB159" s="74">
        <f t="shared" si="184"/>
        <v>0</v>
      </c>
      <c r="AC159" s="74">
        <f t="shared" si="185"/>
        <v>0</v>
      </c>
      <c r="AD159" s="492">
        <v>0</v>
      </c>
      <c r="AE159" s="492">
        <v>0</v>
      </c>
      <c r="AF159" s="492">
        <f t="shared" si="186"/>
        <v>0</v>
      </c>
      <c r="AG159" s="492">
        <f t="shared" si="187"/>
        <v>0</v>
      </c>
      <c r="AH159" s="493">
        <v>0</v>
      </c>
      <c r="AI159" s="493">
        <v>0</v>
      </c>
      <c r="AJ159" s="493">
        <v>0</v>
      </c>
      <c r="AK159" s="493">
        <v>0</v>
      </c>
      <c r="AL159" s="493">
        <v>0</v>
      </c>
      <c r="AM159" s="493">
        <v>0</v>
      </c>
      <c r="AN159" s="493">
        <v>0</v>
      </c>
      <c r="AO159" s="493">
        <f t="shared" si="206"/>
        <v>0</v>
      </c>
      <c r="AP159" s="493">
        <f t="shared" si="207"/>
        <v>0</v>
      </c>
      <c r="AQ159" s="495">
        <f t="shared" si="188"/>
        <v>0</v>
      </c>
      <c r="AR159" s="502">
        <f t="shared" si="189"/>
        <v>40068</v>
      </c>
      <c r="AS159" s="492">
        <f t="shared" si="190"/>
        <v>28334</v>
      </c>
      <c r="AT159" s="492">
        <f t="shared" si="208"/>
        <v>0</v>
      </c>
      <c r="AU159" s="492">
        <f t="shared" si="209"/>
        <v>9577</v>
      </c>
      <c r="AV159" s="492">
        <f t="shared" si="209"/>
        <v>567</v>
      </c>
      <c r="AW159" s="492">
        <f t="shared" si="191"/>
        <v>1590</v>
      </c>
      <c r="AX159" s="493">
        <f t="shared" si="192"/>
        <v>0.11</v>
      </c>
      <c r="AY159" s="493">
        <f t="shared" si="210"/>
        <v>0</v>
      </c>
      <c r="AZ159" s="495">
        <f t="shared" si="210"/>
        <v>0.11</v>
      </c>
    </row>
    <row r="160" spans="1:52" s="238" customFormat="1" ht="12.75" customHeight="1" x14ac:dyDescent="0.2">
      <c r="A160" s="164">
        <v>33</v>
      </c>
      <c r="B160" s="15">
        <v>3425</v>
      </c>
      <c r="C160" s="163">
        <v>600078451</v>
      </c>
      <c r="D160" s="163">
        <v>72742551</v>
      </c>
      <c r="E160" s="239" t="s">
        <v>74</v>
      </c>
      <c r="F160" s="15"/>
      <c r="G160" s="239"/>
      <c r="H160" s="277"/>
      <c r="I160" s="496">
        <v>16109015</v>
      </c>
      <c r="J160" s="496">
        <v>11649791</v>
      </c>
      <c r="K160" s="496">
        <v>12480</v>
      </c>
      <c r="L160" s="496">
        <v>3941848</v>
      </c>
      <c r="M160" s="496">
        <v>232996</v>
      </c>
      <c r="N160" s="496">
        <v>271900</v>
      </c>
      <c r="O160" s="456">
        <v>22.958099999999998</v>
      </c>
      <c r="P160" s="456">
        <v>18.293600000000001</v>
      </c>
      <c r="Q160" s="456">
        <v>4.6645000000000003</v>
      </c>
      <c r="R160" s="542">
        <f t="shared" ref="R160:AZ160" si="211">SUM(R156:R159)</f>
        <v>0</v>
      </c>
      <c r="S160" s="496">
        <f t="shared" si="211"/>
        <v>0</v>
      </c>
      <c r="T160" s="496">
        <f t="shared" si="211"/>
        <v>0</v>
      </c>
      <c r="U160" s="496">
        <f t="shared" si="211"/>
        <v>-6199</v>
      </c>
      <c r="V160" s="496">
        <f t="shared" si="211"/>
        <v>-6199</v>
      </c>
      <c r="W160" s="496">
        <f t="shared" si="211"/>
        <v>0</v>
      </c>
      <c r="X160" s="496">
        <f t="shared" si="211"/>
        <v>0</v>
      </c>
      <c r="Y160" s="496">
        <f t="shared" si="211"/>
        <v>0</v>
      </c>
      <c r="Z160" s="496">
        <f t="shared" si="211"/>
        <v>0</v>
      </c>
      <c r="AA160" s="496">
        <f t="shared" si="211"/>
        <v>-6199</v>
      </c>
      <c r="AB160" s="496">
        <f t="shared" si="211"/>
        <v>-2095</v>
      </c>
      <c r="AC160" s="496">
        <f t="shared" si="211"/>
        <v>-124</v>
      </c>
      <c r="AD160" s="496">
        <f t="shared" si="211"/>
        <v>500</v>
      </c>
      <c r="AE160" s="496">
        <f t="shared" si="211"/>
        <v>0</v>
      </c>
      <c r="AF160" s="496">
        <f t="shared" si="211"/>
        <v>500</v>
      </c>
      <c r="AG160" s="496">
        <f t="shared" si="211"/>
        <v>-7918</v>
      </c>
      <c r="AH160" s="456">
        <f t="shared" si="211"/>
        <v>0</v>
      </c>
      <c r="AI160" s="456">
        <f t="shared" si="211"/>
        <v>0</v>
      </c>
      <c r="AJ160" s="456">
        <f t="shared" si="211"/>
        <v>0</v>
      </c>
      <c r="AK160" s="456">
        <f t="shared" si="211"/>
        <v>0</v>
      </c>
      <c r="AL160" s="456">
        <f t="shared" si="211"/>
        <v>0</v>
      </c>
      <c r="AM160" s="456">
        <f t="shared" si="211"/>
        <v>-0.01</v>
      </c>
      <c r="AN160" s="456">
        <f t="shared" si="211"/>
        <v>0</v>
      </c>
      <c r="AO160" s="456">
        <f t="shared" si="211"/>
        <v>-0.01</v>
      </c>
      <c r="AP160" s="456">
        <f t="shared" si="211"/>
        <v>0</v>
      </c>
      <c r="AQ160" s="543">
        <f t="shared" si="211"/>
        <v>-0.01</v>
      </c>
      <c r="AR160" s="542">
        <f t="shared" si="211"/>
        <v>16101097</v>
      </c>
      <c r="AS160" s="496">
        <f t="shared" si="211"/>
        <v>11643592</v>
      </c>
      <c r="AT160" s="496">
        <f t="shared" si="211"/>
        <v>12480</v>
      </c>
      <c r="AU160" s="496">
        <f t="shared" si="211"/>
        <v>3939753</v>
      </c>
      <c r="AV160" s="496">
        <f t="shared" si="211"/>
        <v>232872</v>
      </c>
      <c r="AW160" s="496">
        <f t="shared" si="211"/>
        <v>272400</v>
      </c>
      <c r="AX160" s="456">
        <f t="shared" si="211"/>
        <v>22.948099999999997</v>
      </c>
      <c r="AY160" s="456">
        <f t="shared" si="211"/>
        <v>18.2836</v>
      </c>
      <c r="AZ160" s="543">
        <f t="shared" si="211"/>
        <v>4.6645000000000003</v>
      </c>
    </row>
    <row r="161" spans="1:52" s="238" customFormat="1" ht="12.75" customHeight="1" x14ac:dyDescent="0.2">
      <c r="A161" s="240">
        <v>34</v>
      </c>
      <c r="B161" s="241">
        <v>3418</v>
      </c>
      <c r="C161" s="241">
        <v>600078001</v>
      </c>
      <c r="D161" s="241">
        <v>70695954</v>
      </c>
      <c r="E161" s="242" t="s">
        <v>75</v>
      </c>
      <c r="F161" s="241">
        <v>3111</v>
      </c>
      <c r="G161" s="242" t="s">
        <v>312</v>
      </c>
      <c r="H161" s="278" t="s">
        <v>278</v>
      </c>
      <c r="I161" s="489">
        <v>1948722</v>
      </c>
      <c r="J161" s="489">
        <v>1422625</v>
      </c>
      <c r="K161" s="489">
        <v>6500</v>
      </c>
      <c r="L161" s="489">
        <v>483044</v>
      </c>
      <c r="M161" s="489">
        <v>28453</v>
      </c>
      <c r="N161" s="489">
        <v>8100</v>
      </c>
      <c r="O161" s="490">
        <v>3.0752000000000002</v>
      </c>
      <c r="P161" s="491">
        <v>2.2902999999999998</v>
      </c>
      <c r="Q161" s="500">
        <v>0.78490000000000038</v>
      </c>
      <c r="R161" s="502">
        <f t="shared" si="180"/>
        <v>0</v>
      </c>
      <c r="S161" s="492">
        <v>0</v>
      </c>
      <c r="T161" s="492">
        <v>0</v>
      </c>
      <c r="U161" s="492">
        <v>0</v>
      </c>
      <c r="V161" s="492">
        <f t="shared" si="181"/>
        <v>0</v>
      </c>
      <c r="W161" s="492">
        <v>0</v>
      </c>
      <c r="X161" s="492">
        <v>0</v>
      </c>
      <c r="Y161" s="492">
        <v>0</v>
      </c>
      <c r="Z161" s="492">
        <f t="shared" si="182"/>
        <v>0</v>
      </c>
      <c r="AA161" s="492">
        <f t="shared" si="183"/>
        <v>0</v>
      </c>
      <c r="AB161" s="74">
        <f t="shared" si="184"/>
        <v>0</v>
      </c>
      <c r="AC161" s="74">
        <f t="shared" si="185"/>
        <v>0</v>
      </c>
      <c r="AD161" s="492">
        <v>0</v>
      </c>
      <c r="AE161" s="492">
        <v>0</v>
      </c>
      <c r="AF161" s="492">
        <f t="shared" si="186"/>
        <v>0</v>
      </c>
      <c r="AG161" s="492">
        <f t="shared" si="187"/>
        <v>0</v>
      </c>
      <c r="AH161" s="493">
        <v>0</v>
      </c>
      <c r="AI161" s="493">
        <v>0</v>
      </c>
      <c r="AJ161" s="493">
        <v>0</v>
      </c>
      <c r="AK161" s="493">
        <v>0</v>
      </c>
      <c r="AL161" s="493">
        <v>0</v>
      </c>
      <c r="AM161" s="493">
        <v>0</v>
      </c>
      <c r="AN161" s="493">
        <v>0</v>
      </c>
      <c r="AO161" s="493">
        <f t="shared" ref="AO161:AO163" si="212">AH161+AJ161+AM161+AK161</f>
        <v>0</v>
      </c>
      <c r="AP161" s="493">
        <f t="shared" ref="AP161:AP163" si="213">AI161+AN161+AL161</f>
        <v>0</v>
      </c>
      <c r="AQ161" s="495">
        <f t="shared" si="188"/>
        <v>0</v>
      </c>
      <c r="AR161" s="502">
        <f t="shared" si="189"/>
        <v>1948722</v>
      </c>
      <c r="AS161" s="492">
        <f t="shared" si="190"/>
        <v>1422625</v>
      </c>
      <c r="AT161" s="492">
        <f t="shared" ref="AT161:AT163" si="214">K161+Z161</f>
        <v>6500</v>
      </c>
      <c r="AU161" s="492">
        <f t="shared" ref="AU161:AV163" si="215">L161+AB161</f>
        <v>483044</v>
      </c>
      <c r="AV161" s="492">
        <f t="shared" si="215"/>
        <v>28453</v>
      </c>
      <c r="AW161" s="492">
        <f t="shared" si="191"/>
        <v>8100</v>
      </c>
      <c r="AX161" s="493">
        <f t="shared" si="192"/>
        <v>3.0752000000000002</v>
      </c>
      <c r="AY161" s="493">
        <f t="shared" ref="AY161:AZ163" si="216">P161+AO161</f>
        <v>2.2902999999999998</v>
      </c>
      <c r="AZ161" s="495">
        <f t="shared" si="216"/>
        <v>0.78490000000000038</v>
      </c>
    </row>
    <row r="162" spans="1:52" s="238" customFormat="1" ht="12.75" customHeight="1" x14ac:dyDescent="0.2">
      <c r="A162" s="240">
        <v>34</v>
      </c>
      <c r="B162" s="241">
        <v>3418</v>
      </c>
      <c r="C162" s="241">
        <v>600078001</v>
      </c>
      <c r="D162" s="241">
        <v>70695954</v>
      </c>
      <c r="E162" s="242" t="s">
        <v>75</v>
      </c>
      <c r="F162" s="241">
        <v>3111</v>
      </c>
      <c r="G162" s="242" t="s">
        <v>313</v>
      </c>
      <c r="H162" s="278" t="s">
        <v>279</v>
      </c>
      <c r="I162" s="489">
        <v>0</v>
      </c>
      <c r="J162" s="489">
        <v>0</v>
      </c>
      <c r="K162" s="489">
        <v>0</v>
      </c>
      <c r="L162" s="489">
        <v>0</v>
      </c>
      <c r="M162" s="489">
        <v>0</v>
      </c>
      <c r="N162" s="489">
        <v>0</v>
      </c>
      <c r="O162" s="490">
        <v>0</v>
      </c>
      <c r="P162" s="491">
        <v>0</v>
      </c>
      <c r="Q162" s="500">
        <v>0</v>
      </c>
      <c r="R162" s="502">
        <f t="shared" si="180"/>
        <v>0</v>
      </c>
      <c r="S162" s="492">
        <v>0</v>
      </c>
      <c r="T162" s="492">
        <v>0</v>
      </c>
      <c r="U162" s="492">
        <v>0</v>
      </c>
      <c r="V162" s="492">
        <f t="shared" si="181"/>
        <v>0</v>
      </c>
      <c r="W162" s="492">
        <v>0</v>
      </c>
      <c r="X162" s="492">
        <v>0</v>
      </c>
      <c r="Y162" s="492">
        <v>0</v>
      </c>
      <c r="Z162" s="492">
        <f t="shared" si="182"/>
        <v>0</v>
      </c>
      <c r="AA162" s="492">
        <f t="shared" si="183"/>
        <v>0</v>
      </c>
      <c r="AB162" s="74">
        <f t="shared" si="184"/>
        <v>0</v>
      </c>
      <c r="AC162" s="74">
        <f t="shared" si="185"/>
        <v>0</v>
      </c>
      <c r="AD162" s="492">
        <v>0</v>
      </c>
      <c r="AE162" s="492">
        <v>0</v>
      </c>
      <c r="AF162" s="492">
        <f t="shared" si="186"/>
        <v>0</v>
      </c>
      <c r="AG162" s="492">
        <f t="shared" si="187"/>
        <v>0</v>
      </c>
      <c r="AH162" s="493">
        <v>0</v>
      </c>
      <c r="AI162" s="493">
        <v>0</v>
      </c>
      <c r="AJ162" s="493">
        <v>0</v>
      </c>
      <c r="AK162" s="493">
        <v>0</v>
      </c>
      <c r="AL162" s="493">
        <v>0</v>
      </c>
      <c r="AM162" s="493">
        <v>0</v>
      </c>
      <c r="AN162" s="493">
        <v>0</v>
      </c>
      <c r="AO162" s="493">
        <f t="shared" si="212"/>
        <v>0</v>
      </c>
      <c r="AP162" s="493">
        <f t="shared" si="213"/>
        <v>0</v>
      </c>
      <c r="AQ162" s="495">
        <f t="shared" si="188"/>
        <v>0</v>
      </c>
      <c r="AR162" s="502">
        <f t="shared" si="189"/>
        <v>0</v>
      </c>
      <c r="AS162" s="492">
        <f t="shared" si="190"/>
        <v>0</v>
      </c>
      <c r="AT162" s="492">
        <f t="shared" si="214"/>
        <v>0</v>
      </c>
      <c r="AU162" s="492">
        <f t="shared" si="215"/>
        <v>0</v>
      </c>
      <c r="AV162" s="492">
        <f t="shared" si="215"/>
        <v>0</v>
      </c>
      <c r="AW162" s="492">
        <f t="shared" si="191"/>
        <v>0</v>
      </c>
      <c r="AX162" s="493">
        <f t="shared" si="192"/>
        <v>0</v>
      </c>
      <c r="AY162" s="493">
        <f t="shared" si="216"/>
        <v>0</v>
      </c>
      <c r="AZ162" s="495">
        <f t="shared" si="216"/>
        <v>0</v>
      </c>
    </row>
    <row r="163" spans="1:52" s="238" customFormat="1" ht="12.75" customHeight="1" x14ac:dyDescent="0.2">
      <c r="A163" s="240">
        <v>34</v>
      </c>
      <c r="B163" s="241">
        <v>3418</v>
      </c>
      <c r="C163" s="241">
        <v>600078001</v>
      </c>
      <c r="D163" s="241">
        <v>70695954</v>
      </c>
      <c r="E163" s="242" t="s">
        <v>75</v>
      </c>
      <c r="F163" s="241">
        <v>3141</v>
      </c>
      <c r="G163" s="242" t="s">
        <v>316</v>
      </c>
      <c r="H163" s="278" t="s">
        <v>279</v>
      </c>
      <c r="I163" s="489">
        <v>322499</v>
      </c>
      <c r="J163" s="489">
        <v>230308</v>
      </c>
      <c r="K163" s="489">
        <v>6500</v>
      </c>
      <c r="L163" s="489">
        <v>80041</v>
      </c>
      <c r="M163" s="489">
        <v>4606</v>
      </c>
      <c r="N163" s="489">
        <v>1044</v>
      </c>
      <c r="O163" s="490">
        <v>0.75</v>
      </c>
      <c r="P163" s="491">
        <v>0</v>
      </c>
      <c r="Q163" s="500">
        <v>0.75</v>
      </c>
      <c r="R163" s="502">
        <f t="shared" si="180"/>
        <v>0</v>
      </c>
      <c r="S163" s="492">
        <v>0</v>
      </c>
      <c r="T163" s="492">
        <v>0</v>
      </c>
      <c r="U163" s="492">
        <v>0</v>
      </c>
      <c r="V163" s="492">
        <f t="shared" si="181"/>
        <v>0</v>
      </c>
      <c r="W163" s="492">
        <v>0</v>
      </c>
      <c r="X163" s="492">
        <v>0</v>
      </c>
      <c r="Y163" s="492">
        <v>0</v>
      </c>
      <c r="Z163" s="492">
        <f t="shared" si="182"/>
        <v>0</v>
      </c>
      <c r="AA163" s="492">
        <f t="shared" si="183"/>
        <v>0</v>
      </c>
      <c r="AB163" s="74">
        <f t="shared" si="184"/>
        <v>0</v>
      </c>
      <c r="AC163" s="74">
        <f t="shared" si="185"/>
        <v>0</v>
      </c>
      <c r="AD163" s="492">
        <v>0</v>
      </c>
      <c r="AE163" s="492">
        <v>0</v>
      </c>
      <c r="AF163" s="492">
        <f t="shared" si="186"/>
        <v>0</v>
      </c>
      <c r="AG163" s="492">
        <f t="shared" si="187"/>
        <v>0</v>
      </c>
      <c r="AH163" s="493">
        <v>0</v>
      </c>
      <c r="AI163" s="493">
        <v>0</v>
      </c>
      <c r="AJ163" s="493">
        <v>0</v>
      </c>
      <c r="AK163" s="493">
        <v>0</v>
      </c>
      <c r="AL163" s="493">
        <v>0</v>
      </c>
      <c r="AM163" s="493">
        <v>0</v>
      </c>
      <c r="AN163" s="493">
        <v>0</v>
      </c>
      <c r="AO163" s="493">
        <f t="shared" si="212"/>
        <v>0</v>
      </c>
      <c r="AP163" s="493">
        <f t="shared" si="213"/>
        <v>0</v>
      </c>
      <c r="AQ163" s="495">
        <f t="shared" si="188"/>
        <v>0</v>
      </c>
      <c r="AR163" s="502">
        <f t="shared" si="189"/>
        <v>322499</v>
      </c>
      <c r="AS163" s="492">
        <f t="shared" si="190"/>
        <v>230308</v>
      </c>
      <c r="AT163" s="492">
        <f t="shared" si="214"/>
        <v>6500</v>
      </c>
      <c r="AU163" s="492">
        <f t="shared" si="215"/>
        <v>80041</v>
      </c>
      <c r="AV163" s="492">
        <f t="shared" si="215"/>
        <v>4606</v>
      </c>
      <c r="AW163" s="492">
        <f t="shared" si="191"/>
        <v>1044</v>
      </c>
      <c r="AX163" s="493">
        <f t="shared" si="192"/>
        <v>0.75</v>
      </c>
      <c r="AY163" s="493">
        <f t="shared" si="216"/>
        <v>0</v>
      </c>
      <c r="AZ163" s="495">
        <f t="shared" si="216"/>
        <v>0.75</v>
      </c>
    </row>
    <row r="164" spans="1:52" s="238" customFormat="1" ht="12.75" customHeight="1" x14ac:dyDescent="0.2">
      <c r="A164" s="164">
        <v>34</v>
      </c>
      <c r="B164" s="15">
        <v>3418</v>
      </c>
      <c r="C164" s="163">
        <v>600078001</v>
      </c>
      <c r="D164" s="163">
        <v>70695954</v>
      </c>
      <c r="E164" s="239" t="s">
        <v>76</v>
      </c>
      <c r="F164" s="15"/>
      <c r="G164" s="239"/>
      <c r="H164" s="277"/>
      <c r="I164" s="496">
        <v>2271221</v>
      </c>
      <c r="J164" s="496">
        <v>1652933</v>
      </c>
      <c r="K164" s="496">
        <v>13000</v>
      </c>
      <c r="L164" s="496">
        <v>563085</v>
      </c>
      <c r="M164" s="496">
        <v>33059</v>
      </c>
      <c r="N164" s="496">
        <v>9144</v>
      </c>
      <c r="O164" s="456">
        <v>3.8252000000000002</v>
      </c>
      <c r="P164" s="456">
        <v>2.2902999999999998</v>
      </c>
      <c r="Q164" s="456">
        <v>1.5349000000000004</v>
      </c>
      <c r="R164" s="542">
        <f t="shared" ref="R164:AZ164" si="217">SUM(R161:R163)</f>
        <v>0</v>
      </c>
      <c r="S164" s="496">
        <f t="shared" si="217"/>
        <v>0</v>
      </c>
      <c r="T164" s="496">
        <f t="shared" si="217"/>
        <v>0</v>
      </c>
      <c r="U164" s="496">
        <f t="shared" si="217"/>
        <v>0</v>
      </c>
      <c r="V164" s="496">
        <f t="shared" si="217"/>
        <v>0</v>
      </c>
      <c r="W164" s="496">
        <f t="shared" si="217"/>
        <v>0</v>
      </c>
      <c r="X164" s="496">
        <f t="shared" si="217"/>
        <v>0</v>
      </c>
      <c r="Y164" s="496">
        <f t="shared" si="217"/>
        <v>0</v>
      </c>
      <c r="Z164" s="496">
        <f t="shared" si="217"/>
        <v>0</v>
      </c>
      <c r="AA164" s="496">
        <f t="shared" si="217"/>
        <v>0</v>
      </c>
      <c r="AB164" s="496">
        <f t="shared" si="217"/>
        <v>0</v>
      </c>
      <c r="AC164" s="496">
        <f t="shared" si="217"/>
        <v>0</v>
      </c>
      <c r="AD164" s="496">
        <f t="shared" si="217"/>
        <v>0</v>
      </c>
      <c r="AE164" s="496">
        <f t="shared" si="217"/>
        <v>0</v>
      </c>
      <c r="AF164" s="496">
        <f t="shared" si="217"/>
        <v>0</v>
      </c>
      <c r="AG164" s="496">
        <f t="shared" si="217"/>
        <v>0</v>
      </c>
      <c r="AH164" s="456">
        <f t="shared" si="217"/>
        <v>0</v>
      </c>
      <c r="AI164" s="456">
        <f t="shared" si="217"/>
        <v>0</v>
      </c>
      <c r="AJ164" s="456">
        <f t="shared" si="217"/>
        <v>0</v>
      </c>
      <c r="AK164" s="456">
        <f t="shared" si="217"/>
        <v>0</v>
      </c>
      <c r="AL164" s="456">
        <f t="shared" si="217"/>
        <v>0</v>
      </c>
      <c r="AM164" s="456">
        <f t="shared" si="217"/>
        <v>0</v>
      </c>
      <c r="AN164" s="456">
        <f t="shared" si="217"/>
        <v>0</v>
      </c>
      <c r="AO164" s="456">
        <f t="shared" si="217"/>
        <v>0</v>
      </c>
      <c r="AP164" s="456">
        <f t="shared" si="217"/>
        <v>0</v>
      </c>
      <c r="AQ164" s="543">
        <f t="shared" si="217"/>
        <v>0</v>
      </c>
      <c r="AR164" s="542">
        <f t="shared" si="217"/>
        <v>2271221</v>
      </c>
      <c r="AS164" s="496">
        <f t="shared" si="217"/>
        <v>1652933</v>
      </c>
      <c r="AT164" s="496">
        <f t="shared" si="217"/>
        <v>13000</v>
      </c>
      <c r="AU164" s="496">
        <f t="shared" si="217"/>
        <v>563085</v>
      </c>
      <c r="AV164" s="496">
        <f t="shared" si="217"/>
        <v>33059</v>
      </c>
      <c r="AW164" s="496">
        <f t="shared" si="217"/>
        <v>9144</v>
      </c>
      <c r="AX164" s="456">
        <f t="shared" si="217"/>
        <v>3.8252000000000002</v>
      </c>
      <c r="AY164" s="456">
        <f t="shared" si="217"/>
        <v>2.2902999999999998</v>
      </c>
      <c r="AZ164" s="543">
        <f t="shared" si="217"/>
        <v>1.5349000000000004</v>
      </c>
    </row>
    <row r="165" spans="1:52" s="238" customFormat="1" ht="12.75" customHeight="1" x14ac:dyDescent="0.2">
      <c r="A165" s="240">
        <v>35</v>
      </c>
      <c r="B165" s="241">
        <v>3428</v>
      </c>
      <c r="C165" s="241">
        <v>600078311</v>
      </c>
      <c r="D165" s="241">
        <v>72742518</v>
      </c>
      <c r="E165" s="242" t="s">
        <v>77</v>
      </c>
      <c r="F165" s="241">
        <v>3111</v>
      </c>
      <c r="G165" s="242" t="s">
        <v>312</v>
      </c>
      <c r="H165" s="278" t="s">
        <v>278</v>
      </c>
      <c r="I165" s="489">
        <v>2960404</v>
      </c>
      <c r="J165" s="489">
        <v>2166387</v>
      </c>
      <c r="K165" s="489">
        <v>0</v>
      </c>
      <c r="L165" s="489">
        <v>732239</v>
      </c>
      <c r="M165" s="489">
        <v>43328</v>
      </c>
      <c r="N165" s="489">
        <v>18450</v>
      </c>
      <c r="O165" s="490">
        <v>4.9218000000000002</v>
      </c>
      <c r="P165" s="491">
        <v>4</v>
      </c>
      <c r="Q165" s="500">
        <v>0.92179999999999995</v>
      </c>
      <c r="R165" s="502">
        <f t="shared" si="180"/>
        <v>0</v>
      </c>
      <c r="S165" s="492">
        <v>0</v>
      </c>
      <c r="T165" s="492">
        <v>0</v>
      </c>
      <c r="U165" s="492">
        <v>0</v>
      </c>
      <c r="V165" s="492">
        <f t="shared" si="181"/>
        <v>0</v>
      </c>
      <c r="W165" s="492">
        <v>0</v>
      </c>
      <c r="X165" s="492">
        <v>0</v>
      </c>
      <c r="Y165" s="492">
        <v>0</v>
      </c>
      <c r="Z165" s="492">
        <f t="shared" si="182"/>
        <v>0</v>
      </c>
      <c r="AA165" s="492">
        <f t="shared" si="183"/>
        <v>0</v>
      </c>
      <c r="AB165" s="74">
        <f t="shared" si="184"/>
        <v>0</v>
      </c>
      <c r="AC165" s="74">
        <f t="shared" si="185"/>
        <v>0</v>
      </c>
      <c r="AD165" s="492">
        <v>0</v>
      </c>
      <c r="AE165" s="492">
        <v>0</v>
      </c>
      <c r="AF165" s="492">
        <f t="shared" si="186"/>
        <v>0</v>
      </c>
      <c r="AG165" s="492">
        <f t="shared" si="187"/>
        <v>0</v>
      </c>
      <c r="AH165" s="493">
        <v>0</v>
      </c>
      <c r="AI165" s="493">
        <v>0</v>
      </c>
      <c r="AJ165" s="493">
        <v>0</v>
      </c>
      <c r="AK165" s="493">
        <v>0</v>
      </c>
      <c r="AL165" s="493">
        <v>0</v>
      </c>
      <c r="AM165" s="493">
        <v>0</v>
      </c>
      <c r="AN165" s="493">
        <v>0</v>
      </c>
      <c r="AO165" s="493">
        <f t="shared" ref="AO165:AO170" si="218">AH165+AJ165+AM165+AK165</f>
        <v>0</v>
      </c>
      <c r="AP165" s="493">
        <f t="shared" ref="AP165:AP170" si="219">AI165+AN165+AL165</f>
        <v>0</v>
      </c>
      <c r="AQ165" s="495">
        <f t="shared" si="188"/>
        <v>0</v>
      </c>
      <c r="AR165" s="502">
        <f t="shared" si="189"/>
        <v>2960404</v>
      </c>
      <c r="AS165" s="492">
        <f t="shared" si="190"/>
        <v>2166387</v>
      </c>
      <c r="AT165" s="492">
        <f t="shared" ref="AT165:AT170" si="220">K165+Z165</f>
        <v>0</v>
      </c>
      <c r="AU165" s="492">
        <f t="shared" ref="AU165:AV170" si="221">L165+AB165</f>
        <v>732239</v>
      </c>
      <c r="AV165" s="492">
        <f t="shared" si="221"/>
        <v>43328</v>
      </c>
      <c r="AW165" s="492">
        <f t="shared" si="191"/>
        <v>18450</v>
      </c>
      <c r="AX165" s="493">
        <f t="shared" si="192"/>
        <v>4.9218000000000002</v>
      </c>
      <c r="AY165" s="493">
        <f t="shared" ref="AY165:AZ170" si="222">P165+AO165</f>
        <v>4</v>
      </c>
      <c r="AZ165" s="495">
        <f t="shared" si="222"/>
        <v>0.92179999999999995</v>
      </c>
    </row>
    <row r="166" spans="1:52" s="238" customFormat="1" ht="12.75" customHeight="1" x14ac:dyDescent="0.2">
      <c r="A166" s="240">
        <v>35</v>
      </c>
      <c r="B166" s="241">
        <v>3428</v>
      </c>
      <c r="C166" s="241">
        <v>600078311</v>
      </c>
      <c r="D166" s="241">
        <v>72742518</v>
      </c>
      <c r="E166" s="242" t="s">
        <v>77</v>
      </c>
      <c r="F166" s="241">
        <v>3117</v>
      </c>
      <c r="G166" s="242" t="s">
        <v>315</v>
      </c>
      <c r="H166" s="278" t="s">
        <v>278</v>
      </c>
      <c r="I166" s="489">
        <v>3705243</v>
      </c>
      <c r="J166" s="489">
        <v>2680607</v>
      </c>
      <c r="K166" s="489">
        <v>0</v>
      </c>
      <c r="L166" s="489">
        <v>906045</v>
      </c>
      <c r="M166" s="489">
        <v>53611</v>
      </c>
      <c r="N166" s="489">
        <v>64980</v>
      </c>
      <c r="O166" s="490">
        <v>5.1837</v>
      </c>
      <c r="P166" s="491">
        <v>3.5634999999999999</v>
      </c>
      <c r="Q166" s="500">
        <v>1.6201999999999999</v>
      </c>
      <c r="R166" s="502">
        <f t="shared" si="180"/>
        <v>0</v>
      </c>
      <c r="S166" s="492">
        <v>0</v>
      </c>
      <c r="T166" s="492">
        <v>0</v>
      </c>
      <c r="U166" s="492">
        <v>0</v>
      </c>
      <c r="V166" s="492">
        <f t="shared" si="181"/>
        <v>0</v>
      </c>
      <c r="W166" s="492">
        <v>0</v>
      </c>
      <c r="X166" s="492">
        <v>0</v>
      </c>
      <c r="Y166" s="492">
        <v>0</v>
      </c>
      <c r="Z166" s="492">
        <f t="shared" si="182"/>
        <v>0</v>
      </c>
      <c r="AA166" s="492">
        <f t="shared" si="183"/>
        <v>0</v>
      </c>
      <c r="AB166" s="74">
        <f t="shared" si="184"/>
        <v>0</v>
      </c>
      <c r="AC166" s="74">
        <f t="shared" si="185"/>
        <v>0</v>
      </c>
      <c r="AD166" s="492">
        <v>0</v>
      </c>
      <c r="AE166" s="492">
        <v>0</v>
      </c>
      <c r="AF166" s="492">
        <f t="shared" si="186"/>
        <v>0</v>
      </c>
      <c r="AG166" s="492">
        <f t="shared" si="187"/>
        <v>0</v>
      </c>
      <c r="AH166" s="493">
        <v>0</v>
      </c>
      <c r="AI166" s="493">
        <v>0</v>
      </c>
      <c r="AJ166" s="493">
        <v>0</v>
      </c>
      <c r="AK166" s="493">
        <v>0</v>
      </c>
      <c r="AL166" s="493">
        <v>0</v>
      </c>
      <c r="AM166" s="493">
        <v>0</v>
      </c>
      <c r="AN166" s="493">
        <v>0</v>
      </c>
      <c r="AO166" s="493">
        <f t="shared" si="218"/>
        <v>0</v>
      </c>
      <c r="AP166" s="493">
        <f t="shared" si="219"/>
        <v>0</v>
      </c>
      <c r="AQ166" s="495">
        <f t="shared" si="188"/>
        <v>0</v>
      </c>
      <c r="AR166" s="502">
        <f t="shared" si="189"/>
        <v>3705243</v>
      </c>
      <c r="AS166" s="492">
        <f t="shared" si="190"/>
        <v>2680607</v>
      </c>
      <c r="AT166" s="492">
        <f t="shared" si="220"/>
        <v>0</v>
      </c>
      <c r="AU166" s="492">
        <f t="shared" si="221"/>
        <v>906045</v>
      </c>
      <c r="AV166" s="492">
        <f t="shared" si="221"/>
        <v>53611</v>
      </c>
      <c r="AW166" s="492">
        <f t="shared" si="191"/>
        <v>64980</v>
      </c>
      <c r="AX166" s="493">
        <f t="shared" si="192"/>
        <v>5.1837</v>
      </c>
      <c r="AY166" s="493">
        <f t="shared" si="222"/>
        <v>3.5634999999999999</v>
      </c>
      <c r="AZ166" s="495">
        <f t="shared" si="222"/>
        <v>1.6201999999999999</v>
      </c>
    </row>
    <row r="167" spans="1:52" s="238" customFormat="1" x14ac:dyDescent="0.2">
      <c r="A167" s="240">
        <v>35</v>
      </c>
      <c r="B167" s="241">
        <v>3428</v>
      </c>
      <c r="C167" s="241">
        <v>600078311</v>
      </c>
      <c r="D167" s="241">
        <v>72742518</v>
      </c>
      <c r="E167" s="242" t="s">
        <v>77</v>
      </c>
      <c r="F167" s="241">
        <v>3117</v>
      </c>
      <c r="G167" s="242" t="s">
        <v>313</v>
      </c>
      <c r="H167" s="278" t="s">
        <v>279</v>
      </c>
      <c r="I167" s="489">
        <v>1270432</v>
      </c>
      <c r="J167" s="489">
        <v>935517</v>
      </c>
      <c r="K167" s="489">
        <v>0</v>
      </c>
      <c r="L167" s="489">
        <v>316205</v>
      </c>
      <c r="M167" s="489">
        <v>18710</v>
      </c>
      <c r="N167" s="489">
        <v>0</v>
      </c>
      <c r="O167" s="490">
        <v>2.65</v>
      </c>
      <c r="P167" s="491">
        <v>2.65</v>
      </c>
      <c r="Q167" s="500">
        <v>0</v>
      </c>
      <c r="R167" s="502">
        <f t="shared" si="180"/>
        <v>0</v>
      </c>
      <c r="S167" s="492">
        <v>0</v>
      </c>
      <c r="T167" s="492">
        <v>0</v>
      </c>
      <c r="U167" s="492">
        <v>0</v>
      </c>
      <c r="V167" s="492">
        <f t="shared" si="181"/>
        <v>0</v>
      </c>
      <c r="W167" s="492">
        <v>0</v>
      </c>
      <c r="X167" s="492">
        <v>0</v>
      </c>
      <c r="Y167" s="492">
        <v>0</v>
      </c>
      <c r="Z167" s="492">
        <f t="shared" si="182"/>
        <v>0</v>
      </c>
      <c r="AA167" s="492">
        <f t="shared" si="183"/>
        <v>0</v>
      </c>
      <c r="AB167" s="74">
        <f t="shared" si="184"/>
        <v>0</v>
      </c>
      <c r="AC167" s="74">
        <f t="shared" si="185"/>
        <v>0</v>
      </c>
      <c r="AD167" s="492">
        <v>0</v>
      </c>
      <c r="AE167" s="492">
        <v>0</v>
      </c>
      <c r="AF167" s="492">
        <f t="shared" si="186"/>
        <v>0</v>
      </c>
      <c r="AG167" s="492">
        <f t="shared" si="187"/>
        <v>0</v>
      </c>
      <c r="AH167" s="493">
        <v>0</v>
      </c>
      <c r="AI167" s="493">
        <v>0</v>
      </c>
      <c r="AJ167" s="493">
        <v>0</v>
      </c>
      <c r="AK167" s="493">
        <v>0</v>
      </c>
      <c r="AL167" s="493">
        <v>0</v>
      </c>
      <c r="AM167" s="493">
        <v>0</v>
      </c>
      <c r="AN167" s="493">
        <v>0</v>
      </c>
      <c r="AO167" s="493">
        <f t="shared" si="218"/>
        <v>0</v>
      </c>
      <c r="AP167" s="493">
        <f t="shared" si="219"/>
        <v>0</v>
      </c>
      <c r="AQ167" s="495">
        <f t="shared" si="188"/>
        <v>0</v>
      </c>
      <c r="AR167" s="502">
        <f t="shared" si="189"/>
        <v>1270432</v>
      </c>
      <c r="AS167" s="492">
        <f t="shared" si="190"/>
        <v>935517</v>
      </c>
      <c r="AT167" s="492">
        <f t="shared" si="220"/>
        <v>0</v>
      </c>
      <c r="AU167" s="492">
        <f t="shared" si="221"/>
        <v>316205</v>
      </c>
      <c r="AV167" s="492">
        <f t="shared" si="221"/>
        <v>18710</v>
      </c>
      <c r="AW167" s="492">
        <f t="shared" si="191"/>
        <v>0</v>
      </c>
      <c r="AX167" s="493">
        <f t="shared" si="192"/>
        <v>2.65</v>
      </c>
      <c r="AY167" s="493">
        <f t="shared" si="222"/>
        <v>2.65</v>
      </c>
      <c r="AZ167" s="495">
        <f t="shared" si="222"/>
        <v>0</v>
      </c>
    </row>
    <row r="168" spans="1:52" s="238" customFormat="1" ht="12.75" customHeight="1" x14ac:dyDescent="0.2">
      <c r="A168" s="240">
        <v>35</v>
      </c>
      <c r="B168" s="241">
        <v>3428</v>
      </c>
      <c r="C168" s="241">
        <v>600078311</v>
      </c>
      <c r="D168" s="241">
        <v>72742518</v>
      </c>
      <c r="E168" s="242" t="s">
        <v>77</v>
      </c>
      <c r="F168" s="241">
        <v>3141</v>
      </c>
      <c r="G168" s="242" t="s">
        <v>316</v>
      </c>
      <c r="H168" s="278" t="s">
        <v>279</v>
      </c>
      <c r="I168" s="489">
        <v>1030937</v>
      </c>
      <c r="J168" s="489">
        <v>704550</v>
      </c>
      <c r="K168" s="489">
        <v>52000</v>
      </c>
      <c r="L168" s="489">
        <v>255714</v>
      </c>
      <c r="M168" s="489">
        <v>14091</v>
      </c>
      <c r="N168" s="489">
        <v>4582</v>
      </c>
      <c r="O168" s="490">
        <v>2.1799999999999997</v>
      </c>
      <c r="P168" s="491">
        <v>0</v>
      </c>
      <c r="Q168" s="500">
        <v>2.1799999999999997</v>
      </c>
      <c r="R168" s="502">
        <f t="shared" si="180"/>
        <v>0</v>
      </c>
      <c r="S168" s="492">
        <v>0</v>
      </c>
      <c r="T168" s="492">
        <v>0</v>
      </c>
      <c r="U168" s="492">
        <v>0</v>
      </c>
      <c r="V168" s="492">
        <f t="shared" si="181"/>
        <v>0</v>
      </c>
      <c r="W168" s="492">
        <v>0</v>
      </c>
      <c r="X168" s="492">
        <v>0</v>
      </c>
      <c r="Y168" s="492">
        <v>0</v>
      </c>
      <c r="Z168" s="492">
        <f t="shared" si="182"/>
        <v>0</v>
      </c>
      <c r="AA168" s="492">
        <f t="shared" si="183"/>
        <v>0</v>
      </c>
      <c r="AB168" s="74">
        <f t="shared" si="184"/>
        <v>0</v>
      </c>
      <c r="AC168" s="74">
        <f t="shared" si="185"/>
        <v>0</v>
      </c>
      <c r="AD168" s="492">
        <v>0</v>
      </c>
      <c r="AE168" s="492">
        <v>0</v>
      </c>
      <c r="AF168" s="492">
        <f t="shared" si="186"/>
        <v>0</v>
      </c>
      <c r="AG168" s="492">
        <f t="shared" si="187"/>
        <v>0</v>
      </c>
      <c r="AH168" s="493">
        <v>0</v>
      </c>
      <c r="AI168" s="493">
        <v>0</v>
      </c>
      <c r="AJ168" s="493">
        <v>0</v>
      </c>
      <c r="AK168" s="493">
        <v>0</v>
      </c>
      <c r="AL168" s="493">
        <v>0</v>
      </c>
      <c r="AM168" s="493">
        <v>0</v>
      </c>
      <c r="AN168" s="493">
        <v>0</v>
      </c>
      <c r="AO168" s="493">
        <f t="shared" si="218"/>
        <v>0</v>
      </c>
      <c r="AP168" s="493">
        <f t="shared" si="219"/>
        <v>0</v>
      </c>
      <c r="AQ168" s="495">
        <f t="shared" si="188"/>
        <v>0</v>
      </c>
      <c r="AR168" s="502">
        <f t="shared" si="189"/>
        <v>1030937</v>
      </c>
      <c r="AS168" s="492">
        <f t="shared" si="190"/>
        <v>704550</v>
      </c>
      <c r="AT168" s="492">
        <f t="shared" si="220"/>
        <v>52000</v>
      </c>
      <c r="AU168" s="492">
        <f t="shared" si="221"/>
        <v>255714</v>
      </c>
      <c r="AV168" s="492">
        <f t="shared" si="221"/>
        <v>14091</v>
      </c>
      <c r="AW168" s="492">
        <f t="shared" si="191"/>
        <v>4582</v>
      </c>
      <c r="AX168" s="493">
        <f t="shared" si="192"/>
        <v>2.1799999999999997</v>
      </c>
      <c r="AY168" s="493">
        <f t="shared" si="222"/>
        <v>0</v>
      </c>
      <c r="AZ168" s="495">
        <f t="shared" si="222"/>
        <v>2.1799999999999997</v>
      </c>
    </row>
    <row r="169" spans="1:52" s="238" customFormat="1" ht="12.75" customHeight="1" x14ac:dyDescent="0.2">
      <c r="A169" s="240">
        <v>35</v>
      </c>
      <c r="B169" s="241">
        <v>3428</v>
      </c>
      <c r="C169" s="241">
        <v>600078311</v>
      </c>
      <c r="D169" s="241">
        <v>72742518</v>
      </c>
      <c r="E169" s="242" t="s">
        <v>77</v>
      </c>
      <c r="F169" s="241">
        <v>3143</v>
      </c>
      <c r="G169" s="242" t="s">
        <v>629</v>
      </c>
      <c r="H169" s="278" t="s">
        <v>278</v>
      </c>
      <c r="I169" s="489">
        <v>772751</v>
      </c>
      <c r="J169" s="489">
        <v>569036</v>
      </c>
      <c r="K169" s="489">
        <v>0</v>
      </c>
      <c r="L169" s="489">
        <v>192334</v>
      </c>
      <c r="M169" s="489">
        <v>11381</v>
      </c>
      <c r="N169" s="489">
        <v>0</v>
      </c>
      <c r="O169" s="490">
        <v>1.1607000000000001</v>
      </c>
      <c r="P169" s="491">
        <v>1.1607000000000001</v>
      </c>
      <c r="Q169" s="500">
        <v>0</v>
      </c>
      <c r="R169" s="502">
        <f t="shared" si="180"/>
        <v>0</v>
      </c>
      <c r="S169" s="492">
        <v>0</v>
      </c>
      <c r="T169" s="492">
        <v>0</v>
      </c>
      <c r="U169" s="492">
        <v>0</v>
      </c>
      <c r="V169" s="492">
        <f t="shared" si="181"/>
        <v>0</v>
      </c>
      <c r="W169" s="492">
        <v>0</v>
      </c>
      <c r="X169" s="492">
        <v>0</v>
      </c>
      <c r="Y169" s="492">
        <v>0</v>
      </c>
      <c r="Z169" s="492">
        <f t="shared" si="182"/>
        <v>0</v>
      </c>
      <c r="AA169" s="492">
        <f t="shared" si="183"/>
        <v>0</v>
      </c>
      <c r="AB169" s="74">
        <f t="shared" si="184"/>
        <v>0</v>
      </c>
      <c r="AC169" s="74">
        <f t="shared" si="185"/>
        <v>0</v>
      </c>
      <c r="AD169" s="492">
        <v>0</v>
      </c>
      <c r="AE169" s="492">
        <v>0</v>
      </c>
      <c r="AF169" s="492">
        <f t="shared" si="186"/>
        <v>0</v>
      </c>
      <c r="AG169" s="492">
        <f t="shared" si="187"/>
        <v>0</v>
      </c>
      <c r="AH169" s="493">
        <v>0</v>
      </c>
      <c r="AI169" s="493">
        <v>0</v>
      </c>
      <c r="AJ169" s="493">
        <v>0</v>
      </c>
      <c r="AK169" s="493">
        <v>0</v>
      </c>
      <c r="AL169" s="493">
        <v>0</v>
      </c>
      <c r="AM169" s="493">
        <v>0</v>
      </c>
      <c r="AN169" s="493">
        <v>0</v>
      </c>
      <c r="AO169" s="493">
        <f t="shared" si="218"/>
        <v>0</v>
      </c>
      <c r="AP169" s="493">
        <f t="shared" si="219"/>
        <v>0</v>
      </c>
      <c r="AQ169" s="495">
        <f t="shared" si="188"/>
        <v>0</v>
      </c>
      <c r="AR169" s="502">
        <f t="shared" si="189"/>
        <v>772751</v>
      </c>
      <c r="AS169" s="492">
        <f t="shared" si="190"/>
        <v>569036</v>
      </c>
      <c r="AT169" s="492">
        <f t="shared" si="220"/>
        <v>0</v>
      </c>
      <c r="AU169" s="492">
        <f t="shared" si="221"/>
        <v>192334</v>
      </c>
      <c r="AV169" s="492">
        <f t="shared" si="221"/>
        <v>11381</v>
      </c>
      <c r="AW169" s="492">
        <f t="shared" si="191"/>
        <v>0</v>
      </c>
      <c r="AX169" s="493">
        <f t="shared" si="192"/>
        <v>1.1607000000000001</v>
      </c>
      <c r="AY169" s="493">
        <f t="shared" si="222"/>
        <v>1.1607000000000001</v>
      </c>
      <c r="AZ169" s="495">
        <f t="shared" si="222"/>
        <v>0</v>
      </c>
    </row>
    <row r="170" spans="1:52" s="238" customFormat="1" ht="12.75" customHeight="1" x14ac:dyDescent="0.2">
      <c r="A170" s="240">
        <v>35</v>
      </c>
      <c r="B170" s="241">
        <v>3428</v>
      </c>
      <c r="C170" s="241">
        <v>600078311</v>
      </c>
      <c r="D170" s="241">
        <v>72742518</v>
      </c>
      <c r="E170" s="242" t="s">
        <v>77</v>
      </c>
      <c r="F170" s="241">
        <v>3143</v>
      </c>
      <c r="G170" s="242" t="s">
        <v>630</v>
      </c>
      <c r="H170" s="278" t="s">
        <v>279</v>
      </c>
      <c r="I170" s="489">
        <v>22680</v>
      </c>
      <c r="J170" s="489">
        <v>16038</v>
      </c>
      <c r="K170" s="489">
        <v>0</v>
      </c>
      <c r="L170" s="489">
        <v>5421</v>
      </c>
      <c r="M170" s="489">
        <v>321</v>
      </c>
      <c r="N170" s="489">
        <v>900</v>
      </c>
      <c r="O170" s="490">
        <v>0.06</v>
      </c>
      <c r="P170" s="491">
        <v>0</v>
      </c>
      <c r="Q170" s="500">
        <v>0.06</v>
      </c>
      <c r="R170" s="502">
        <f t="shared" si="180"/>
        <v>0</v>
      </c>
      <c r="S170" s="492">
        <v>0</v>
      </c>
      <c r="T170" s="492">
        <v>0</v>
      </c>
      <c r="U170" s="492">
        <v>0</v>
      </c>
      <c r="V170" s="492">
        <f t="shared" si="181"/>
        <v>0</v>
      </c>
      <c r="W170" s="492">
        <v>0</v>
      </c>
      <c r="X170" s="492">
        <v>0</v>
      </c>
      <c r="Y170" s="492">
        <v>0</v>
      </c>
      <c r="Z170" s="492">
        <f t="shared" si="182"/>
        <v>0</v>
      </c>
      <c r="AA170" s="492">
        <f t="shared" si="183"/>
        <v>0</v>
      </c>
      <c r="AB170" s="74">
        <f t="shared" si="184"/>
        <v>0</v>
      </c>
      <c r="AC170" s="74">
        <f t="shared" si="185"/>
        <v>0</v>
      </c>
      <c r="AD170" s="492">
        <v>0</v>
      </c>
      <c r="AE170" s="492">
        <v>0</v>
      </c>
      <c r="AF170" s="492">
        <f t="shared" si="186"/>
        <v>0</v>
      </c>
      <c r="AG170" s="492">
        <f t="shared" si="187"/>
        <v>0</v>
      </c>
      <c r="AH170" s="493">
        <v>0</v>
      </c>
      <c r="AI170" s="493">
        <v>0</v>
      </c>
      <c r="AJ170" s="493">
        <v>0</v>
      </c>
      <c r="AK170" s="493">
        <v>0</v>
      </c>
      <c r="AL170" s="493">
        <v>0</v>
      </c>
      <c r="AM170" s="493">
        <v>0</v>
      </c>
      <c r="AN170" s="493">
        <v>0</v>
      </c>
      <c r="AO170" s="493">
        <f t="shared" si="218"/>
        <v>0</v>
      </c>
      <c r="AP170" s="493">
        <f t="shared" si="219"/>
        <v>0</v>
      </c>
      <c r="AQ170" s="495">
        <f t="shared" si="188"/>
        <v>0</v>
      </c>
      <c r="AR170" s="502">
        <f t="shared" si="189"/>
        <v>22680</v>
      </c>
      <c r="AS170" s="492">
        <f t="shared" si="190"/>
        <v>16038</v>
      </c>
      <c r="AT170" s="492">
        <f t="shared" si="220"/>
        <v>0</v>
      </c>
      <c r="AU170" s="492">
        <f t="shared" si="221"/>
        <v>5421</v>
      </c>
      <c r="AV170" s="492">
        <f t="shared" si="221"/>
        <v>321</v>
      </c>
      <c r="AW170" s="492">
        <f t="shared" si="191"/>
        <v>900</v>
      </c>
      <c r="AX170" s="493">
        <f t="shared" si="192"/>
        <v>0.06</v>
      </c>
      <c r="AY170" s="493">
        <f t="shared" si="222"/>
        <v>0</v>
      </c>
      <c r="AZ170" s="495">
        <f t="shared" si="222"/>
        <v>0.06</v>
      </c>
    </row>
    <row r="171" spans="1:52" s="238" customFormat="1" ht="12.75" customHeight="1" x14ac:dyDescent="0.2">
      <c r="A171" s="164">
        <v>35</v>
      </c>
      <c r="B171" s="15">
        <v>3428</v>
      </c>
      <c r="C171" s="163">
        <v>600078311</v>
      </c>
      <c r="D171" s="163">
        <v>72742518</v>
      </c>
      <c r="E171" s="239" t="s">
        <v>78</v>
      </c>
      <c r="F171" s="15"/>
      <c r="G171" s="239"/>
      <c r="H171" s="277"/>
      <c r="I171" s="496">
        <v>9762447</v>
      </c>
      <c r="J171" s="496">
        <v>7072135</v>
      </c>
      <c r="K171" s="496">
        <v>52000</v>
      </c>
      <c r="L171" s="496">
        <v>2407958</v>
      </c>
      <c r="M171" s="496">
        <v>141442</v>
      </c>
      <c r="N171" s="496">
        <v>88912</v>
      </c>
      <c r="O171" s="456">
        <v>16.156199999999998</v>
      </c>
      <c r="P171" s="456">
        <v>11.3742</v>
      </c>
      <c r="Q171" s="456">
        <v>4.7819999999999991</v>
      </c>
      <c r="R171" s="542">
        <f t="shared" ref="R171:AZ171" si="223">SUM(R165:R170)</f>
        <v>0</v>
      </c>
      <c r="S171" s="496">
        <f t="shared" si="223"/>
        <v>0</v>
      </c>
      <c r="T171" s="496">
        <f t="shared" si="223"/>
        <v>0</v>
      </c>
      <c r="U171" s="496">
        <f t="shared" si="223"/>
        <v>0</v>
      </c>
      <c r="V171" s="496">
        <f t="shared" si="223"/>
        <v>0</v>
      </c>
      <c r="W171" s="496">
        <f t="shared" si="223"/>
        <v>0</v>
      </c>
      <c r="X171" s="496">
        <f t="shared" si="223"/>
        <v>0</v>
      </c>
      <c r="Y171" s="496">
        <f t="shared" si="223"/>
        <v>0</v>
      </c>
      <c r="Z171" s="496">
        <f t="shared" si="223"/>
        <v>0</v>
      </c>
      <c r="AA171" s="496">
        <f t="shared" si="223"/>
        <v>0</v>
      </c>
      <c r="AB171" s="496">
        <f t="shared" si="223"/>
        <v>0</v>
      </c>
      <c r="AC171" s="496">
        <f t="shared" si="223"/>
        <v>0</v>
      </c>
      <c r="AD171" s="496">
        <f t="shared" si="223"/>
        <v>0</v>
      </c>
      <c r="AE171" s="496">
        <f t="shared" si="223"/>
        <v>0</v>
      </c>
      <c r="AF171" s="496">
        <f t="shared" si="223"/>
        <v>0</v>
      </c>
      <c r="AG171" s="496">
        <f t="shared" si="223"/>
        <v>0</v>
      </c>
      <c r="AH171" s="456">
        <f t="shared" si="223"/>
        <v>0</v>
      </c>
      <c r="AI171" s="456">
        <f t="shared" si="223"/>
        <v>0</v>
      </c>
      <c r="AJ171" s="456">
        <f t="shared" si="223"/>
        <v>0</v>
      </c>
      <c r="AK171" s="456">
        <f t="shared" si="223"/>
        <v>0</v>
      </c>
      <c r="AL171" s="456">
        <f t="shared" si="223"/>
        <v>0</v>
      </c>
      <c r="AM171" s="456">
        <f t="shared" si="223"/>
        <v>0</v>
      </c>
      <c r="AN171" s="456">
        <f t="shared" si="223"/>
        <v>0</v>
      </c>
      <c r="AO171" s="456">
        <f t="shared" si="223"/>
        <v>0</v>
      </c>
      <c r="AP171" s="456">
        <f t="shared" si="223"/>
        <v>0</v>
      </c>
      <c r="AQ171" s="543">
        <f t="shared" si="223"/>
        <v>0</v>
      </c>
      <c r="AR171" s="542">
        <f t="shared" si="223"/>
        <v>9762447</v>
      </c>
      <c r="AS171" s="496">
        <f t="shared" si="223"/>
        <v>7072135</v>
      </c>
      <c r="AT171" s="496">
        <f t="shared" si="223"/>
        <v>52000</v>
      </c>
      <c r="AU171" s="496">
        <f t="shared" si="223"/>
        <v>2407958</v>
      </c>
      <c r="AV171" s="496">
        <f t="shared" si="223"/>
        <v>141442</v>
      </c>
      <c r="AW171" s="496">
        <f t="shared" si="223"/>
        <v>88912</v>
      </c>
      <c r="AX171" s="456">
        <f t="shared" si="223"/>
        <v>16.156199999999998</v>
      </c>
      <c r="AY171" s="456">
        <f t="shared" si="223"/>
        <v>11.3742</v>
      </c>
      <c r="AZ171" s="543">
        <f t="shared" si="223"/>
        <v>4.7819999999999991</v>
      </c>
    </row>
    <row r="172" spans="1:52" s="238" customFormat="1" ht="12.75" customHeight="1" x14ac:dyDescent="0.2">
      <c r="A172" s="240">
        <v>36</v>
      </c>
      <c r="B172" s="241">
        <v>3433</v>
      </c>
      <c r="C172" s="241">
        <v>600078043</v>
      </c>
      <c r="D172" s="241">
        <v>70695130</v>
      </c>
      <c r="E172" s="242" t="s">
        <v>79</v>
      </c>
      <c r="F172" s="241">
        <v>3111</v>
      </c>
      <c r="G172" s="242" t="s">
        <v>312</v>
      </c>
      <c r="H172" s="278" t="s">
        <v>278</v>
      </c>
      <c r="I172" s="489">
        <v>3487899</v>
      </c>
      <c r="J172" s="489">
        <v>2554491</v>
      </c>
      <c r="K172" s="489">
        <v>0</v>
      </c>
      <c r="L172" s="489">
        <v>863418</v>
      </c>
      <c r="M172" s="489">
        <v>51090</v>
      </c>
      <c r="N172" s="489">
        <v>18900</v>
      </c>
      <c r="O172" s="490">
        <v>5.4897999999999998</v>
      </c>
      <c r="P172" s="491">
        <v>4</v>
      </c>
      <c r="Q172" s="500">
        <v>1.4897999999999998</v>
      </c>
      <c r="R172" s="502">
        <f t="shared" si="180"/>
        <v>0</v>
      </c>
      <c r="S172" s="492">
        <v>0</v>
      </c>
      <c r="T172" s="492">
        <v>0</v>
      </c>
      <c r="U172" s="492">
        <v>0</v>
      </c>
      <c r="V172" s="492">
        <f t="shared" si="181"/>
        <v>0</v>
      </c>
      <c r="W172" s="492">
        <v>0</v>
      </c>
      <c r="X172" s="492">
        <v>0</v>
      </c>
      <c r="Y172" s="492">
        <v>0</v>
      </c>
      <c r="Z172" s="492">
        <f t="shared" si="182"/>
        <v>0</v>
      </c>
      <c r="AA172" s="492">
        <f t="shared" si="183"/>
        <v>0</v>
      </c>
      <c r="AB172" s="74">
        <f t="shared" si="184"/>
        <v>0</v>
      </c>
      <c r="AC172" s="74">
        <f t="shared" si="185"/>
        <v>0</v>
      </c>
      <c r="AD172" s="492">
        <v>0</v>
      </c>
      <c r="AE172" s="492">
        <v>0</v>
      </c>
      <c r="AF172" s="492">
        <f t="shared" si="186"/>
        <v>0</v>
      </c>
      <c r="AG172" s="492">
        <f t="shared" si="187"/>
        <v>0</v>
      </c>
      <c r="AH172" s="493">
        <v>0</v>
      </c>
      <c r="AI172" s="493">
        <v>0</v>
      </c>
      <c r="AJ172" s="493">
        <v>0</v>
      </c>
      <c r="AK172" s="493">
        <v>0</v>
      </c>
      <c r="AL172" s="493">
        <v>0</v>
      </c>
      <c r="AM172" s="493">
        <v>0</v>
      </c>
      <c r="AN172" s="493">
        <v>0</v>
      </c>
      <c r="AO172" s="493">
        <f t="shared" ref="AO172:AO173" si="224">AH172+AJ172+AM172+AK172</f>
        <v>0</v>
      </c>
      <c r="AP172" s="493">
        <f t="shared" ref="AP172:AP173" si="225">AI172+AN172+AL172</f>
        <v>0</v>
      </c>
      <c r="AQ172" s="495">
        <f t="shared" si="188"/>
        <v>0</v>
      </c>
      <c r="AR172" s="502">
        <f t="shared" si="189"/>
        <v>3487899</v>
      </c>
      <c r="AS172" s="492">
        <f t="shared" si="190"/>
        <v>2554491</v>
      </c>
      <c r="AT172" s="492">
        <f t="shared" ref="AT172:AT173" si="226">K172+Z172</f>
        <v>0</v>
      </c>
      <c r="AU172" s="492">
        <f>L172+AB172</f>
        <v>863418</v>
      </c>
      <c r="AV172" s="492">
        <f>M172+AC172</f>
        <v>51090</v>
      </c>
      <c r="AW172" s="492">
        <f t="shared" si="191"/>
        <v>18900</v>
      </c>
      <c r="AX172" s="493">
        <f t="shared" si="192"/>
        <v>5.4897999999999998</v>
      </c>
      <c r="AY172" s="493">
        <f>P172+AO172</f>
        <v>4</v>
      </c>
      <c r="AZ172" s="495">
        <f>Q172+AP172</f>
        <v>1.4897999999999998</v>
      </c>
    </row>
    <row r="173" spans="1:52" s="238" customFormat="1" ht="12.75" customHeight="1" x14ac:dyDescent="0.2">
      <c r="A173" s="240">
        <v>36</v>
      </c>
      <c r="B173" s="241">
        <v>3433</v>
      </c>
      <c r="C173" s="241">
        <v>600078043</v>
      </c>
      <c r="D173" s="241">
        <v>70695130</v>
      </c>
      <c r="E173" s="242" t="s">
        <v>79</v>
      </c>
      <c r="F173" s="241">
        <v>3141</v>
      </c>
      <c r="G173" s="242" t="s">
        <v>316</v>
      </c>
      <c r="H173" s="278" t="s">
        <v>279</v>
      </c>
      <c r="I173" s="489">
        <v>609714</v>
      </c>
      <c r="J173" s="489">
        <v>447185</v>
      </c>
      <c r="K173" s="489">
        <v>0</v>
      </c>
      <c r="L173" s="489">
        <v>151149</v>
      </c>
      <c r="M173" s="489">
        <v>8944</v>
      </c>
      <c r="N173" s="489">
        <v>2436</v>
      </c>
      <c r="O173" s="490">
        <v>1.41</v>
      </c>
      <c r="P173" s="491">
        <v>0</v>
      </c>
      <c r="Q173" s="500">
        <v>1.41</v>
      </c>
      <c r="R173" s="502">
        <f t="shared" si="180"/>
        <v>0</v>
      </c>
      <c r="S173" s="492">
        <v>0</v>
      </c>
      <c r="T173" s="492">
        <v>0</v>
      </c>
      <c r="U173" s="492">
        <v>0</v>
      </c>
      <c r="V173" s="492">
        <f t="shared" si="181"/>
        <v>0</v>
      </c>
      <c r="W173" s="492">
        <v>0</v>
      </c>
      <c r="X173" s="492">
        <v>0</v>
      </c>
      <c r="Y173" s="492">
        <v>0</v>
      </c>
      <c r="Z173" s="492">
        <f t="shared" si="182"/>
        <v>0</v>
      </c>
      <c r="AA173" s="492">
        <f t="shared" si="183"/>
        <v>0</v>
      </c>
      <c r="AB173" s="74">
        <f t="shared" si="184"/>
        <v>0</v>
      </c>
      <c r="AC173" s="74">
        <f t="shared" si="185"/>
        <v>0</v>
      </c>
      <c r="AD173" s="492">
        <v>0</v>
      </c>
      <c r="AE173" s="492">
        <v>0</v>
      </c>
      <c r="AF173" s="492">
        <f t="shared" si="186"/>
        <v>0</v>
      </c>
      <c r="AG173" s="492">
        <f t="shared" si="187"/>
        <v>0</v>
      </c>
      <c r="AH173" s="493">
        <v>0</v>
      </c>
      <c r="AI173" s="493">
        <v>0</v>
      </c>
      <c r="AJ173" s="493">
        <v>0</v>
      </c>
      <c r="AK173" s="493">
        <v>0</v>
      </c>
      <c r="AL173" s="493">
        <v>0</v>
      </c>
      <c r="AM173" s="493">
        <v>0</v>
      </c>
      <c r="AN173" s="493">
        <v>0</v>
      </c>
      <c r="AO173" s="493">
        <f t="shared" si="224"/>
        <v>0</v>
      </c>
      <c r="AP173" s="493">
        <f t="shared" si="225"/>
        <v>0</v>
      </c>
      <c r="AQ173" s="495">
        <f t="shared" si="188"/>
        <v>0</v>
      </c>
      <c r="AR173" s="502">
        <f t="shared" si="189"/>
        <v>609714</v>
      </c>
      <c r="AS173" s="492">
        <f t="shared" si="190"/>
        <v>447185</v>
      </c>
      <c r="AT173" s="492">
        <f t="shared" si="226"/>
        <v>0</v>
      </c>
      <c r="AU173" s="492">
        <f>L173+AB173</f>
        <v>151149</v>
      </c>
      <c r="AV173" s="492">
        <f>M173+AC173</f>
        <v>8944</v>
      </c>
      <c r="AW173" s="492">
        <f t="shared" si="191"/>
        <v>2436</v>
      </c>
      <c r="AX173" s="493">
        <f t="shared" si="192"/>
        <v>1.41</v>
      </c>
      <c r="AY173" s="493">
        <f>P173+AO173</f>
        <v>0</v>
      </c>
      <c r="AZ173" s="495">
        <f>Q173+AP173</f>
        <v>1.41</v>
      </c>
    </row>
    <row r="174" spans="1:52" s="238" customFormat="1" ht="12.75" customHeight="1" x14ac:dyDescent="0.2">
      <c r="A174" s="164">
        <v>36</v>
      </c>
      <c r="B174" s="15">
        <v>3433</v>
      </c>
      <c r="C174" s="163">
        <v>600078043</v>
      </c>
      <c r="D174" s="163">
        <v>70695130</v>
      </c>
      <c r="E174" s="239" t="s">
        <v>80</v>
      </c>
      <c r="F174" s="15"/>
      <c r="G174" s="239"/>
      <c r="H174" s="277"/>
      <c r="I174" s="496">
        <v>4097613</v>
      </c>
      <c r="J174" s="496">
        <v>3001676</v>
      </c>
      <c r="K174" s="496">
        <v>0</v>
      </c>
      <c r="L174" s="496">
        <v>1014567</v>
      </c>
      <c r="M174" s="496">
        <v>60034</v>
      </c>
      <c r="N174" s="496">
        <v>21336</v>
      </c>
      <c r="O174" s="456">
        <v>6.8997999999999999</v>
      </c>
      <c r="P174" s="456">
        <v>4</v>
      </c>
      <c r="Q174" s="456">
        <v>2.8997999999999999</v>
      </c>
      <c r="R174" s="542">
        <f t="shared" ref="R174:AZ174" si="227">SUM(R172:R173)</f>
        <v>0</v>
      </c>
      <c r="S174" s="496">
        <f t="shared" si="227"/>
        <v>0</v>
      </c>
      <c r="T174" s="496">
        <f t="shared" si="227"/>
        <v>0</v>
      </c>
      <c r="U174" s="496">
        <f t="shared" si="227"/>
        <v>0</v>
      </c>
      <c r="V174" s="496">
        <f t="shared" si="227"/>
        <v>0</v>
      </c>
      <c r="W174" s="496">
        <f t="shared" si="227"/>
        <v>0</v>
      </c>
      <c r="X174" s="496">
        <f t="shared" si="227"/>
        <v>0</v>
      </c>
      <c r="Y174" s="496">
        <f t="shared" si="227"/>
        <v>0</v>
      </c>
      <c r="Z174" s="496">
        <f t="shared" si="227"/>
        <v>0</v>
      </c>
      <c r="AA174" s="496">
        <f t="shared" si="227"/>
        <v>0</v>
      </c>
      <c r="AB174" s="496">
        <f t="shared" si="227"/>
        <v>0</v>
      </c>
      <c r="AC174" s="496">
        <f t="shared" si="227"/>
        <v>0</v>
      </c>
      <c r="AD174" s="496">
        <f t="shared" si="227"/>
        <v>0</v>
      </c>
      <c r="AE174" s="496">
        <f t="shared" si="227"/>
        <v>0</v>
      </c>
      <c r="AF174" s="496">
        <f t="shared" si="227"/>
        <v>0</v>
      </c>
      <c r="AG174" s="496">
        <f t="shared" si="227"/>
        <v>0</v>
      </c>
      <c r="AH174" s="456">
        <f t="shared" si="227"/>
        <v>0</v>
      </c>
      <c r="AI174" s="456">
        <f t="shared" si="227"/>
        <v>0</v>
      </c>
      <c r="AJ174" s="456">
        <f t="shared" si="227"/>
        <v>0</v>
      </c>
      <c r="AK174" s="456">
        <f t="shared" si="227"/>
        <v>0</v>
      </c>
      <c r="AL174" s="456">
        <f t="shared" si="227"/>
        <v>0</v>
      </c>
      <c r="AM174" s="456">
        <f t="shared" si="227"/>
        <v>0</v>
      </c>
      <c r="AN174" s="456">
        <f t="shared" si="227"/>
        <v>0</v>
      </c>
      <c r="AO174" s="456">
        <f t="shared" si="227"/>
        <v>0</v>
      </c>
      <c r="AP174" s="456">
        <f t="shared" si="227"/>
        <v>0</v>
      </c>
      <c r="AQ174" s="543">
        <f t="shared" si="227"/>
        <v>0</v>
      </c>
      <c r="AR174" s="542">
        <f t="shared" si="227"/>
        <v>4097613</v>
      </c>
      <c r="AS174" s="496">
        <f t="shared" si="227"/>
        <v>3001676</v>
      </c>
      <c r="AT174" s="496">
        <f t="shared" si="227"/>
        <v>0</v>
      </c>
      <c r="AU174" s="496">
        <f t="shared" si="227"/>
        <v>1014567</v>
      </c>
      <c r="AV174" s="496">
        <f t="shared" si="227"/>
        <v>60034</v>
      </c>
      <c r="AW174" s="496">
        <f t="shared" si="227"/>
        <v>21336</v>
      </c>
      <c r="AX174" s="456">
        <f t="shared" si="227"/>
        <v>6.8997999999999999</v>
      </c>
      <c r="AY174" s="456">
        <f t="shared" si="227"/>
        <v>4</v>
      </c>
      <c r="AZ174" s="543">
        <f t="shared" si="227"/>
        <v>2.8997999999999999</v>
      </c>
    </row>
    <row r="175" spans="1:52" s="238" customFormat="1" ht="12.75" customHeight="1" x14ac:dyDescent="0.2">
      <c r="A175" s="240">
        <v>37</v>
      </c>
      <c r="B175" s="241">
        <v>3432</v>
      </c>
      <c r="C175" s="241">
        <v>600078329</v>
      </c>
      <c r="D175" s="241">
        <v>70695121</v>
      </c>
      <c r="E175" s="242" t="s">
        <v>81</v>
      </c>
      <c r="F175" s="241">
        <v>3117</v>
      </c>
      <c r="G175" s="242" t="s">
        <v>315</v>
      </c>
      <c r="H175" s="278" t="s">
        <v>278</v>
      </c>
      <c r="I175" s="489">
        <v>5301853</v>
      </c>
      <c r="J175" s="489">
        <v>3824833</v>
      </c>
      <c r="K175" s="489">
        <v>0</v>
      </c>
      <c r="L175" s="489">
        <v>1292793</v>
      </c>
      <c r="M175" s="489">
        <v>76497</v>
      </c>
      <c r="N175" s="489">
        <v>107730</v>
      </c>
      <c r="O175" s="490">
        <v>7.5589999999999993</v>
      </c>
      <c r="P175" s="491">
        <v>5.5374999999999996</v>
      </c>
      <c r="Q175" s="500">
        <v>2.0215000000000001</v>
      </c>
      <c r="R175" s="502">
        <f t="shared" si="180"/>
        <v>0</v>
      </c>
      <c r="S175" s="492">
        <v>0</v>
      </c>
      <c r="T175" s="492">
        <v>0</v>
      </c>
      <c r="U175" s="492">
        <v>0</v>
      </c>
      <c r="V175" s="492">
        <f t="shared" si="181"/>
        <v>0</v>
      </c>
      <c r="W175" s="492">
        <v>0</v>
      </c>
      <c r="X175" s="492">
        <v>0</v>
      </c>
      <c r="Y175" s="492">
        <v>0</v>
      </c>
      <c r="Z175" s="492">
        <f t="shared" si="182"/>
        <v>0</v>
      </c>
      <c r="AA175" s="492">
        <f t="shared" si="183"/>
        <v>0</v>
      </c>
      <c r="AB175" s="74">
        <f t="shared" si="184"/>
        <v>0</v>
      </c>
      <c r="AC175" s="74">
        <f t="shared" si="185"/>
        <v>0</v>
      </c>
      <c r="AD175" s="492">
        <v>0</v>
      </c>
      <c r="AE175" s="492">
        <v>0</v>
      </c>
      <c r="AF175" s="492">
        <f t="shared" si="186"/>
        <v>0</v>
      </c>
      <c r="AG175" s="492">
        <f t="shared" si="187"/>
        <v>0</v>
      </c>
      <c r="AH175" s="493">
        <v>0</v>
      </c>
      <c r="AI175" s="493">
        <v>0</v>
      </c>
      <c r="AJ175" s="493">
        <v>0</v>
      </c>
      <c r="AK175" s="493">
        <v>0</v>
      </c>
      <c r="AL175" s="493">
        <v>0</v>
      </c>
      <c r="AM175" s="493">
        <v>0</v>
      </c>
      <c r="AN175" s="493">
        <v>0</v>
      </c>
      <c r="AO175" s="493">
        <f t="shared" ref="AO175:AO179" si="228">AH175+AJ175+AM175+AK175</f>
        <v>0</v>
      </c>
      <c r="AP175" s="493">
        <f t="shared" ref="AP175:AP179" si="229">AI175+AN175+AL175</f>
        <v>0</v>
      </c>
      <c r="AQ175" s="495">
        <f t="shared" si="188"/>
        <v>0</v>
      </c>
      <c r="AR175" s="502">
        <f t="shared" si="189"/>
        <v>5301853</v>
      </c>
      <c r="AS175" s="492">
        <f t="shared" si="190"/>
        <v>3824833</v>
      </c>
      <c r="AT175" s="492">
        <f t="shared" ref="AT175:AT179" si="230">K175+Z175</f>
        <v>0</v>
      </c>
      <c r="AU175" s="492">
        <f t="shared" ref="AU175:AV179" si="231">L175+AB175</f>
        <v>1292793</v>
      </c>
      <c r="AV175" s="492">
        <f t="shared" si="231"/>
        <v>76497</v>
      </c>
      <c r="AW175" s="492">
        <f t="shared" si="191"/>
        <v>107730</v>
      </c>
      <c r="AX175" s="493">
        <f t="shared" si="192"/>
        <v>7.5589999999999993</v>
      </c>
      <c r="AY175" s="493">
        <f t="shared" ref="AY175:AZ179" si="232">P175+AO175</f>
        <v>5.5374999999999996</v>
      </c>
      <c r="AZ175" s="495">
        <f t="shared" si="232"/>
        <v>2.0215000000000001</v>
      </c>
    </row>
    <row r="176" spans="1:52" s="238" customFormat="1" x14ac:dyDescent="0.2">
      <c r="A176" s="240">
        <v>37</v>
      </c>
      <c r="B176" s="241">
        <v>3432</v>
      </c>
      <c r="C176" s="241">
        <v>600078329</v>
      </c>
      <c r="D176" s="241">
        <v>70695121</v>
      </c>
      <c r="E176" s="242" t="s">
        <v>81</v>
      </c>
      <c r="F176" s="241">
        <v>3117</v>
      </c>
      <c r="G176" s="242" t="s">
        <v>313</v>
      </c>
      <c r="H176" s="278" t="s">
        <v>279</v>
      </c>
      <c r="I176" s="489">
        <v>470471</v>
      </c>
      <c r="J176" s="489">
        <v>346444</v>
      </c>
      <c r="K176" s="489">
        <v>0</v>
      </c>
      <c r="L176" s="489">
        <v>117098</v>
      </c>
      <c r="M176" s="489">
        <v>6929</v>
      </c>
      <c r="N176" s="489">
        <v>0</v>
      </c>
      <c r="O176" s="490">
        <v>1</v>
      </c>
      <c r="P176" s="491">
        <v>1</v>
      </c>
      <c r="Q176" s="500">
        <v>0</v>
      </c>
      <c r="R176" s="502">
        <f t="shared" si="180"/>
        <v>0</v>
      </c>
      <c r="S176" s="492">
        <v>0</v>
      </c>
      <c r="T176" s="492">
        <v>0</v>
      </c>
      <c r="U176" s="492">
        <v>0</v>
      </c>
      <c r="V176" s="492">
        <f t="shared" si="181"/>
        <v>0</v>
      </c>
      <c r="W176" s="492">
        <v>0</v>
      </c>
      <c r="X176" s="492">
        <v>0</v>
      </c>
      <c r="Y176" s="492">
        <v>0</v>
      </c>
      <c r="Z176" s="492">
        <f t="shared" si="182"/>
        <v>0</v>
      </c>
      <c r="AA176" s="492">
        <f t="shared" si="183"/>
        <v>0</v>
      </c>
      <c r="AB176" s="74">
        <f t="shared" si="184"/>
        <v>0</v>
      </c>
      <c r="AC176" s="74">
        <f t="shared" si="185"/>
        <v>0</v>
      </c>
      <c r="AD176" s="492">
        <v>0</v>
      </c>
      <c r="AE176" s="492">
        <v>0</v>
      </c>
      <c r="AF176" s="492">
        <f t="shared" si="186"/>
        <v>0</v>
      </c>
      <c r="AG176" s="492">
        <f t="shared" si="187"/>
        <v>0</v>
      </c>
      <c r="AH176" s="493">
        <v>0</v>
      </c>
      <c r="AI176" s="493">
        <v>0</v>
      </c>
      <c r="AJ176" s="493">
        <v>0</v>
      </c>
      <c r="AK176" s="493">
        <v>0</v>
      </c>
      <c r="AL176" s="493">
        <v>0</v>
      </c>
      <c r="AM176" s="493">
        <v>0</v>
      </c>
      <c r="AN176" s="493">
        <v>0</v>
      </c>
      <c r="AO176" s="493">
        <f t="shared" si="228"/>
        <v>0</v>
      </c>
      <c r="AP176" s="493">
        <f t="shared" si="229"/>
        <v>0</v>
      </c>
      <c r="AQ176" s="495">
        <f t="shared" si="188"/>
        <v>0</v>
      </c>
      <c r="AR176" s="502">
        <f t="shared" si="189"/>
        <v>470471</v>
      </c>
      <c r="AS176" s="492">
        <f t="shared" si="190"/>
        <v>346444</v>
      </c>
      <c r="AT176" s="492">
        <f t="shared" si="230"/>
        <v>0</v>
      </c>
      <c r="AU176" s="492">
        <f t="shared" si="231"/>
        <v>117098</v>
      </c>
      <c r="AV176" s="492">
        <f t="shared" si="231"/>
        <v>6929</v>
      </c>
      <c r="AW176" s="492">
        <f t="shared" si="191"/>
        <v>0</v>
      </c>
      <c r="AX176" s="493">
        <f t="shared" si="192"/>
        <v>1</v>
      </c>
      <c r="AY176" s="493">
        <f t="shared" si="232"/>
        <v>1</v>
      </c>
      <c r="AZ176" s="495">
        <f t="shared" si="232"/>
        <v>0</v>
      </c>
    </row>
    <row r="177" spans="1:52" s="238" customFormat="1" ht="12.75" customHeight="1" x14ac:dyDescent="0.2">
      <c r="A177" s="240">
        <v>37</v>
      </c>
      <c r="B177" s="241">
        <v>3432</v>
      </c>
      <c r="C177" s="241">
        <v>600078329</v>
      </c>
      <c r="D177" s="241">
        <v>70695121</v>
      </c>
      <c r="E177" s="242" t="s">
        <v>81</v>
      </c>
      <c r="F177" s="241">
        <v>3141</v>
      </c>
      <c r="G177" s="242" t="s">
        <v>316</v>
      </c>
      <c r="H177" s="278" t="s">
        <v>279</v>
      </c>
      <c r="I177" s="489">
        <v>616092</v>
      </c>
      <c r="J177" s="489">
        <v>451028</v>
      </c>
      <c r="K177" s="489">
        <v>0</v>
      </c>
      <c r="L177" s="489">
        <v>152447</v>
      </c>
      <c r="M177" s="489">
        <v>9021</v>
      </c>
      <c r="N177" s="489">
        <v>3596</v>
      </c>
      <c r="O177" s="490">
        <v>1.42</v>
      </c>
      <c r="P177" s="491">
        <v>0</v>
      </c>
      <c r="Q177" s="500">
        <v>1.42</v>
      </c>
      <c r="R177" s="502">
        <f t="shared" si="180"/>
        <v>0</v>
      </c>
      <c r="S177" s="492">
        <v>0</v>
      </c>
      <c r="T177" s="492">
        <v>0</v>
      </c>
      <c r="U177" s="492">
        <v>0</v>
      </c>
      <c r="V177" s="492">
        <f t="shared" si="181"/>
        <v>0</v>
      </c>
      <c r="W177" s="492">
        <v>0</v>
      </c>
      <c r="X177" s="492">
        <v>0</v>
      </c>
      <c r="Y177" s="492">
        <v>0</v>
      </c>
      <c r="Z177" s="492">
        <f t="shared" si="182"/>
        <v>0</v>
      </c>
      <c r="AA177" s="492">
        <f t="shared" si="183"/>
        <v>0</v>
      </c>
      <c r="AB177" s="74">
        <f t="shared" si="184"/>
        <v>0</v>
      </c>
      <c r="AC177" s="74">
        <f t="shared" si="185"/>
        <v>0</v>
      </c>
      <c r="AD177" s="492">
        <v>0</v>
      </c>
      <c r="AE177" s="492">
        <v>0</v>
      </c>
      <c r="AF177" s="492">
        <f t="shared" si="186"/>
        <v>0</v>
      </c>
      <c r="AG177" s="492">
        <f t="shared" si="187"/>
        <v>0</v>
      </c>
      <c r="AH177" s="493">
        <v>0</v>
      </c>
      <c r="AI177" s="493">
        <v>0</v>
      </c>
      <c r="AJ177" s="493">
        <v>0</v>
      </c>
      <c r="AK177" s="493">
        <v>0</v>
      </c>
      <c r="AL177" s="493">
        <v>0</v>
      </c>
      <c r="AM177" s="493">
        <v>0</v>
      </c>
      <c r="AN177" s="493">
        <v>0</v>
      </c>
      <c r="AO177" s="493">
        <f t="shared" si="228"/>
        <v>0</v>
      </c>
      <c r="AP177" s="493">
        <f t="shared" si="229"/>
        <v>0</v>
      </c>
      <c r="AQ177" s="495">
        <f t="shared" si="188"/>
        <v>0</v>
      </c>
      <c r="AR177" s="502">
        <f t="shared" si="189"/>
        <v>616092</v>
      </c>
      <c r="AS177" s="492">
        <f t="shared" si="190"/>
        <v>451028</v>
      </c>
      <c r="AT177" s="492">
        <f t="shared" si="230"/>
        <v>0</v>
      </c>
      <c r="AU177" s="492">
        <f t="shared" si="231"/>
        <v>152447</v>
      </c>
      <c r="AV177" s="492">
        <f t="shared" si="231"/>
        <v>9021</v>
      </c>
      <c r="AW177" s="492">
        <f t="shared" si="191"/>
        <v>3596</v>
      </c>
      <c r="AX177" s="493">
        <f t="shared" si="192"/>
        <v>1.42</v>
      </c>
      <c r="AY177" s="493">
        <f t="shared" si="232"/>
        <v>0</v>
      </c>
      <c r="AZ177" s="495">
        <f t="shared" si="232"/>
        <v>1.42</v>
      </c>
    </row>
    <row r="178" spans="1:52" s="238" customFormat="1" ht="12.75" customHeight="1" x14ac:dyDescent="0.2">
      <c r="A178" s="240">
        <v>37</v>
      </c>
      <c r="B178" s="241">
        <v>3432</v>
      </c>
      <c r="C178" s="241">
        <v>600078329</v>
      </c>
      <c r="D178" s="241">
        <v>70695121</v>
      </c>
      <c r="E178" s="242" t="s">
        <v>82</v>
      </c>
      <c r="F178" s="241">
        <v>3143</v>
      </c>
      <c r="G178" s="242" t="s">
        <v>629</v>
      </c>
      <c r="H178" s="278" t="s">
        <v>278</v>
      </c>
      <c r="I178" s="489">
        <v>637748</v>
      </c>
      <c r="J178" s="489">
        <v>469623</v>
      </c>
      <c r="K178" s="489">
        <v>0</v>
      </c>
      <c r="L178" s="489">
        <v>158733</v>
      </c>
      <c r="M178" s="489">
        <v>9392</v>
      </c>
      <c r="N178" s="489">
        <v>0</v>
      </c>
      <c r="O178" s="490">
        <v>0.93</v>
      </c>
      <c r="P178" s="491">
        <v>0.93</v>
      </c>
      <c r="Q178" s="500">
        <v>0</v>
      </c>
      <c r="R178" s="502">
        <f t="shared" si="180"/>
        <v>0</v>
      </c>
      <c r="S178" s="492">
        <v>0</v>
      </c>
      <c r="T178" s="492">
        <v>0</v>
      </c>
      <c r="U178" s="492">
        <v>0</v>
      </c>
      <c r="V178" s="492">
        <f t="shared" si="181"/>
        <v>0</v>
      </c>
      <c r="W178" s="492">
        <v>0</v>
      </c>
      <c r="X178" s="492">
        <v>0</v>
      </c>
      <c r="Y178" s="492">
        <v>0</v>
      </c>
      <c r="Z178" s="492">
        <f t="shared" si="182"/>
        <v>0</v>
      </c>
      <c r="AA178" s="492">
        <f t="shared" si="183"/>
        <v>0</v>
      </c>
      <c r="AB178" s="74">
        <f t="shared" si="184"/>
        <v>0</v>
      </c>
      <c r="AC178" s="74">
        <f t="shared" si="185"/>
        <v>0</v>
      </c>
      <c r="AD178" s="492">
        <v>0</v>
      </c>
      <c r="AE178" s="492">
        <v>0</v>
      </c>
      <c r="AF178" s="492">
        <f t="shared" si="186"/>
        <v>0</v>
      </c>
      <c r="AG178" s="492">
        <f t="shared" si="187"/>
        <v>0</v>
      </c>
      <c r="AH178" s="493">
        <v>0</v>
      </c>
      <c r="AI178" s="493">
        <v>0</v>
      </c>
      <c r="AJ178" s="493">
        <v>0</v>
      </c>
      <c r="AK178" s="493">
        <v>0</v>
      </c>
      <c r="AL178" s="493">
        <v>0</v>
      </c>
      <c r="AM178" s="493">
        <v>0</v>
      </c>
      <c r="AN178" s="493">
        <v>0</v>
      </c>
      <c r="AO178" s="493">
        <f t="shared" si="228"/>
        <v>0</v>
      </c>
      <c r="AP178" s="493">
        <f t="shared" si="229"/>
        <v>0</v>
      </c>
      <c r="AQ178" s="495">
        <f t="shared" si="188"/>
        <v>0</v>
      </c>
      <c r="AR178" s="502">
        <f t="shared" si="189"/>
        <v>637748</v>
      </c>
      <c r="AS178" s="492">
        <f t="shared" si="190"/>
        <v>469623</v>
      </c>
      <c r="AT178" s="492">
        <f t="shared" si="230"/>
        <v>0</v>
      </c>
      <c r="AU178" s="492">
        <f t="shared" si="231"/>
        <v>158733</v>
      </c>
      <c r="AV178" s="492">
        <f t="shared" si="231"/>
        <v>9392</v>
      </c>
      <c r="AW178" s="492">
        <f t="shared" si="191"/>
        <v>0</v>
      </c>
      <c r="AX178" s="493">
        <f t="shared" si="192"/>
        <v>0.93</v>
      </c>
      <c r="AY178" s="493">
        <f t="shared" si="232"/>
        <v>0.93</v>
      </c>
      <c r="AZ178" s="495">
        <f t="shared" si="232"/>
        <v>0</v>
      </c>
    </row>
    <row r="179" spans="1:52" s="238" customFormat="1" ht="12.75" customHeight="1" x14ac:dyDescent="0.2">
      <c r="A179" s="240">
        <v>37</v>
      </c>
      <c r="B179" s="241">
        <v>3432</v>
      </c>
      <c r="C179" s="241">
        <v>600078329</v>
      </c>
      <c r="D179" s="241">
        <v>70695121</v>
      </c>
      <c r="E179" s="242" t="s">
        <v>82</v>
      </c>
      <c r="F179" s="241">
        <v>3143</v>
      </c>
      <c r="G179" s="242" t="s">
        <v>630</v>
      </c>
      <c r="H179" s="278" t="s">
        <v>279</v>
      </c>
      <c r="I179" s="489">
        <v>18899</v>
      </c>
      <c r="J179" s="489">
        <v>13365</v>
      </c>
      <c r="K179" s="489">
        <v>0</v>
      </c>
      <c r="L179" s="489">
        <v>4517</v>
      </c>
      <c r="M179" s="489">
        <v>267</v>
      </c>
      <c r="N179" s="489">
        <v>750</v>
      </c>
      <c r="O179" s="490">
        <v>0.05</v>
      </c>
      <c r="P179" s="491">
        <v>0</v>
      </c>
      <c r="Q179" s="500">
        <v>0.05</v>
      </c>
      <c r="R179" s="502">
        <f t="shared" si="180"/>
        <v>0</v>
      </c>
      <c r="S179" s="492">
        <v>0</v>
      </c>
      <c r="T179" s="492">
        <v>0</v>
      </c>
      <c r="U179" s="492">
        <v>0</v>
      </c>
      <c r="V179" s="492">
        <f t="shared" si="181"/>
        <v>0</v>
      </c>
      <c r="W179" s="492">
        <v>0</v>
      </c>
      <c r="X179" s="492">
        <v>0</v>
      </c>
      <c r="Y179" s="492">
        <v>0</v>
      </c>
      <c r="Z179" s="492">
        <f t="shared" si="182"/>
        <v>0</v>
      </c>
      <c r="AA179" s="492">
        <f t="shared" si="183"/>
        <v>0</v>
      </c>
      <c r="AB179" s="74">
        <f t="shared" si="184"/>
        <v>0</v>
      </c>
      <c r="AC179" s="74">
        <f t="shared" si="185"/>
        <v>0</v>
      </c>
      <c r="AD179" s="492">
        <v>0</v>
      </c>
      <c r="AE179" s="492">
        <v>0</v>
      </c>
      <c r="AF179" s="492">
        <f t="shared" si="186"/>
        <v>0</v>
      </c>
      <c r="AG179" s="492">
        <f t="shared" si="187"/>
        <v>0</v>
      </c>
      <c r="AH179" s="493">
        <v>0</v>
      </c>
      <c r="AI179" s="493">
        <v>0</v>
      </c>
      <c r="AJ179" s="493">
        <v>0</v>
      </c>
      <c r="AK179" s="493">
        <v>0</v>
      </c>
      <c r="AL179" s="493">
        <v>0</v>
      </c>
      <c r="AM179" s="493">
        <v>0</v>
      </c>
      <c r="AN179" s="493">
        <v>0</v>
      </c>
      <c r="AO179" s="493">
        <f t="shared" si="228"/>
        <v>0</v>
      </c>
      <c r="AP179" s="493">
        <f t="shared" si="229"/>
        <v>0</v>
      </c>
      <c r="AQ179" s="495">
        <f t="shared" si="188"/>
        <v>0</v>
      </c>
      <c r="AR179" s="502">
        <f t="shared" si="189"/>
        <v>18899</v>
      </c>
      <c r="AS179" s="492">
        <f t="shared" si="190"/>
        <v>13365</v>
      </c>
      <c r="AT179" s="492">
        <f t="shared" si="230"/>
        <v>0</v>
      </c>
      <c r="AU179" s="492">
        <f t="shared" si="231"/>
        <v>4517</v>
      </c>
      <c r="AV179" s="492">
        <f t="shared" si="231"/>
        <v>267</v>
      </c>
      <c r="AW179" s="492">
        <f t="shared" si="191"/>
        <v>750</v>
      </c>
      <c r="AX179" s="493">
        <f t="shared" si="192"/>
        <v>0.05</v>
      </c>
      <c r="AY179" s="493">
        <f t="shared" si="232"/>
        <v>0</v>
      </c>
      <c r="AZ179" s="495">
        <f t="shared" si="232"/>
        <v>0.05</v>
      </c>
    </row>
    <row r="180" spans="1:52" s="238" customFormat="1" ht="12.75" customHeight="1" x14ac:dyDescent="0.2">
      <c r="A180" s="164">
        <v>37</v>
      </c>
      <c r="B180" s="15">
        <v>3432</v>
      </c>
      <c r="C180" s="163">
        <v>600078329</v>
      </c>
      <c r="D180" s="163">
        <v>70695121</v>
      </c>
      <c r="E180" s="239" t="s">
        <v>83</v>
      </c>
      <c r="F180" s="15"/>
      <c r="G180" s="239"/>
      <c r="H180" s="277"/>
      <c r="I180" s="496">
        <v>7045063</v>
      </c>
      <c r="J180" s="496">
        <v>5105293</v>
      </c>
      <c r="K180" s="496">
        <v>0</v>
      </c>
      <c r="L180" s="496">
        <v>1725588</v>
      </c>
      <c r="M180" s="496">
        <v>102106</v>
      </c>
      <c r="N180" s="496">
        <v>112076</v>
      </c>
      <c r="O180" s="456">
        <v>10.959</v>
      </c>
      <c r="P180" s="456">
        <v>7.4674999999999994</v>
      </c>
      <c r="Q180" s="456">
        <v>3.4914999999999998</v>
      </c>
      <c r="R180" s="542">
        <f t="shared" ref="R180:AZ180" si="233">SUM(R175:R179)</f>
        <v>0</v>
      </c>
      <c r="S180" s="496">
        <f t="shared" si="233"/>
        <v>0</v>
      </c>
      <c r="T180" s="496">
        <f t="shared" si="233"/>
        <v>0</v>
      </c>
      <c r="U180" s="496">
        <f t="shared" si="233"/>
        <v>0</v>
      </c>
      <c r="V180" s="496">
        <f t="shared" si="233"/>
        <v>0</v>
      </c>
      <c r="W180" s="496">
        <f t="shared" si="233"/>
        <v>0</v>
      </c>
      <c r="X180" s="496">
        <f t="shared" si="233"/>
        <v>0</v>
      </c>
      <c r="Y180" s="496">
        <f t="shared" si="233"/>
        <v>0</v>
      </c>
      <c r="Z180" s="496">
        <f t="shared" si="233"/>
        <v>0</v>
      </c>
      <c r="AA180" s="496">
        <f t="shared" si="233"/>
        <v>0</v>
      </c>
      <c r="AB180" s="496">
        <f t="shared" si="233"/>
        <v>0</v>
      </c>
      <c r="AC180" s="496">
        <f t="shared" si="233"/>
        <v>0</v>
      </c>
      <c r="AD180" s="496">
        <f t="shared" si="233"/>
        <v>0</v>
      </c>
      <c r="AE180" s="496">
        <f t="shared" si="233"/>
        <v>0</v>
      </c>
      <c r="AF180" s="496">
        <f t="shared" si="233"/>
        <v>0</v>
      </c>
      <c r="AG180" s="496">
        <f t="shared" si="233"/>
        <v>0</v>
      </c>
      <c r="AH180" s="456">
        <f t="shared" si="233"/>
        <v>0</v>
      </c>
      <c r="AI180" s="456">
        <f t="shared" si="233"/>
        <v>0</v>
      </c>
      <c r="AJ180" s="456">
        <f t="shared" si="233"/>
        <v>0</v>
      </c>
      <c r="AK180" s="456">
        <f t="shared" si="233"/>
        <v>0</v>
      </c>
      <c r="AL180" s="456">
        <f t="shared" si="233"/>
        <v>0</v>
      </c>
      <c r="AM180" s="456">
        <f t="shared" si="233"/>
        <v>0</v>
      </c>
      <c r="AN180" s="456">
        <f t="shared" si="233"/>
        <v>0</v>
      </c>
      <c r="AO180" s="456">
        <f t="shared" si="233"/>
        <v>0</v>
      </c>
      <c r="AP180" s="456">
        <f t="shared" si="233"/>
        <v>0</v>
      </c>
      <c r="AQ180" s="543">
        <f t="shared" si="233"/>
        <v>0</v>
      </c>
      <c r="AR180" s="542">
        <f t="shared" si="233"/>
        <v>7045063</v>
      </c>
      <c r="AS180" s="496">
        <f t="shared" si="233"/>
        <v>5105293</v>
      </c>
      <c r="AT180" s="496">
        <f t="shared" si="233"/>
        <v>0</v>
      </c>
      <c r="AU180" s="496">
        <f t="shared" si="233"/>
        <v>1725588</v>
      </c>
      <c r="AV180" s="496">
        <f t="shared" si="233"/>
        <v>102106</v>
      </c>
      <c r="AW180" s="496">
        <f t="shared" si="233"/>
        <v>112076</v>
      </c>
      <c r="AX180" s="456">
        <f t="shared" si="233"/>
        <v>10.959</v>
      </c>
      <c r="AY180" s="456">
        <f t="shared" si="233"/>
        <v>7.4674999999999994</v>
      </c>
      <c r="AZ180" s="543">
        <f t="shared" si="233"/>
        <v>3.4914999999999998</v>
      </c>
    </row>
    <row r="181" spans="1:52" s="238" customFormat="1" ht="12.75" customHeight="1" x14ac:dyDescent="0.2">
      <c r="A181" s="240">
        <v>38</v>
      </c>
      <c r="B181" s="241">
        <v>3435</v>
      </c>
      <c r="C181" s="241">
        <v>650022131</v>
      </c>
      <c r="D181" s="241">
        <v>70981531</v>
      </c>
      <c r="E181" s="242" t="s">
        <v>84</v>
      </c>
      <c r="F181" s="241">
        <v>3111</v>
      </c>
      <c r="G181" s="242" t="s">
        <v>312</v>
      </c>
      <c r="H181" s="278" t="s">
        <v>278</v>
      </c>
      <c r="I181" s="489">
        <v>8464517</v>
      </c>
      <c r="J181" s="489">
        <v>6190661</v>
      </c>
      <c r="K181" s="489">
        <v>0</v>
      </c>
      <c r="L181" s="489">
        <v>2092443</v>
      </c>
      <c r="M181" s="489">
        <v>123813</v>
      </c>
      <c r="N181" s="489">
        <v>57600</v>
      </c>
      <c r="O181" s="490">
        <v>14.0655</v>
      </c>
      <c r="P181" s="491">
        <v>11</v>
      </c>
      <c r="Q181" s="500">
        <v>3.0655000000000001</v>
      </c>
      <c r="R181" s="502">
        <f t="shared" si="180"/>
        <v>0</v>
      </c>
      <c r="S181" s="492">
        <v>0</v>
      </c>
      <c r="T181" s="492">
        <v>0</v>
      </c>
      <c r="U181" s="492">
        <v>0</v>
      </c>
      <c r="V181" s="492">
        <f t="shared" si="181"/>
        <v>0</v>
      </c>
      <c r="W181" s="492">
        <v>0</v>
      </c>
      <c r="X181" s="492">
        <v>0</v>
      </c>
      <c r="Y181" s="492">
        <v>0</v>
      </c>
      <c r="Z181" s="492">
        <f t="shared" si="182"/>
        <v>0</v>
      </c>
      <c r="AA181" s="492">
        <f t="shared" si="183"/>
        <v>0</v>
      </c>
      <c r="AB181" s="74">
        <f t="shared" si="184"/>
        <v>0</v>
      </c>
      <c r="AC181" s="74">
        <f t="shared" si="185"/>
        <v>0</v>
      </c>
      <c r="AD181" s="492">
        <v>0</v>
      </c>
      <c r="AE181" s="492">
        <v>0</v>
      </c>
      <c r="AF181" s="492">
        <f t="shared" si="186"/>
        <v>0</v>
      </c>
      <c r="AG181" s="492">
        <f t="shared" si="187"/>
        <v>0</v>
      </c>
      <c r="AH181" s="493">
        <v>0</v>
      </c>
      <c r="AI181" s="493">
        <v>0</v>
      </c>
      <c r="AJ181" s="493">
        <v>0</v>
      </c>
      <c r="AK181" s="493">
        <v>0</v>
      </c>
      <c r="AL181" s="493">
        <v>0</v>
      </c>
      <c r="AM181" s="493">
        <v>0</v>
      </c>
      <c r="AN181" s="493">
        <v>0</v>
      </c>
      <c r="AO181" s="493">
        <f t="shared" ref="AO181:AO186" si="234">AH181+AJ181+AM181+AK181</f>
        <v>0</v>
      </c>
      <c r="AP181" s="493">
        <f t="shared" ref="AP181:AP186" si="235">AI181+AN181+AL181</f>
        <v>0</v>
      </c>
      <c r="AQ181" s="495">
        <f t="shared" si="188"/>
        <v>0</v>
      </c>
      <c r="AR181" s="502">
        <f t="shared" si="189"/>
        <v>8464517</v>
      </c>
      <c r="AS181" s="492">
        <f t="shared" si="190"/>
        <v>6190661</v>
      </c>
      <c r="AT181" s="492">
        <f t="shared" ref="AT181:AT186" si="236">K181+Z181</f>
        <v>0</v>
      </c>
      <c r="AU181" s="492">
        <f t="shared" ref="AU181:AV186" si="237">L181+AB181</f>
        <v>2092443</v>
      </c>
      <c r="AV181" s="492">
        <f t="shared" si="237"/>
        <v>123813</v>
      </c>
      <c r="AW181" s="492">
        <f t="shared" si="191"/>
        <v>57600</v>
      </c>
      <c r="AX181" s="493">
        <f t="shared" si="192"/>
        <v>14.0655</v>
      </c>
      <c r="AY181" s="493">
        <f t="shared" ref="AY181:AZ186" si="238">P181+AO181</f>
        <v>11</v>
      </c>
      <c r="AZ181" s="495">
        <f t="shared" si="238"/>
        <v>3.0655000000000001</v>
      </c>
    </row>
    <row r="182" spans="1:52" s="238" customFormat="1" ht="13.5" customHeight="1" x14ac:dyDescent="0.2">
      <c r="A182" s="240">
        <v>38</v>
      </c>
      <c r="B182" s="241">
        <v>3435</v>
      </c>
      <c r="C182" s="241">
        <v>650022131</v>
      </c>
      <c r="D182" s="241">
        <v>70981531</v>
      </c>
      <c r="E182" s="242" t="s">
        <v>84</v>
      </c>
      <c r="F182" s="241">
        <v>3113</v>
      </c>
      <c r="G182" s="242" t="s">
        <v>315</v>
      </c>
      <c r="H182" s="278" t="s">
        <v>278</v>
      </c>
      <c r="I182" s="489">
        <v>23868718</v>
      </c>
      <c r="J182" s="489">
        <v>17176629</v>
      </c>
      <c r="K182" s="489">
        <v>32500</v>
      </c>
      <c r="L182" s="489">
        <v>5816686</v>
      </c>
      <c r="M182" s="489">
        <v>343533</v>
      </c>
      <c r="N182" s="489">
        <v>499370</v>
      </c>
      <c r="O182" s="490">
        <v>32.159600000000005</v>
      </c>
      <c r="P182" s="491">
        <v>24.003299999999999</v>
      </c>
      <c r="Q182" s="500">
        <v>8.1562999999999999</v>
      </c>
      <c r="R182" s="502">
        <f t="shared" si="180"/>
        <v>0</v>
      </c>
      <c r="S182" s="492">
        <v>0</v>
      </c>
      <c r="T182" s="492">
        <v>0</v>
      </c>
      <c r="U182" s="492">
        <v>0</v>
      </c>
      <c r="V182" s="492">
        <f t="shared" si="181"/>
        <v>0</v>
      </c>
      <c r="W182" s="492">
        <v>0</v>
      </c>
      <c r="X182" s="492">
        <v>0</v>
      </c>
      <c r="Y182" s="492">
        <v>0</v>
      </c>
      <c r="Z182" s="492">
        <f t="shared" si="182"/>
        <v>0</v>
      </c>
      <c r="AA182" s="492">
        <f t="shared" si="183"/>
        <v>0</v>
      </c>
      <c r="AB182" s="74">
        <f t="shared" si="184"/>
        <v>0</v>
      </c>
      <c r="AC182" s="74">
        <f t="shared" si="185"/>
        <v>0</v>
      </c>
      <c r="AD182" s="492">
        <v>0</v>
      </c>
      <c r="AE182" s="492">
        <v>0</v>
      </c>
      <c r="AF182" s="492">
        <f t="shared" si="186"/>
        <v>0</v>
      </c>
      <c r="AG182" s="492">
        <f t="shared" si="187"/>
        <v>0</v>
      </c>
      <c r="AH182" s="493">
        <v>0</v>
      </c>
      <c r="AI182" s="493">
        <v>0</v>
      </c>
      <c r="AJ182" s="493">
        <v>0</v>
      </c>
      <c r="AK182" s="493">
        <v>0</v>
      </c>
      <c r="AL182" s="493">
        <v>0</v>
      </c>
      <c r="AM182" s="493">
        <v>0</v>
      </c>
      <c r="AN182" s="493">
        <v>0</v>
      </c>
      <c r="AO182" s="493">
        <f t="shared" si="234"/>
        <v>0</v>
      </c>
      <c r="AP182" s="493">
        <f t="shared" si="235"/>
        <v>0</v>
      </c>
      <c r="AQ182" s="495">
        <f t="shared" si="188"/>
        <v>0</v>
      </c>
      <c r="AR182" s="502">
        <f t="shared" si="189"/>
        <v>23868718</v>
      </c>
      <c r="AS182" s="492">
        <f t="shared" si="190"/>
        <v>17176629</v>
      </c>
      <c r="AT182" s="492">
        <f t="shared" si="236"/>
        <v>32500</v>
      </c>
      <c r="AU182" s="492">
        <f t="shared" si="237"/>
        <v>5816686</v>
      </c>
      <c r="AV182" s="492">
        <f t="shared" si="237"/>
        <v>343533</v>
      </c>
      <c r="AW182" s="492">
        <f t="shared" si="191"/>
        <v>499370</v>
      </c>
      <c r="AX182" s="493">
        <f t="shared" si="192"/>
        <v>32.159600000000005</v>
      </c>
      <c r="AY182" s="493">
        <f t="shared" si="238"/>
        <v>24.003299999999999</v>
      </c>
      <c r="AZ182" s="495">
        <f t="shared" si="238"/>
        <v>8.1562999999999999</v>
      </c>
    </row>
    <row r="183" spans="1:52" s="238" customFormat="1" ht="13.5" customHeight="1" x14ac:dyDescent="0.2">
      <c r="A183" s="240">
        <v>38</v>
      </c>
      <c r="B183" s="241">
        <v>3435</v>
      </c>
      <c r="C183" s="241">
        <v>650022131</v>
      </c>
      <c r="D183" s="241">
        <v>70981531</v>
      </c>
      <c r="E183" s="242" t="s">
        <v>84</v>
      </c>
      <c r="F183" s="241">
        <v>3113</v>
      </c>
      <c r="G183" s="242" t="s">
        <v>313</v>
      </c>
      <c r="H183" s="278" t="s">
        <v>279</v>
      </c>
      <c r="I183" s="489">
        <v>5526932</v>
      </c>
      <c r="J183" s="489">
        <v>4069906</v>
      </c>
      <c r="K183" s="489">
        <v>0</v>
      </c>
      <c r="L183" s="489">
        <v>1375628</v>
      </c>
      <c r="M183" s="489">
        <v>81398</v>
      </c>
      <c r="N183" s="489">
        <v>0</v>
      </c>
      <c r="O183" s="490">
        <v>11.549999999999999</v>
      </c>
      <c r="P183" s="491">
        <v>11.549999999999999</v>
      </c>
      <c r="Q183" s="500">
        <v>0</v>
      </c>
      <c r="R183" s="502">
        <f t="shared" si="180"/>
        <v>0</v>
      </c>
      <c r="S183" s="492">
        <v>99662</v>
      </c>
      <c r="T183" s="492">
        <v>0</v>
      </c>
      <c r="U183" s="492">
        <v>0</v>
      </c>
      <c r="V183" s="492">
        <f t="shared" si="181"/>
        <v>99662</v>
      </c>
      <c r="W183" s="492">
        <v>0</v>
      </c>
      <c r="X183" s="492">
        <v>0</v>
      </c>
      <c r="Y183" s="492">
        <v>0</v>
      </c>
      <c r="Z183" s="492">
        <f t="shared" si="182"/>
        <v>0</v>
      </c>
      <c r="AA183" s="492">
        <f t="shared" si="183"/>
        <v>99662</v>
      </c>
      <c r="AB183" s="74">
        <f t="shared" si="184"/>
        <v>33686</v>
      </c>
      <c r="AC183" s="74">
        <f t="shared" si="185"/>
        <v>1993</v>
      </c>
      <c r="AD183" s="492">
        <v>0</v>
      </c>
      <c r="AE183" s="492">
        <v>0</v>
      </c>
      <c r="AF183" s="492">
        <f t="shared" si="186"/>
        <v>0</v>
      </c>
      <c r="AG183" s="492">
        <f t="shared" si="187"/>
        <v>135341</v>
      </c>
      <c r="AH183" s="493">
        <v>0</v>
      </c>
      <c r="AI183" s="493">
        <v>0</v>
      </c>
      <c r="AJ183" s="493">
        <v>0.27</v>
      </c>
      <c r="AK183" s="493">
        <v>0</v>
      </c>
      <c r="AL183" s="493">
        <v>0</v>
      </c>
      <c r="AM183" s="493">
        <v>0</v>
      </c>
      <c r="AN183" s="493">
        <v>0</v>
      </c>
      <c r="AO183" s="493">
        <f t="shared" si="234"/>
        <v>0.27</v>
      </c>
      <c r="AP183" s="493">
        <f t="shared" si="235"/>
        <v>0</v>
      </c>
      <c r="AQ183" s="495">
        <f t="shared" si="188"/>
        <v>0.27</v>
      </c>
      <c r="AR183" s="502">
        <f t="shared" si="189"/>
        <v>5662273</v>
      </c>
      <c r="AS183" s="492">
        <f t="shared" si="190"/>
        <v>4169568</v>
      </c>
      <c r="AT183" s="492">
        <f t="shared" si="236"/>
        <v>0</v>
      </c>
      <c r="AU183" s="492">
        <f t="shared" si="237"/>
        <v>1409314</v>
      </c>
      <c r="AV183" s="492">
        <f t="shared" si="237"/>
        <v>83391</v>
      </c>
      <c r="AW183" s="492">
        <f t="shared" si="191"/>
        <v>0</v>
      </c>
      <c r="AX183" s="493">
        <f t="shared" si="192"/>
        <v>11.819999999999999</v>
      </c>
      <c r="AY183" s="493">
        <f t="shared" si="238"/>
        <v>11.819999999999999</v>
      </c>
      <c r="AZ183" s="495">
        <f t="shared" si="238"/>
        <v>0</v>
      </c>
    </row>
    <row r="184" spans="1:52" s="238" customFormat="1" ht="12.75" customHeight="1" x14ac:dyDescent="0.2">
      <c r="A184" s="240">
        <v>38</v>
      </c>
      <c r="B184" s="241">
        <v>3435</v>
      </c>
      <c r="C184" s="241">
        <v>650022131</v>
      </c>
      <c r="D184" s="241">
        <v>70981531</v>
      </c>
      <c r="E184" s="242" t="s">
        <v>84</v>
      </c>
      <c r="F184" s="241">
        <v>3141</v>
      </c>
      <c r="G184" s="242" t="s">
        <v>316</v>
      </c>
      <c r="H184" s="278" t="s">
        <v>279</v>
      </c>
      <c r="I184" s="489">
        <v>3458585</v>
      </c>
      <c r="J184" s="489">
        <v>2528329</v>
      </c>
      <c r="K184" s="489">
        <v>0</v>
      </c>
      <c r="L184" s="489">
        <v>854575</v>
      </c>
      <c r="M184" s="489">
        <v>50567</v>
      </c>
      <c r="N184" s="489">
        <v>25114</v>
      </c>
      <c r="O184" s="490">
        <v>7.96</v>
      </c>
      <c r="P184" s="491">
        <v>0</v>
      </c>
      <c r="Q184" s="500">
        <v>7.96</v>
      </c>
      <c r="R184" s="502">
        <f t="shared" si="180"/>
        <v>0</v>
      </c>
      <c r="S184" s="492">
        <v>0</v>
      </c>
      <c r="T184" s="492">
        <v>0</v>
      </c>
      <c r="U184" s="492">
        <v>0</v>
      </c>
      <c r="V184" s="492">
        <f t="shared" si="181"/>
        <v>0</v>
      </c>
      <c r="W184" s="492">
        <v>0</v>
      </c>
      <c r="X184" s="492">
        <v>0</v>
      </c>
      <c r="Y184" s="492">
        <v>0</v>
      </c>
      <c r="Z184" s="492">
        <f t="shared" si="182"/>
        <v>0</v>
      </c>
      <c r="AA184" s="492">
        <f t="shared" si="183"/>
        <v>0</v>
      </c>
      <c r="AB184" s="74">
        <f t="shared" si="184"/>
        <v>0</v>
      </c>
      <c r="AC184" s="74">
        <f t="shared" si="185"/>
        <v>0</v>
      </c>
      <c r="AD184" s="492">
        <v>0</v>
      </c>
      <c r="AE184" s="492">
        <v>0</v>
      </c>
      <c r="AF184" s="492">
        <f t="shared" si="186"/>
        <v>0</v>
      </c>
      <c r="AG184" s="492">
        <f t="shared" si="187"/>
        <v>0</v>
      </c>
      <c r="AH184" s="493">
        <v>0</v>
      </c>
      <c r="AI184" s="493">
        <v>0</v>
      </c>
      <c r="AJ184" s="493">
        <v>0</v>
      </c>
      <c r="AK184" s="493">
        <v>0</v>
      </c>
      <c r="AL184" s="493">
        <v>0</v>
      </c>
      <c r="AM184" s="493">
        <v>0</v>
      </c>
      <c r="AN184" s="493">
        <v>0</v>
      </c>
      <c r="AO184" s="493">
        <f t="shared" si="234"/>
        <v>0</v>
      </c>
      <c r="AP184" s="493">
        <f t="shared" si="235"/>
        <v>0</v>
      </c>
      <c r="AQ184" s="495">
        <f t="shared" si="188"/>
        <v>0</v>
      </c>
      <c r="AR184" s="502">
        <f t="shared" si="189"/>
        <v>3458585</v>
      </c>
      <c r="AS184" s="492">
        <f t="shared" si="190"/>
        <v>2528329</v>
      </c>
      <c r="AT184" s="492">
        <f t="shared" si="236"/>
        <v>0</v>
      </c>
      <c r="AU184" s="492">
        <f t="shared" si="237"/>
        <v>854575</v>
      </c>
      <c r="AV184" s="492">
        <f t="shared" si="237"/>
        <v>50567</v>
      </c>
      <c r="AW184" s="492">
        <f t="shared" si="191"/>
        <v>25114</v>
      </c>
      <c r="AX184" s="493">
        <f t="shared" si="192"/>
        <v>7.96</v>
      </c>
      <c r="AY184" s="493">
        <f t="shared" si="238"/>
        <v>0</v>
      </c>
      <c r="AZ184" s="495">
        <f t="shared" si="238"/>
        <v>7.96</v>
      </c>
    </row>
    <row r="185" spans="1:52" s="238" customFormat="1" ht="13.5" customHeight="1" x14ac:dyDescent="0.2">
      <c r="A185" s="240">
        <v>38</v>
      </c>
      <c r="B185" s="241">
        <v>3435</v>
      </c>
      <c r="C185" s="241">
        <v>650022131</v>
      </c>
      <c r="D185" s="241">
        <v>70981531</v>
      </c>
      <c r="E185" s="242" t="s">
        <v>84</v>
      </c>
      <c r="F185" s="241">
        <v>3143</v>
      </c>
      <c r="G185" s="242" t="s">
        <v>629</v>
      </c>
      <c r="H185" s="278" t="s">
        <v>278</v>
      </c>
      <c r="I185" s="489">
        <v>1732672</v>
      </c>
      <c r="J185" s="489">
        <v>1275900</v>
      </c>
      <c r="K185" s="489">
        <v>0</v>
      </c>
      <c r="L185" s="489">
        <v>431254</v>
      </c>
      <c r="M185" s="489">
        <v>25518</v>
      </c>
      <c r="N185" s="489">
        <v>0</v>
      </c>
      <c r="O185" s="490">
        <v>2.6</v>
      </c>
      <c r="P185" s="491">
        <v>2.6</v>
      </c>
      <c r="Q185" s="500">
        <v>0</v>
      </c>
      <c r="R185" s="502">
        <f t="shared" si="180"/>
        <v>0</v>
      </c>
      <c r="S185" s="492">
        <v>0</v>
      </c>
      <c r="T185" s="492">
        <v>197460</v>
      </c>
      <c r="U185" s="492">
        <v>0</v>
      </c>
      <c r="V185" s="492">
        <f t="shared" si="181"/>
        <v>197460</v>
      </c>
      <c r="W185" s="492">
        <v>0</v>
      </c>
      <c r="X185" s="492">
        <v>0</v>
      </c>
      <c r="Y185" s="492">
        <v>0</v>
      </c>
      <c r="Z185" s="492">
        <f t="shared" si="182"/>
        <v>0</v>
      </c>
      <c r="AA185" s="492">
        <f t="shared" si="183"/>
        <v>197460</v>
      </c>
      <c r="AB185" s="74">
        <f t="shared" si="184"/>
        <v>66741</v>
      </c>
      <c r="AC185" s="74">
        <f t="shared" si="185"/>
        <v>3949</v>
      </c>
      <c r="AD185" s="492">
        <v>0</v>
      </c>
      <c r="AE185" s="492">
        <v>0</v>
      </c>
      <c r="AF185" s="492">
        <f t="shared" si="186"/>
        <v>0</v>
      </c>
      <c r="AG185" s="492">
        <f t="shared" si="187"/>
        <v>268150</v>
      </c>
      <c r="AH185" s="493">
        <v>0</v>
      </c>
      <c r="AI185" s="493">
        <v>0</v>
      </c>
      <c r="AJ185" s="493">
        <v>0</v>
      </c>
      <c r="AK185" s="493">
        <v>0.5</v>
      </c>
      <c r="AL185" s="493">
        <v>0</v>
      </c>
      <c r="AM185" s="493">
        <v>0</v>
      </c>
      <c r="AN185" s="493">
        <v>0</v>
      </c>
      <c r="AO185" s="493">
        <f t="shared" si="234"/>
        <v>0.5</v>
      </c>
      <c r="AP185" s="493">
        <f t="shared" si="235"/>
        <v>0</v>
      </c>
      <c r="AQ185" s="495">
        <f t="shared" si="188"/>
        <v>0.5</v>
      </c>
      <c r="AR185" s="502">
        <f t="shared" si="189"/>
        <v>2000822</v>
      </c>
      <c r="AS185" s="492">
        <f t="shared" si="190"/>
        <v>1473360</v>
      </c>
      <c r="AT185" s="492">
        <f t="shared" si="236"/>
        <v>0</v>
      </c>
      <c r="AU185" s="492">
        <f t="shared" si="237"/>
        <v>497995</v>
      </c>
      <c r="AV185" s="492">
        <f t="shared" si="237"/>
        <v>29467</v>
      </c>
      <c r="AW185" s="492">
        <f t="shared" si="191"/>
        <v>0</v>
      </c>
      <c r="AX185" s="493">
        <f t="shared" si="192"/>
        <v>3.1</v>
      </c>
      <c r="AY185" s="493">
        <f t="shared" si="238"/>
        <v>3.1</v>
      </c>
      <c r="AZ185" s="495">
        <f t="shared" si="238"/>
        <v>0</v>
      </c>
    </row>
    <row r="186" spans="1:52" s="238" customFormat="1" ht="13.5" customHeight="1" x14ac:dyDescent="0.2">
      <c r="A186" s="240">
        <v>38</v>
      </c>
      <c r="B186" s="241">
        <v>3435</v>
      </c>
      <c r="C186" s="241">
        <v>650022131</v>
      </c>
      <c r="D186" s="241">
        <v>70981531</v>
      </c>
      <c r="E186" s="242" t="s">
        <v>84</v>
      </c>
      <c r="F186" s="241">
        <v>3143</v>
      </c>
      <c r="G186" s="242" t="s">
        <v>630</v>
      </c>
      <c r="H186" s="278" t="s">
        <v>279</v>
      </c>
      <c r="I186" s="489">
        <v>58969</v>
      </c>
      <c r="J186" s="489">
        <v>41700</v>
      </c>
      <c r="K186" s="489">
        <v>0</v>
      </c>
      <c r="L186" s="489">
        <v>14095</v>
      </c>
      <c r="M186" s="489">
        <v>834</v>
      </c>
      <c r="N186" s="489">
        <v>2340</v>
      </c>
      <c r="O186" s="490">
        <v>0.16</v>
      </c>
      <c r="P186" s="491">
        <v>0</v>
      </c>
      <c r="Q186" s="500">
        <v>0.16</v>
      </c>
      <c r="R186" s="502">
        <f t="shared" si="180"/>
        <v>0</v>
      </c>
      <c r="S186" s="492">
        <v>0</v>
      </c>
      <c r="T186" s="492">
        <v>0</v>
      </c>
      <c r="U186" s="492">
        <v>0</v>
      </c>
      <c r="V186" s="492">
        <f t="shared" si="181"/>
        <v>0</v>
      </c>
      <c r="W186" s="492">
        <v>0</v>
      </c>
      <c r="X186" s="492">
        <v>0</v>
      </c>
      <c r="Y186" s="492">
        <v>0</v>
      </c>
      <c r="Z186" s="492">
        <f t="shared" si="182"/>
        <v>0</v>
      </c>
      <c r="AA186" s="492">
        <f t="shared" si="183"/>
        <v>0</v>
      </c>
      <c r="AB186" s="74">
        <f t="shared" si="184"/>
        <v>0</v>
      </c>
      <c r="AC186" s="74">
        <f t="shared" si="185"/>
        <v>0</v>
      </c>
      <c r="AD186" s="492">
        <v>0</v>
      </c>
      <c r="AE186" s="492">
        <v>0</v>
      </c>
      <c r="AF186" s="492">
        <f t="shared" si="186"/>
        <v>0</v>
      </c>
      <c r="AG186" s="492">
        <f t="shared" si="187"/>
        <v>0</v>
      </c>
      <c r="AH186" s="493">
        <v>0</v>
      </c>
      <c r="AI186" s="493">
        <v>0</v>
      </c>
      <c r="AJ186" s="493">
        <v>0</v>
      </c>
      <c r="AK186" s="493">
        <v>0</v>
      </c>
      <c r="AL186" s="493">
        <v>0</v>
      </c>
      <c r="AM186" s="493">
        <v>0</v>
      </c>
      <c r="AN186" s="493">
        <v>0</v>
      </c>
      <c r="AO186" s="493">
        <f t="shared" si="234"/>
        <v>0</v>
      </c>
      <c r="AP186" s="493">
        <f t="shared" si="235"/>
        <v>0</v>
      </c>
      <c r="AQ186" s="495">
        <f t="shared" si="188"/>
        <v>0</v>
      </c>
      <c r="AR186" s="502">
        <f t="shared" si="189"/>
        <v>58969</v>
      </c>
      <c r="AS186" s="492">
        <f t="shared" si="190"/>
        <v>41700</v>
      </c>
      <c r="AT186" s="492">
        <f t="shared" si="236"/>
        <v>0</v>
      </c>
      <c r="AU186" s="492">
        <f t="shared" si="237"/>
        <v>14095</v>
      </c>
      <c r="AV186" s="492">
        <f t="shared" si="237"/>
        <v>834</v>
      </c>
      <c r="AW186" s="492">
        <f t="shared" si="191"/>
        <v>2340</v>
      </c>
      <c r="AX186" s="493">
        <f t="shared" si="192"/>
        <v>0.16</v>
      </c>
      <c r="AY186" s="493">
        <f t="shared" si="238"/>
        <v>0</v>
      </c>
      <c r="AZ186" s="495">
        <f t="shared" si="238"/>
        <v>0.16</v>
      </c>
    </row>
    <row r="187" spans="1:52" s="238" customFormat="1" ht="12.75" customHeight="1" thickBot="1" x14ac:dyDescent="0.25">
      <c r="A187" s="167">
        <v>38</v>
      </c>
      <c r="B187" s="168">
        <v>3435</v>
      </c>
      <c r="C187" s="169">
        <v>650022131</v>
      </c>
      <c r="D187" s="169">
        <v>70981531</v>
      </c>
      <c r="E187" s="244" t="s">
        <v>85</v>
      </c>
      <c r="F187" s="168"/>
      <c r="G187" s="244"/>
      <c r="H187" s="279"/>
      <c r="I187" s="497">
        <v>43110393</v>
      </c>
      <c r="J187" s="497">
        <v>31283125</v>
      </c>
      <c r="K187" s="497">
        <v>32500</v>
      </c>
      <c r="L187" s="497">
        <v>10584681</v>
      </c>
      <c r="M187" s="497">
        <v>625663</v>
      </c>
      <c r="N187" s="497">
        <v>584424</v>
      </c>
      <c r="O187" s="457">
        <v>68.495099999999994</v>
      </c>
      <c r="P187" s="457">
        <v>49.153299999999994</v>
      </c>
      <c r="Q187" s="457">
        <v>19.341799999999999</v>
      </c>
      <c r="R187" s="544">
        <f t="shared" ref="R187:AZ187" si="239">SUM(R181:R186)</f>
        <v>0</v>
      </c>
      <c r="S187" s="497">
        <f t="shared" si="239"/>
        <v>99662</v>
      </c>
      <c r="T187" s="497">
        <f t="shared" si="239"/>
        <v>197460</v>
      </c>
      <c r="U187" s="497">
        <f t="shared" si="239"/>
        <v>0</v>
      </c>
      <c r="V187" s="497">
        <f t="shared" si="239"/>
        <v>297122</v>
      </c>
      <c r="W187" s="497">
        <f t="shared" si="239"/>
        <v>0</v>
      </c>
      <c r="X187" s="497">
        <f t="shared" si="239"/>
        <v>0</v>
      </c>
      <c r="Y187" s="497">
        <f t="shared" si="239"/>
        <v>0</v>
      </c>
      <c r="Z187" s="497">
        <f t="shared" si="239"/>
        <v>0</v>
      </c>
      <c r="AA187" s="497">
        <f t="shared" si="239"/>
        <v>297122</v>
      </c>
      <c r="AB187" s="497">
        <f t="shared" si="239"/>
        <v>100427</v>
      </c>
      <c r="AC187" s="497">
        <f t="shared" si="239"/>
        <v>5942</v>
      </c>
      <c r="AD187" s="497">
        <f t="shared" si="239"/>
        <v>0</v>
      </c>
      <c r="AE187" s="497">
        <f t="shared" si="239"/>
        <v>0</v>
      </c>
      <c r="AF187" s="497">
        <f t="shared" si="239"/>
        <v>0</v>
      </c>
      <c r="AG187" s="497">
        <f t="shared" si="239"/>
        <v>403491</v>
      </c>
      <c r="AH187" s="457">
        <f t="shared" si="239"/>
        <v>0</v>
      </c>
      <c r="AI187" s="457">
        <f t="shared" si="239"/>
        <v>0</v>
      </c>
      <c r="AJ187" s="457">
        <f t="shared" si="239"/>
        <v>0.27</v>
      </c>
      <c r="AK187" s="457">
        <f t="shared" si="239"/>
        <v>0.5</v>
      </c>
      <c r="AL187" s="457">
        <f t="shared" si="239"/>
        <v>0</v>
      </c>
      <c r="AM187" s="457">
        <f t="shared" si="239"/>
        <v>0</v>
      </c>
      <c r="AN187" s="457">
        <f t="shared" si="239"/>
        <v>0</v>
      </c>
      <c r="AO187" s="457">
        <f t="shared" si="239"/>
        <v>0.77</v>
      </c>
      <c r="AP187" s="457">
        <f t="shared" si="239"/>
        <v>0</v>
      </c>
      <c r="AQ187" s="545">
        <f t="shared" si="239"/>
        <v>0.77</v>
      </c>
      <c r="AR187" s="544">
        <f t="shared" si="239"/>
        <v>43513884</v>
      </c>
      <c r="AS187" s="497">
        <f t="shared" si="239"/>
        <v>31580247</v>
      </c>
      <c r="AT187" s="497">
        <f t="shared" si="239"/>
        <v>32500</v>
      </c>
      <c r="AU187" s="497">
        <f t="shared" si="239"/>
        <v>10685108</v>
      </c>
      <c r="AV187" s="497">
        <f t="shared" si="239"/>
        <v>631605</v>
      </c>
      <c r="AW187" s="497">
        <f t="shared" si="239"/>
        <v>584424</v>
      </c>
      <c r="AX187" s="457">
        <f t="shared" si="239"/>
        <v>69.26509999999999</v>
      </c>
      <c r="AY187" s="457">
        <f t="shared" si="239"/>
        <v>49.923299999999998</v>
      </c>
      <c r="AZ187" s="545">
        <f t="shared" si="239"/>
        <v>19.341799999999999</v>
      </c>
    </row>
    <row r="188" spans="1:52" s="238" customFormat="1" ht="12.75" customHeight="1" thickBot="1" x14ac:dyDescent="0.25">
      <c r="A188" s="245"/>
      <c r="B188" s="246"/>
      <c r="C188" s="246"/>
      <c r="D188" s="246"/>
      <c r="E188" s="94" t="s">
        <v>791</v>
      </c>
      <c r="F188" s="246"/>
      <c r="G188" s="246"/>
      <c r="H188" s="280"/>
      <c r="I188" s="498">
        <f t="shared" ref="I188:AZ188" si="240">I13+I16+I19+I23+I26+I29+I33+I36+I40+I44+I48+I52+I55+I59+I63+I67+I71+I75+I80+I86+I92+I98+I104+I110+I116+I122+I128+I134+I136+I144+I151+I155+I160+I164+I171+I174+I180+I187</f>
        <v>667421980</v>
      </c>
      <c r="J188" s="498">
        <f t="shared" si="240"/>
        <v>483622202</v>
      </c>
      <c r="K188" s="498">
        <f t="shared" si="240"/>
        <v>1330300</v>
      </c>
      <c r="L188" s="498">
        <f t="shared" si="240"/>
        <v>163913946</v>
      </c>
      <c r="M188" s="498">
        <f t="shared" si="240"/>
        <v>9672446</v>
      </c>
      <c r="N188" s="498">
        <f t="shared" si="240"/>
        <v>8883086</v>
      </c>
      <c r="O188" s="437">
        <f t="shared" si="240"/>
        <v>1018.6301999999999</v>
      </c>
      <c r="P188" s="437">
        <f t="shared" si="240"/>
        <v>710.04259999999988</v>
      </c>
      <c r="Q188" s="437">
        <f t="shared" si="240"/>
        <v>308.58759999999995</v>
      </c>
      <c r="R188" s="546">
        <f t="shared" si="240"/>
        <v>0</v>
      </c>
      <c r="S188" s="498">
        <f t="shared" si="240"/>
        <v>34704</v>
      </c>
      <c r="T188" s="498">
        <f t="shared" si="240"/>
        <v>498944</v>
      </c>
      <c r="U188" s="498">
        <f t="shared" si="240"/>
        <v>45546</v>
      </c>
      <c r="V188" s="498">
        <f t="shared" si="240"/>
        <v>579194</v>
      </c>
      <c r="W188" s="498">
        <f t="shared" si="240"/>
        <v>0</v>
      </c>
      <c r="X188" s="498">
        <f t="shared" si="240"/>
        <v>0</v>
      </c>
      <c r="Y188" s="498">
        <f t="shared" si="240"/>
        <v>0</v>
      </c>
      <c r="Z188" s="498">
        <f t="shared" si="240"/>
        <v>0</v>
      </c>
      <c r="AA188" s="498">
        <f t="shared" si="240"/>
        <v>579194</v>
      </c>
      <c r="AB188" s="498">
        <f t="shared" si="240"/>
        <v>195768</v>
      </c>
      <c r="AC188" s="498">
        <f t="shared" si="240"/>
        <v>11584</v>
      </c>
      <c r="AD188" s="498">
        <f t="shared" si="240"/>
        <v>27750</v>
      </c>
      <c r="AE188" s="498">
        <f t="shared" si="240"/>
        <v>78847</v>
      </c>
      <c r="AF188" s="498">
        <f t="shared" si="240"/>
        <v>106597</v>
      </c>
      <c r="AG188" s="498">
        <f t="shared" si="240"/>
        <v>893143</v>
      </c>
      <c r="AH188" s="437">
        <f t="shared" si="240"/>
        <v>0</v>
      </c>
      <c r="AI188" s="437">
        <f t="shared" si="240"/>
        <v>0</v>
      </c>
      <c r="AJ188" s="437">
        <f>AJ13+AJ16+AJ19+AJ23+AJ26+AJ29+AJ33+AJ36+AJ40+AJ44+AJ48+AJ52+AJ55+AJ59+AJ63+AJ67+AJ71+AJ75+AJ80+AJ86+AJ92+AJ98+AJ104+AJ110+AJ116+AJ122+AJ128+AJ134+AJ136+AJ144+AJ151+AJ155+AJ160+AJ164+AJ171+AJ174+AJ180+AJ187</f>
        <v>9.0000000000000024E-2</v>
      </c>
      <c r="AK188" s="437">
        <f>AK13+AK16+AK19+AK23+AK26+AK29+AK33+AK36+AK40+AK44+AK48+AK52+AK55+AK59+AK63+AK67+AK71+AK75+AK80+AK86+AK92+AK98+AK104+AK110+AK116+AK122+AK128+AK134+AK136+AK144+AK151+AK155+AK160+AK164+AK171+AK174+AK180+AK187</f>
        <v>0.8468</v>
      </c>
      <c r="AL188" s="437">
        <f>AL13+AL16+AL19+AL23+AL26+AL29+AL33+AL36+AL40+AL44+AL48+AL52+AL55+AL59+AL63+AL67+AL71+AL75+AL80+AL86+AL92+AL98+AL104+AL110+AL116+AL122+AL128+AL134+AL136+AL144+AL151+AL155+AL160+AL164+AL171+AL174+AL180+AL187</f>
        <v>0.4</v>
      </c>
      <c r="AM188" s="437">
        <f t="shared" si="240"/>
        <v>-0.01</v>
      </c>
      <c r="AN188" s="437">
        <f t="shared" si="240"/>
        <v>0.16</v>
      </c>
      <c r="AO188" s="437">
        <f t="shared" si="240"/>
        <v>0.92680000000000007</v>
      </c>
      <c r="AP188" s="437">
        <f t="shared" si="240"/>
        <v>0.56000000000000005</v>
      </c>
      <c r="AQ188" s="547">
        <f t="shared" si="240"/>
        <v>1.4868000000000001</v>
      </c>
      <c r="AR188" s="546">
        <f t="shared" si="240"/>
        <v>668315123</v>
      </c>
      <c r="AS188" s="498">
        <f t="shared" si="240"/>
        <v>484201396</v>
      </c>
      <c r="AT188" s="498">
        <f t="shared" si="240"/>
        <v>1330300</v>
      </c>
      <c r="AU188" s="498">
        <f t="shared" si="240"/>
        <v>164109714</v>
      </c>
      <c r="AV188" s="498">
        <f t="shared" si="240"/>
        <v>9684030</v>
      </c>
      <c r="AW188" s="498">
        <f t="shared" si="240"/>
        <v>8989683</v>
      </c>
      <c r="AX188" s="437">
        <f t="shared" si="240"/>
        <v>1020.1170000000001</v>
      </c>
      <c r="AY188" s="437">
        <f t="shared" si="240"/>
        <v>710.96940000000006</v>
      </c>
      <c r="AZ188" s="547">
        <f t="shared" si="240"/>
        <v>309.14759999999995</v>
      </c>
    </row>
    <row r="189" spans="1:52" ht="12.75" customHeight="1" x14ac:dyDescent="0.2">
      <c r="D189" s="10"/>
      <c r="E189" s="6"/>
      <c r="F189" s="10"/>
      <c r="G189" s="6"/>
      <c r="H189" s="6"/>
      <c r="I189" s="507">
        <f>SUM(J188:N188)</f>
        <v>667421980</v>
      </c>
      <c r="J189" s="507"/>
      <c r="K189" s="507"/>
      <c r="L189" s="507"/>
      <c r="M189" s="507"/>
      <c r="N189" s="507"/>
      <c r="O189" s="508">
        <f>SUM(P188:Q188)</f>
        <v>1018.6301999999998</v>
      </c>
      <c r="P189" s="508"/>
      <c r="Q189" s="508"/>
      <c r="R189" s="507">
        <f>W188</f>
        <v>0</v>
      </c>
      <c r="S189" s="509"/>
      <c r="T189" s="509"/>
      <c r="U189" s="509"/>
      <c r="V189" s="510">
        <f>SUM(R188:U188)</f>
        <v>579194</v>
      </c>
      <c r="W189" s="510">
        <f>R188</f>
        <v>0</v>
      </c>
      <c r="X189" s="511"/>
      <c r="Y189" s="511"/>
      <c r="Z189" s="510">
        <f>SUM(W188:Y188)</f>
        <v>0</v>
      </c>
      <c r="AA189" s="510">
        <f>V188+Z188</f>
        <v>579194</v>
      </c>
      <c r="AB189" s="512"/>
      <c r="AC189" s="512"/>
      <c r="AD189" s="511"/>
      <c r="AE189" s="511"/>
      <c r="AF189" s="510">
        <f>SUM(AD188:AE188)</f>
        <v>106597</v>
      </c>
      <c r="AG189" s="510">
        <f>AA188+AB188+AC188+AF188</f>
        <v>893143</v>
      </c>
      <c r="AH189" s="513"/>
      <c r="AI189" s="513"/>
      <c r="AJ189" s="513"/>
      <c r="AK189" s="513"/>
      <c r="AL189" s="513"/>
      <c r="AM189" s="513"/>
      <c r="AN189" s="513"/>
      <c r="AO189" s="514">
        <f>AH188+AJ188+AM188</f>
        <v>8.0000000000000029E-2</v>
      </c>
      <c r="AP189" s="514">
        <f>AI188+AN188</f>
        <v>0.16</v>
      </c>
      <c r="AQ189" s="514">
        <f>SUM(AO188:AP188)</f>
        <v>1.4868000000000001</v>
      </c>
      <c r="AR189" s="507">
        <f>SUM(AS188:AW188)</f>
        <v>668315123</v>
      </c>
      <c r="AS189" s="59"/>
      <c r="AT189" s="59"/>
      <c r="AU189" s="59"/>
      <c r="AV189" s="59"/>
      <c r="AW189" s="59"/>
      <c r="AX189" s="508">
        <f>SUM(AY188:AZ188)</f>
        <v>1020.117</v>
      </c>
      <c r="AY189" s="97"/>
      <c r="AZ189" s="97"/>
    </row>
    <row r="190" spans="1:52" ht="12.75" customHeight="1" thickBot="1" x14ac:dyDescent="0.25">
      <c r="D190" s="10"/>
      <c r="E190" s="6"/>
      <c r="F190" s="10"/>
      <c r="G190" s="6"/>
      <c r="H190" s="6"/>
      <c r="I190" s="95">
        <f>SUM(J191:N191)</f>
        <v>667421980</v>
      </c>
      <c r="J190" s="57"/>
      <c r="K190" s="57"/>
      <c r="L190" s="515"/>
      <c r="M190" s="515"/>
      <c r="N190" s="57"/>
      <c r="O190" s="96">
        <f>SUM(P191:Q191)</f>
        <v>1018.6301999999999</v>
      </c>
      <c r="P190" s="187"/>
      <c r="Q190" s="187"/>
      <c r="R190" s="508"/>
      <c r="S190" s="508"/>
      <c r="T190" s="508"/>
      <c r="U190" s="508"/>
      <c r="V190" s="516">
        <f>SUM(R191:U191)</f>
        <v>579194</v>
      </c>
      <c r="W190" s="517"/>
      <c r="X190" s="517"/>
      <c r="Y190" s="517"/>
      <c r="Z190" s="516">
        <f>SUM(W191:Y191)</f>
        <v>0</v>
      </c>
      <c r="AA190" s="516">
        <f>V191+Z191</f>
        <v>579194</v>
      </c>
      <c r="AB190" s="518"/>
      <c r="AC190" s="518"/>
      <c r="AD190" s="517"/>
      <c r="AE190" s="517"/>
      <c r="AF190" s="516">
        <f>SUM(AD191:AE191)</f>
        <v>106597</v>
      </c>
      <c r="AG190" s="516">
        <f>AA191+AB191+AC191+AF191</f>
        <v>893143</v>
      </c>
      <c r="AH190" s="519"/>
      <c r="AI190" s="519"/>
      <c r="AJ190" s="519"/>
      <c r="AK190" s="519"/>
      <c r="AL190" s="519"/>
      <c r="AM190" s="519"/>
      <c r="AN190" s="519"/>
      <c r="AO190" s="520">
        <f>AH191+AJ191+AM191</f>
        <v>8.0000000000000029E-2</v>
      </c>
      <c r="AP190" s="520">
        <f>AI191+AN191</f>
        <v>0.16</v>
      </c>
      <c r="AQ190" s="520">
        <f>SUM(AO191:AP191)</f>
        <v>1.4868000000000001</v>
      </c>
      <c r="AR190" s="507">
        <f>SUM(AS191:AW191)</f>
        <v>668315123</v>
      </c>
      <c r="AS190" s="59"/>
      <c r="AT190" s="59"/>
      <c r="AU190" s="59"/>
      <c r="AV190" s="59"/>
      <c r="AW190" s="59"/>
      <c r="AX190" s="508">
        <f>SUM(AY191:AZ191)</f>
        <v>1020.117</v>
      </c>
      <c r="AY190" s="97"/>
      <c r="AZ190" s="97"/>
    </row>
    <row r="191" spans="1:52" ht="12.75" customHeight="1" thickBot="1" x14ac:dyDescent="0.25">
      <c r="D191" s="10"/>
      <c r="E191" s="6"/>
      <c r="F191" s="10"/>
      <c r="G191" s="6"/>
      <c r="H191" s="539" t="s">
        <v>0</v>
      </c>
      <c r="I191" s="150">
        <f t="shared" ref="I191:AZ191" si="241">SUM(I192:I201)</f>
        <v>667421980</v>
      </c>
      <c r="J191" s="38">
        <f t="shared" si="241"/>
        <v>483622202</v>
      </c>
      <c r="K191" s="38">
        <f t="shared" si="241"/>
        <v>1330300</v>
      </c>
      <c r="L191" s="38">
        <f t="shared" si="241"/>
        <v>163913946</v>
      </c>
      <c r="M191" s="38">
        <f t="shared" si="241"/>
        <v>9672446</v>
      </c>
      <c r="N191" s="38">
        <f t="shared" si="241"/>
        <v>8883086</v>
      </c>
      <c r="O191" s="39">
        <f t="shared" si="241"/>
        <v>1018.6301999999999</v>
      </c>
      <c r="P191" s="39">
        <f t="shared" si="241"/>
        <v>710.04259999999999</v>
      </c>
      <c r="Q191" s="159">
        <f t="shared" si="241"/>
        <v>308.58759999999995</v>
      </c>
      <c r="R191" s="150">
        <f t="shared" si="241"/>
        <v>0</v>
      </c>
      <c r="S191" s="38">
        <f t="shared" si="241"/>
        <v>34704</v>
      </c>
      <c r="T191" s="38">
        <f t="shared" si="241"/>
        <v>498944</v>
      </c>
      <c r="U191" s="38">
        <f t="shared" si="241"/>
        <v>45546</v>
      </c>
      <c r="V191" s="38">
        <f t="shared" si="241"/>
        <v>579194</v>
      </c>
      <c r="W191" s="38">
        <f t="shared" si="241"/>
        <v>0</v>
      </c>
      <c r="X191" s="38">
        <f t="shared" si="241"/>
        <v>0</v>
      </c>
      <c r="Y191" s="38">
        <f t="shared" si="241"/>
        <v>0</v>
      </c>
      <c r="Z191" s="38">
        <f t="shared" si="241"/>
        <v>0</v>
      </c>
      <c r="AA191" s="38">
        <f t="shared" si="241"/>
        <v>579194</v>
      </c>
      <c r="AB191" s="38">
        <f t="shared" si="241"/>
        <v>195768</v>
      </c>
      <c r="AC191" s="38">
        <f t="shared" si="241"/>
        <v>11584</v>
      </c>
      <c r="AD191" s="38">
        <f t="shared" si="241"/>
        <v>27750</v>
      </c>
      <c r="AE191" s="38">
        <f t="shared" si="241"/>
        <v>78847</v>
      </c>
      <c r="AF191" s="38">
        <f t="shared" si="241"/>
        <v>106597</v>
      </c>
      <c r="AG191" s="38">
        <f t="shared" si="241"/>
        <v>893143</v>
      </c>
      <c r="AH191" s="39">
        <f t="shared" si="241"/>
        <v>0</v>
      </c>
      <c r="AI191" s="39">
        <f t="shared" si="241"/>
        <v>0</v>
      </c>
      <c r="AJ191" s="39">
        <f t="shared" si="241"/>
        <v>9.0000000000000024E-2</v>
      </c>
      <c r="AK191" s="39">
        <f t="shared" si="241"/>
        <v>0.8468</v>
      </c>
      <c r="AL191" s="39">
        <f t="shared" si="241"/>
        <v>0.4</v>
      </c>
      <c r="AM191" s="39">
        <f t="shared" si="241"/>
        <v>-0.01</v>
      </c>
      <c r="AN191" s="39">
        <f t="shared" si="241"/>
        <v>0.16</v>
      </c>
      <c r="AO191" s="39">
        <f t="shared" si="241"/>
        <v>0.92680000000000007</v>
      </c>
      <c r="AP191" s="39">
        <f t="shared" si="241"/>
        <v>0.56000000000000005</v>
      </c>
      <c r="AQ191" s="40">
        <f t="shared" si="241"/>
        <v>1.4868000000000001</v>
      </c>
      <c r="AR191" s="160">
        <f t="shared" si="241"/>
        <v>668315123</v>
      </c>
      <c r="AS191" s="38">
        <f t="shared" si="241"/>
        <v>484201396</v>
      </c>
      <c r="AT191" s="38">
        <f t="shared" si="241"/>
        <v>1330300</v>
      </c>
      <c r="AU191" s="38">
        <f t="shared" si="241"/>
        <v>164109714</v>
      </c>
      <c r="AV191" s="38">
        <f t="shared" si="241"/>
        <v>9684030</v>
      </c>
      <c r="AW191" s="38">
        <f t="shared" si="241"/>
        <v>8989683</v>
      </c>
      <c r="AX191" s="39">
        <f t="shared" si="241"/>
        <v>1020.1169999999998</v>
      </c>
      <c r="AY191" s="39">
        <f t="shared" si="241"/>
        <v>710.96939999999995</v>
      </c>
      <c r="AZ191" s="40">
        <f t="shared" si="241"/>
        <v>309.14760000000001</v>
      </c>
    </row>
    <row r="192" spans="1:52" ht="12.75" customHeight="1" x14ac:dyDescent="0.2">
      <c r="D192" s="10"/>
      <c r="E192" s="6"/>
      <c r="F192" s="10"/>
      <c r="G192" s="6"/>
      <c r="H192" s="540">
        <v>3111</v>
      </c>
      <c r="I192" s="642">
        <f t="shared" ref="I192:AZ192" si="242">SUMIF($F$12:$F$464,"=3111",I$12:I$464)</f>
        <v>167532558</v>
      </c>
      <c r="J192" s="643">
        <f t="shared" si="242"/>
        <v>122181395</v>
      </c>
      <c r="K192" s="643">
        <f t="shared" si="242"/>
        <v>489515</v>
      </c>
      <c r="L192" s="643">
        <f t="shared" si="242"/>
        <v>41462769</v>
      </c>
      <c r="M192" s="643">
        <f t="shared" si="242"/>
        <v>2443629</v>
      </c>
      <c r="N192" s="643">
        <f t="shared" si="242"/>
        <v>955250</v>
      </c>
      <c r="O192" s="648">
        <f t="shared" si="242"/>
        <v>277.30769999999995</v>
      </c>
      <c r="P192" s="648">
        <f t="shared" si="242"/>
        <v>210.48680000000002</v>
      </c>
      <c r="Q192" s="649">
        <f t="shared" si="242"/>
        <v>66.820899999999995</v>
      </c>
      <c r="R192" s="642">
        <f t="shared" si="242"/>
        <v>0</v>
      </c>
      <c r="S192" s="643">
        <f t="shared" si="242"/>
        <v>0</v>
      </c>
      <c r="T192" s="643">
        <f t="shared" si="242"/>
        <v>153804</v>
      </c>
      <c r="U192" s="643">
        <f t="shared" si="242"/>
        <v>0</v>
      </c>
      <c r="V192" s="643">
        <f t="shared" si="242"/>
        <v>153804</v>
      </c>
      <c r="W192" s="643">
        <f t="shared" si="242"/>
        <v>0</v>
      </c>
      <c r="X192" s="643">
        <f t="shared" si="242"/>
        <v>0</v>
      </c>
      <c r="Y192" s="643">
        <f t="shared" si="242"/>
        <v>0</v>
      </c>
      <c r="Z192" s="643">
        <f t="shared" si="242"/>
        <v>0</v>
      </c>
      <c r="AA192" s="643">
        <f t="shared" si="242"/>
        <v>153804</v>
      </c>
      <c r="AB192" s="643">
        <f t="shared" si="242"/>
        <v>51986</v>
      </c>
      <c r="AC192" s="643">
        <f t="shared" si="242"/>
        <v>3076</v>
      </c>
      <c r="AD192" s="643">
        <f t="shared" si="242"/>
        <v>0</v>
      </c>
      <c r="AE192" s="643">
        <f t="shared" si="242"/>
        <v>0</v>
      </c>
      <c r="AF192" s="643">
        <f t="shared" si="242"/>
        <v>0</v>
      </c>
      <c r="AG192" s="643">
        <f t="shared" si="242"/>
        <v>208866</v>
      </c>
      <c r="AH192" s="648">
        <f t="shared" si="242"/>
        <v>0</v>
      </c>
      <c r="AI192" s="648">
        <f t="shared" si="242"/>
        <v>0</v>
      </c>
      <c r="AJ192" s="648">
        <f t="shared" si="242"/>
        <v>0</v>
      </c>
      <c r="AK192" s="648">
        <f t="shared" si="242"/>
        <v>9.6799999999999997E-2</v>
      </c>
      <c r="AL192" s="648">
        <f t="shared" si="242"/>
        <v>0.4</v>
      </c>
      <c r="AM192" s="648">
        <f t="shared" si="242"/>
        <v>0</v>
      </c>
      <c r="AN192" s="648">
        <f t="shared" si="242"/>
        <v>0</v>
      </c>
      <c r="AO192" s="648">
        <f t="shared" si="242"/>
        <v>9.6799999999999997E-2</v>
      </c>
      <c r="AP192" s="648">
        <f t="shared" si="242"/>
        <v>0.4</v>
      </c>
      <c r="AQ192" s="651">
        <f t="shared" si="242"/>
        <v>0.49680000000000002</v>
      </c>
      <c r="AR192" s="644">
        <f t="shared" si="242"/>
        <v>167741424</v>
      </c>
      <c r="AS192" s="643">
        <f t="shared" si="242"/>
        <v>122335199</v>
      </c>
      <c r="AT192" s="643">
        <f t="shared" si="242"/>
        <v>489515</v>
      </c>
      <c r="AU192" s="643">
        <f t="shared" si="242"/>
        <v>41514755</v>
      </c>
      <c r="AV192" s="643">
        <f t="shared" si="242"/>
        <v>2446705</v>
      </c>
      <c r="AW192" s="643">
        <f t="shared" si="242"/>
        <v>955250</v>
      </c>
      <c r="AX192" s="648">
        <f t="shared" si="242"/>
        <v>277.80449999999996</v>
      </c>
      <c r="AY192" s="648">
        <f t="shared" si="242"/>
        <v>210.58360000000002</v>
      </c>
      <c r="AZ192" s="651">
        <f t="shared" si="242"/>
        <v>67.220899999999986</v>
      </c>
    </row>
    <row r="193" spans="4:52" ht="12.75" customHeight="1" x14ac:dyDescent="0.2">
      <c r="D193" s="10"/>
      <c r="E193" s="6"/>
      <c r="F193" s="10"/>
      <c r="G193" s="6"/>
      <c r="H193" s="2">
        <v>3113</v>
      </c>
      <c r="I193" s="178">
        <f t="shared" ref="I193:AZ193" si="243">SUMIF($F$12:$F$464,"=3113",I$12:I$464)</f>
        <v>363744110</v>
      </c>
      <c r="J193" s="17">
        <f t="shared" si="243"/>
        <v>262105171</v>
      </c>
      <c r="K193" s="17">
        <f t="shared" si="243"/>
        <v>436485</v>
      </c>
      <c r="L193" s="17">
        <f t="shared" si="243"/>
        <v>88739081</v>
      </c>
      <c r="M193" s="17">
        <f t="shared" si="243"/>
        <v>5242103</v>
      </c>
      <c r="N193" s="17">
        <f t="shared" si="243"/>
        <v>7221270</v>
      </c>
      <c r="O193" s="14">
        <f t="shared" si="243"/>
        <v>495.10029999999989</v>
      </c>
      <c r="P193" s="14">
        <f t="shared" si="243"/>
        <v>397.09339999999997</v>
      </c>
      <c r="Q193" s="180">
        <f t="shared" si="243"/>
        <v>98.006900000000002</v>
      </c>
      <c r="R193" s="178">
        <f t="shared" si="243"/>
        <v>0</v>
      </c>
      <c r="S193" s="17">
        <f t="shared" si="243"/>
        <v>34704</v>
      </c>
      <c r="T193" s="17">
        <f t="shared" si="243"/>
        <v>147680</v>
      </c>
      <c r="U193" s="17">
        <f t="shared" si="243"/>
        <v>-6199</v>
      </c>
      <c r="V193" s="17">
        <f t="shared" si="243"/>
        <v>176185</v>
      </c>
      <c r="W193" s="17">
        <f t="shared" si="243"/>
        <v>0</v>
      </c>
      <c r="X193" s="17">
        <f t="shared" si="243"/>
        <v>0</v>
      </c>
      <c r="Y193" s="17">
        <f t="shared" si="243"/>
        <v>0</v>
      </c>
      <c r="Z193" s="17">
        <f t="shared" si="243"/>
        <v>0</v>
      </c>
      <c r="AA193" s="17">
        <f t="shared" si="243"/>
        <v>176185</v>
      </c>
      <c r="AB193" s="17">
        <f t="shared" si="243"/>
        <v>59551</v>
      </c>
      <c r="AC193" s="17">
        <f t="shared" si="243"/>
        <v>3524</v>
      </c>
      <c r="AD193" s="17">
        <f t="shared" si="243"/>
        <v>27750</v>
      </c>
      <c r="AE193" s="17">
        <f t="shared" si="243"/>
        <v>0</v>
      </c>
      <c r="AF193" s="17">
        <f t="shared" si="243"/>
        <v>27750</v>
      </c>
      <c r="AG193" s="17">
        <f t="shared" si="243"/>
        <v>267010</v>
      </c>
      <c r="AH193" s="14">
        <f t="shared" si="243"/>
        <v>0</v>
      </c>
      <c r="AI193" s="14">
        <f t="shared" si="243"/>
        <v>0</v>
      </c>
      <c r="AJ193" s="14">
        <f t="shared" si="243"/>
        <v>9.0000000000000024E-2</v>
      </c>
      <c r="AK193" s="14">
        <f t="shared" si="243"/>
        <v>0.25</v>
      </c>
      <c r="AL193" s="14">
        <f t="shared" si="243"/>
        <v>0</v>
      </c>
      <c r="AM193" s="14">
        <f t="shared" si="243"/>
        <v>-0.01</v>
      </c>
      <c r="AN193" s="14">
        <f t="shared" si="243"/>
        <v>0</v>
      </c>
      <c r="AO193" s="14">
        <f t="shared" si="243"/>
        <v>0.33</v>
      </c>
      <c r="AP193" s="14">
        <f t="shared" si="243"/>
        <v>0</v>
      </c>
      <c r="AQ193" s="18">
        <f t="shared" si="243"/>
        <v>0.33</v>
      </c>
      <c r="AR193" s="179">
        <f t="shared" si="243"/>
        <v>364011120</v>
      </c>
      <c r="AS193" s="17">
        <f t="shared" si="243"/>
        <v>262281356</v>
      </c>
      <c r="AT193" s="17">
        <f t="shared" si="243"/>
        <v>436485</v>
      </c>
      <c r="AU193" s="17">
        <f t="shared" si="243"/>
        <v>88798632</v>
      </c>
      <c r="AV193" s="17">
        <f t="shared" si="243"/>
        <v>5245627</v>
      </c>
      <c r="AW193" s="17">
        <f t="shared" si="243"/>
        <v>7249020</v>
      </c>
      <c r="AX193" s="14">
        <f t="shared" si="243"/>
        <v>495.43029999999987</v>
      </c>
      <c r="AY193" s="14">
        <f t="shared" si="243"/>
        <v>397.42339999999996</v>
      </c>
      <c r="AZ193" s="18">
        <f t="shared" si="243"/>
        <v>98.006900000000002</v>
      </c>
    </row>
    <row r="194" spans="4:52" ht="12.75" customHeight="1" x14ac:dyDescent="0.2">
      <c r="D194" s="10"/>
      <c r="E194" s="6"/>
      <c r="F194" s="10"/>
      <c r="G194" s="6"/>
      <c r="H194" s="2">
        <v>3114</v>
      </c>
      <c r="I194" s="178">
        <f t="shared" ref="I194:AZ194" si="244">SUMIF($F$12:$F$464,"=3114",I$12:I$464)</f>
        <v>0</v>
      </c>
      <c r="J194" s="17">
        <f t="shared" si="244"/>
        <v>0</v>
      </c>
      <c r="K194" s="17">
        <f t="shared" si="244"/>
        <v>0</v>
      </c>
      <c r="L194" s="17">
        <f t="shared" si="244"/>
        <v>0</v>
      </c>
      <c r="M194" s="17">
        <f t="shared" si="244"/>
        <v>0</v>
      </c>
      <c r="N194" s="17">
        <f t="shared" si="244"/>
        <v>0</v>
      </c>
      <c r="O194" s="14">
        <f t="shared" si="244"/>
        <v>0</v>
      </c>
      <c r="P194" s="14">
        <f t="shared" si="244"/>
        <v>0</v>
      </c>
      <c r="Q194" s="180">
        <f t="shared" si="244"/>
        <v>0</v>
      </c>
      <c r="R194" s="178">
        <f t="shared" si="244"/>
        <v>0</v>
      </c>
      <c r="S194" s="17">
        <f t="shared" si="244"/>
        <v>0</v>
      </c>
      <c r="T194" s="17">
        <f t="shared" si="244"/>
        <v>0</v>
      </c>
      <c r="U194" s="17">
        <f t="shared" si="244"/>
        <v>0</v>
      </c>
      <c r="V194" s="17">
        <f t="shared" si="244"/>
        <v>0</v>
      </c>
      <c r="W194" s="17">
        <f t="shared" si="244"/>
        <v>0</v>
      </c>
      <c r="X194" s="17">
        <f t="shared" si="244"/>
        <v>0</v>
      </c>
      <c r="Y194" s="17">
        <f t="shared" si="244"/>
        <v>0</v>
      </c>
      <c r="Z194" s="17">
        <f t="shared" si="244"/>
        <v>0</v>
      </c>
      <c r="AA194" s="17">
        <f t="shared" si="244"/>
        <v>0</v>
      </c>
      <c r="AB194" s="17">
        <f t="shared" si="244"/>
        <v>0</v>
      </c>
      <c r="AC194" s="17">
        <f t="shared" si="244"/>
        <v>0</v>
      </c>
      <c r="AD194" s="17">
        <f t="shared" si="244"/>
        <v>0</v>
      </c>
      <c r="AE194" s="17">
        <f t="shared" si="244"/>
        <v>0</v>
      </c>
      <c r="AF194" s="17">
        <f t="shared" si="244"/>
        <v>0</v>
      </c>
      <c r="AG194" s="17">
        <f t="shared" si="244"/>
        <v>0</v>
      </c>
      <c r="AH194" s="14">
        <f t="shared" si="244"/>
        <v>0</v>
      </c>
      <c r="AI194" s="14">
        <f t="shared" si="244"/>
        <v>0</v>
      </c>
      <c r="AJ194" s="14">
        <f t="shared" si="244"/>
        <v>0</v>
      </c>
      <c r="AK194" s="14">
        <f t="shared" si="244"/>
        <v>0</v>
      </c>
      <c r="AL194" s="14">
        <f t="shared" si="244"/>
        <v>0</v>
      </c>
      <c r="AM194" s="14">
        <f t="shared" si="244"/>
        <v>0</v>
      </c>
      <c r="AN194" s="14">
        <f t="shared" si="244"/>
        <v>0</v>
      </c>
      <c r="AO194" s="14">
        <f t="shared" si="244"/>
        <v>0</v>
      </c>
      <c r="AP194" s="14">
        <f t="shared" si="244"/>
        <v>0</v>
      </c>
      <c r="AQ194" s="18">
        <f t="shared" si="244"/>
        <v>0</v>
      </c>
      <c r="AR194" s="179">
        <f t="shared" si="244"/>
        <v>0</v>
      </c>
      <c r="AS194" s="17">
        <f t="shared" si="244"/>
        <v>0</v>
      </c>
      <c r="AT194" s="17">
        <f t="shared" si="244"/>
        <v>0</v>
      </c>
      <c r="AU194" s="17">
        <f t="shared" si="244"/>
        <v>0</v>
      </c>
      <c r="AV194" s="17">
        <f t="shared" si="244"/>
        <v>0</v>
      </c>
      <c r="AW194" s="17">
        <f t="shared" si="244"/>
        <v>0</v>
      </c>
      <c r="AX194" s="14">
        <f t="shared" si="244"/>
        <v>0</v>
      </c>
      <c r="AY194" s="14">
        <f t="shared" si="244"/>
        <v>0</v>
      </c>
      <c r="AZ194" s="18">
        <f t="shared" si="244"/>
        <v>0</v>
      </c>
    </row>
    <row r="195" spans="4:52" ht="12.75" customHeight="1" x14ac:dyDescent="0.2">
      <c r="D195" s="10"/>
      <c r="E195" s="6"/>
      <c r="F195" s="10"/>
      <c r="G195" s="6"/>
      <c r="H195" s="2">
        <v>3117</v>
      </c>
      <c r="I195" s="178">
        <f t="shared" ref="I195:AZ195" si="245">SUMIF($F$12:$F$464,"=3117",I$12:I$464)</f>
        <v>10747999</v>
      </c>
      <c r="J195" s="17">
        <f t="shared" si="245"/>
        <v>7787401</v>
      </c>
      <c r="K195" s="17">
        <f t="shared" si="245"/>
        <v>0</v>
      </c>
      <c r="L195" s="17">
        <f t="shared" si="245"/>
        <v>2632141</v>
      </c>
      <c r="M195" s="17">
        <f t="shared" si="245"/>
        <v>155747</v>
      </c>
      <c r="N195" s="17">
        <f t="shared" si="245"/>
        <v>172710</v>
      </c>
      <c r="O195" s="14">
        <f t="shared" si="245"/>
        <v>16.392699999999998</v>
      </c>
      <c r="P195" s="14">
        <f t="shared" si="245"/>
        <v>12.750999999999999</v>
      </c>
      <c r="Q195" s="180">
        <f t="shared" si="245"/>
        <v>3.6417000000000002</v>
      </c>
      <c r="R195" s="178">
        <f t="shared" si="245"/>
        <v>0</v>
      </c>
      <c r="S195" s="17">
        <f t="shared" si="245"/>
        <v>0</v>
      </c>
      <c r="T195" s="17">
        <f t="shared" si="245"/>
        <v>0</v>
      </c>
      <c r="U195" s="17">
        <f t="shared" si="245"/>
        <v>0</v>
      </c>
      <c r="V195" s="17">
        <f t="shared" si="245"/>
        <v>0</v>
      </c>
      <c r="W195" s="17">
        <f t="shared" si="245"/>
        <v>0</v>
      </c>
      <c r="X195" s="17">
        <f t="shared" si="245"/>
        <v>0</v>
      </c>
      <c r="Y195" s="17">
        <f t="shared" si="245"/>
        <v>0</v>
      </c>
      <c r="Z195" s="17">
        <f t="shared" si="245"/>
        <v>0</v>
      </c>
      <c r="AA195" s="17">
        <f t="shared" si="245"/>
        <v>0</v>
      </c>
      <c r="AB195" s="17">
        <f t="shared" si="245"/>
        <v>0</v>
      </c>
      <c r="AC195" s="17">
        <f t="shared" si="245"/>
        <v>0</v>
      </c>
      <c r="AD195" s="17">
        <f t="shared" si="245"/>
        <v>0</v>
      </c>
      <c r="AE195" s="17">
        <f t="shared" si="245"/>
        <v>0</v>
      </c>
      <c r="AF195" s="17">
        <f t="shared" si="245"/>
        <v>0</v>
      </c>
      <c r="AG195" s="17">
        <f t="shared" si="245"/>
        <v>0</v>
      </c>
      <c r="AH195" s="14">
        <f t="shared" si="245"/>
        <v>0</v>
      </c>
      <c r="AI195" s="14">
        <f t="shared" si="245"/>
        <v>0</v>
      </c>
      <c r="AJ195" s="14">
        <f t="shared" si="245"/>
        <v>0</v>
      </c>
      <c r="AK195" s="14">
        <f t="shared" si="245"/>
        <v>0</v>
      </c>
      <c r="AL195" s="14">
        <f t="shared" si="245"/>
        <v>0</v>
      </c>
      <c r="AM195" s="14">
        <f t="shared" si="245"/>
        <v>0</v>
      </c>
      <c r="AN195" s="14">
        <f t="shared" si="245"/>
        <v>0</v>
      </c>
      <c r="AO195" s="14">
        <f t="shared" si="245"/>
        <v>0</v>
      </c>
      <c r="AP195" s="14">
        <f t="shared" si="245"/>
        <v>0</v>
      </c>
      <c r="AQ195" s="18">
        <f t="shared" si="245"/>
        <v>0</v>
      </c>
      <c r="AR195" s="179">
        <f t="shared" si="245"/>
        <v>10747999</v>
      </c>
      <c r="AS195" s="17">
        <f t="shared" si="245"/>
        <v>7787401</v>
      </c>
      <c r="AT195" s="17">
        <f t="shared" si="245"/>
        <v>0</v>
      </c>
      <c r="AU195" s="17">
        <f t="shared" si="245"/>
        <v>2632141</v>
      </c>
      <c r="AV195" s="17">
        <f t="shared" si="245"/>
        <v>155747</v>
      </c>
      <c r="AW195" s="17">
        <f t="shared" si="245"/>
        <v>172710</v>
      </c>
      <c r="AX195" s="14">
        <f t="shared" si="245"/>
        <v>16.392699999999998</v>
      </c>
      <c r="AY195" s="14">
        <f t="shared" si="245"/>
        <v>12.750999999999999</v>
      </c>
      <c r="AZ195" s="18">
        <f t="shared" si="245"/>
        <v>3.6417000000000002</v>
      </c>
    </row>
    <row r="196" spans="4:52" ht="13.5" customHeight="1" x14ac:dyDescent="0.2">
      <c r="D196" s="10"/>
      <c r="E196" s="6"/>
      <c r="F196" s="10"/>
      <c r="G196" s="6"/>
      <c r="H196" s="2">
        <v>3122</v>
      </c>
      <c r="I196" s="178">
        <f t="shared" ref="I196:AZ196" si="246">SUMIF($F$12:$F$464,"=3122",I$12:I$464)</f>
        <v>0</v>
      </c>
      <c r="J196" s="17">
        <f t="shared" si="246"/>
        <v>0</v>
      </c>
      <c r="K196" s="17">
        <f t="shared" si="246"/>
        <v>0</v>
      </c>
      <c r="L196" s="17">
        <f t="shared" si="246"/>
        <v>0</v>
      </c>
      <c r="M196" s="17">
        <f t="shared" si="246"/>
        <v>0</v>
      </c>
      <c r="N196" s="17">
        <f t="shared" si="246"/>
        <v>0</v>
      </c>
      <c r="O196" s="14">
        <f t="shared" si="246"/>
        <v>0</v>
      </c>
      <c r="P196" s="14">
        <f t="shared" si="246"/>
        <v>0</v>
      </c>
      <c r="Q196" s="180">
        <f t="shared" si="246"/>
        <v>0</v>
      </c>
      <c r="R196" s="178">
        <f t="shared" si="246"/>
        <v>0</v>
      </c>
      <c r="S196" s="17">
        <f t="shared" si="246"/>
        <v>0</v>
      </c>
      <c r="T196" s="17">
        <f t="shared" si="246"/>
        <v>0</v>
      </c>
      <c r="U196" s="17">
        <f t="shared" si="246"/>
        <v>0</v>
      </c>
      <c r="V196" s="17">
        <f t="shared" si="246"/>
        <v>0</v>
      </c>
      <c r="W196" s="17">
        <f t="shared" si="246"/>
        <v>0</v>
      </c>
      <c r="X196" s="17">
        <f t="shared" si="246"/>
        <v>0</v>
      </c>
      <c r="Y196" s="17">
        <f t="shared" si="246"/>
        <v>0</v>
      </c>
      <c r="Z196" s="17">
        <f t="shared" si="246"/>
        <v>0</v>
      </c>
      <c r="AA196" s="17">
        <f t="shared" si="246"/>
        <v>0</v>
      </c>
      <c r="AB196" s="17">
        <f t="shared" si="246"/>
        <v>0</v>
      </c>
      <c r="AC196" s="17">
        <f t="shared" si="246"/>
        <v>0</v>
      </c>
      <c r="AD196" s="17">
        <f t="shared" si="246"/>
        <v>0</v>
      </c>
      <c r="AE196" s="17">
        <f t="shared" si="246"/>
        <v>0</v>
      </c>
      <c r="AF196" s="17">
        <f t="shared" si="246"/>
        <v>0</v>
      </c>
      <c r="AG196" s="17">
        <f t="shared" si="246"/>
        <v>0</v>
      </c>
      <c r="AH196" s="14">
        <f t="shared" si="246"/>
        <v>0</v>
      </c>
      <c r="AI196" s="14">
        <f t="shared" si="246"/>
        <v>0</v>
      </c>
      <c r="AJ196" s="14">
        <f t="shared" si="246"/>
        <v>0</v>
      </c>
      <c r="AK196" s="14">
        <f t="shared" si="246"/>
        <v>0</v>
      </c>
      <c r="AL196" s="14">
        <f t="shared" si="246"/>
        <v>0</v>
      </c>
      <c r="AM196" s="14">
        <f t="shared" si="246"/>
        <v>0</v>
      </c>
      <c r="AN196" s="14">
        <f t="shared" si="246"/>
        <v>0</v>
      </c>
      <c r="AO196" s="14">
        <f t="shared" si="246"/>
        <v>0</v>
      </c>
      <c r="AP196" s="14">
        <f t="shared" si="246"/>
        <v>0</v>
      </c>
      <c r="AQ196" s="18">
        <f t="shared" si="246"/>
        <v>0</v>
      </c>
      <c r="AR196" s="179">
        <f t="shared" si="246"/>
        <v>0</v>
      </c>
      <c r="AS196" s="17">
        <f t="shared" si="246"/>
        <v>0</v>
      </c>
      <c r="AT196" s="17">
        <f t="shared" si="246"/>
        <v>0</v>
      </c>
      <c r="AU196" s="17">
        <f t="shared" si="246"/>
        <v>0</v>
      </c>
      <c r="AV196" s="17">
        <f t="shared" si="246"/>
        <v>0</v>
      </c>
      <c r="AW196" s="17">
        <f t="shared" si="246"/>
        <v>0</v>
      </c>
      <c r="AX196" s="14">
        <f t="shared" si="246"/>
        <v>0</v>
      </c>
      <c r="AY196" s="14">
        <f t="shared" si="246"/>
        <v>0</v>
      </c>
      <c r="AZ196" s="18">
        <f t="shared" si="246"/>
        <v>0</v>
      </c>
    </row>
    <row r="197" spans="4:52" ht="12.75" customHeight="1" x14ac:dyDescent="0.2">
      <c r="D197" s="10"/>
      <c r="E197" s="6"/>
      <c r="F197" s="10"/>
      <c r="G197" s="6"/>
      <c r="H197" s="2">
        <v>3124</v>
      </c>
      <c r="I197" s="178">
        <f t="shared" ref="I197:AZ197" si="247">SUMIF($F$12:$F$464,"=3124",I$12:I$464)</f>
        <v>0</v>
      </c>
      <c r="J197" s="17">
        <f t="shared" si="247"/>
        <v>0</v>
      </c>
      <c r="K197" s="17">
        <f t="shared" si="247"/>
        <v>0</v>
      </c>
      <c r="L197" s="17">
        <f t="shared" si="247"/>
        <v>0</v>
      </c>
      <c r="M197" s="17">
        <f t="shared" si="247"/>
        <v>0</v>
      </c>
      <c r="N197" s="17">
        <f t="shared" si="247"/>
        <v>0</v>
      </c>
      <c r="O197" s="14">
        <f t="shared" si="247"/>
        <v>0</v>
      </c>
      <c r="P197" s="14">
        <f t="shared" si="247"/>
        <v>0</v>
      </c>
      <c r="Q197" s="180">
        <f t="shared" si="247"/>
        <v>0</v>
      </c>
      <c r="R197" s="178">
        <f t="shared" si="247"/>
        <v>0</v>
      </c>
      <c r="S197" s="17">
        <f t="shared" si="247"/>
        <v>0</v>
      </c>
      <c r="T197" s="17">
        <f t="shared" si="247"/>
        <v>0</v>
      </c>
      <c r="U197" s="17">
        <f t="shared" si="247"/>
        <v>0</v>
      </c>
      <c r="V197" s="17">
        <f t="shared" si="247"/>
        <v>0</v>
      </c>
      <c r="W197" s="17">
        <f t="shared" si="247"/>
        <v>0</v>
      </c>
      <c r="X197" s="17">
        <f t="shared" si="247"/>
        <v>0</v>
      </c>
      <c r="Y197" s="17">
        <f t="shared" si="247"/>
        <v>0</v>
      </c>
      <c r="Z197" s="17">
        <f t="shared" si="247"/>
        <v>0</v>
      </c>
      <c r="AA197" s="17">
        <f t="shared" si="247"/>
        <v>0</v>
      </c>
      <c r="AB197" s="17">
        <f t="shared" si="247"/>
        <v>0</v>
      </c>
      <c r="AC197" s="17">
        <f t="shared" si="247"/>
        <v>0</v>
      </c>
      <c r="AD197" s="17">
        <f t="shared" si="247"/>
        <v>0</v>
      </c>
      <c r="AE197" s="17">
        <f t="shared" si="247"/>
        <v>0</v>
      </c>
      <c r="AF197" s="17">
        <f t="shared" si="247"/>
        <v>0</v>
      </c>
      <c r="AG197" s="17">
        <f t="shared" si="247"/>
        <v>0</v>
      </c>
      <c r="AH197" s="14">
        <f t="shared" si="247"/>
        <v>0</v>
      </c>
      <c r="AI197" s="14">
        <f t="shared" si="247"/>
        <v>0</v>
      </c>
      <c r="AJ197" s="14">
        <f t="shared" si="247"/>
        <v>0</v>
      </c>
      <c r="AK197" s="14">
        <f t="shared" si="247"/>
        <v>0</v>
      </c>
      <c r="AL197" s="14">
        <f t="shared" si="247"/>
        <v>0</v>
      </c>
      <c r="AM197" s="14">
        <f t="shared" si="247"/>
        <v>0</v>
      </c>
      <c r="AN197" s="14">
        <f t="shared" si="247"/>
        <v>0</v>
      </c>
      <c r="AO197" s="14">
        <f t="shared" si="247"/>
        <v>0</v>
      </c>
      <c r="AP197" s="14">
        <f t="shared" si="247"/>
        <v>0</v>
      </c>
      <c r="AQ197" s="18">
        <f t="shared" si="247"/>
        <v>0</v>
      </c>
      <c r="AR197" s="179">
        <f t="shared" si="247"/>
        <v>0</v>
      </c>
      <c r="AS197" s="17">
        <f t="shared" si="247"/>
        <v>0</v>
      </c>
      <c r="AT197" s="17">
        <f t="shared" si="247"/>
        <v>0</v>
      </c>
      <c r="AU197" s="17">
        <f t="shared" si="247"/>
        <v>0</v>
      </c>
      <c r="AV197" s="17">
        <f t="shared" si="247"/>
        <v>0</v>
      </c>
      <c r="AW197" s="17">
        <f t="shared" si="247"/>
        <v>0</v>
      </c>
      <c r="AX197" s="14">
        <f t="shared" si="247"/>
        <v>0</v>
      </c>
      <c r="AY197" s="14">
        <f t="shared" si="247"/>
        <v>0</v>
      </c>
      <c r="AZ197" s="18">
        <f t="shared" si="247"/>
        <v>0</v>
      </c>
    </row>
    <row r="198" spans="4:52" ht="12.75" customHeight="1" x14ac:dyDescent="0.2">
      <c r="D198" s="10"/>
      <c r="E198" s="6"/>
      <c r="F198" s="10"/>
      <c r="G198" s="6"/>
      <c r="H198" s="2">
        <v>3141</v>
      </c>
      <c r="I198" s="178">
        <f t="shared" ref="I198:AZ198" si="248">SUMIF($F$12:$F$464,"=3141",I$12:I$464)</f>
        <v>55587499</v>
      </c>
      <c r="J198" s="17">
        <f t="shared" si="248"/>
        <v>40532694</v>
      </c>
      <c r="K198" s="17">
        <f t="shared" si="248"/>
        <v>125450</v>
      </c>
      <c r="L198" s="17">
        <f t="shared" si="248"/>
        <v>13742452</v>
      </c>
      <c r="M198" s="17">
        <f t="shared" si="248"/>
        <v>810655</v>
      </c>
      <c r="N198" s="17">
        <f t="shared" si="248"/>
        <v>376248</v>
      </c>
      <c r="O198" s="14">
        <f t="shared" si="248"/>
        <v>127.84</v>
      </c>
      <c r="P198" s="14">
        <f t="shared" si="248"/>
        <v>0</v>
      </c>
      <c r="Q198" s="180">
        <f t="shared" si="248"/>
        <v>127.84</v>
      </c>
      <c r="R198" s="178">
        <f t="shared" si="248"/>
        <v>0</v>
      </c>
      <c r="S198" s="17">
        <f t="shared" si="248"/>
        <v>0</v>
      </c>
      <c r="T198" s="17">
        <f t="shared" si="248"/>
        <v>0</v>
      </c>
      <c r="U198" s="17">
        <f t="shared" si="248"/>
        <v>51745</v>
      </c>
      <c r="V198" s="17">
        <f t="shared" si="248"/>
        <v>51745</v>
      </c>
      <c r="W198" s="17">
        <f t="shared" si="248"/>
        <v>0</v>
      </c>
      <c r="X198" s="17">
        <f t="shared" si="248"/>
        <v>0</v>
      </c>
      <c r="Y198" s="17">
        <f t="shared" si="248"/>
        <v>0</v>
      </c>
      <c r="Z198" s="17">
        <f t="shared" si="248"/>
        <v>0</v>
      </c>
      <c r="AA198" s="17">
        <f t="shared" si="248"/>
        <v>51745</v>
      </c>
      <c r="AB198" s="17">
        <f t="shared" si="248"/>
        <v>17490</v>
      </c>
      <c r="AC198" s="17">
        <f t="shared" si="248"/>
        <v>1035</v>
      </c>
      <c r="AD198" s="17">
        <f t="shared" si="248"/>
        <v>0</v>
      </c>
      <c r="AE198" s="17">
        <f t="shared" si="248"/>
        <v>780</v>
      </c>
      <c r="AF198" s="17">
        <f t="shared" si="248"/>
        <v>780</v>
      </c>
      <c r="AG198" s="17">
        <f t="shared" si="248"/>
        <v>71050</v>
      </c>
      <c r="AH198" s="14">
        <f t="shared" si="248"/>
        <v>0</v>
      </c>
      <c r="AI198" s="14">
        <f t="shared" si="248"/>
        <v>0</v>
      </c>
      <c r="AJ198" s="14">
        <f t="shared" si="248"/>
        <v>0</v>
      </c>
      <c r="AK198" s="14">
        <f t="shared" si="248"/>
        <v>0</v>
      </c>
      <c r="AL198" s="14">
        <f t="shared" si="248"/>
        <v>0</v>
      </c>
      <c r="AM198" s="14">
        <f t="shared" si="248"/>
        <v>0</v>
      </c>
      <c r="AN198" s="14">
        <f t="shared" si="248"/>
        <v>0.16</v>
      </c>
      <c r="AO198" s="14">
        <f t="shared" si="248"/>
        <v>0</v>
      </c>
      <c r="AP198" s="14">
        <f t="shared" si="248"/>
        <v>0.16</v>
      </c>
      <c r="AQ198" s="18">
        <f t="shared" si="248"/>
        <v>0.16</v>
      </c>
      <c r="AR198" s="179">
        <f t="shared" si="248"/>
        <v>55658549</v>
      </c>
      <c r="AS198" s="17">
        <f t="shared" si="248"/>
        <v>40584439</v>
      </c>
      <c r="AT198" s="17">
        <f t="shared" si="248"/>
        <v>125450</v>
      </c>
      <c r="AU198" s="17">
        <f t="shared" si="248"/>
        <v>13759942</v>
      </c>
      <c r="AV198" s="17">
        <f t="shared" si="248"/>
        <v>811690</v>
      </c>
      <c r="AW198" s="17">
        <f t="shared" si="248"/>
        <v>377028</v>
      </c>
      <c r="AX198" s="14">
        <f t="shared" si="248"/>
        <v>128</v>
      </c>
      <c r="AY198" s="14">
        <f t="shared" si="248"/>
        <v>0</v>
      </c>
      <c r="AZ198" s="18">
        <f t="shared" si="248"/>
        <v>128</v>
      </c>
    </row>
    <row r="199" spans="4:52" ht="12.75" customHeight="1" x14ac:dyDescent="0.2">
      <c r="D199" s="10"/>
      <c r="E199" s="6"/>
      <c r="F199" s="10"/>
      <c r="G199" s="6"/>
      <c r="H199" s="2">
        <v>3143</v>
      </c>
      <c r="I199" s="178">
        <f t="shared" ref="I199:AZ199" si="249">SUMIF($F$12:$F$464,"=3143",I$12:I$464)</f>
        <v>32584741</v>
      </c>
      <c r="J199" s="17">
        <f t="shared" si="249"/>
        <v>23921348</v>
      </c>
      <c r="K199" s="17">
        <f t="shared" si="249"/>
        <v>41600</v>
      </c>
      <c r="L199" s="17">
        <f t="shared" si="249"/>
        <v>8099475</v>
      </c>
      <c r="M199" s="17">
        <f t="shared" si="249"/>
        <v>478428</v>
      </c>
      <c r="N199" s="17">
        <f t="shared" si="249"/>
        <v>43890</v>
      </c>
      <c r="O199" s="14">
        <f t="shared" si="249"/>
        <v>49.463200000000001</v>
      </c>
      <c r="P199" s="14">
        <f t="shared" si="249"/>
        <v>46.3932</v>
      </c>
      <c r="Q199" s="180">
        <f t="shared" si="249"/>
        <v>3.0699999999999994</v>
      </c>
      <c r="R199" s="178">
        <f t="shared" si="249"/>
        <v>0</v>
      </c>
      <c r="S199" s="17">
        <f t="shared" si="249"/>
        <v>0</v>
      </c>
      <c r="T199" s="17">
        <f t="shared" si="249"/>
        <v>197460</v>
      </c>
      <c r="U199" s="17">
        <f t="shared" si="249"/>
        <v>0</v>
      </c>
      <c r="V199" s="17">
        <f t="shared" si="249"/>
        <v>197460</v>
      </c>
      <c r="W199" s="17">
        <f t="shared" si="249"/>
        <v>0</v>
      </c>
      <c r="X199" s="17">
        <f t="shared" si="249"/>
        <v>0</v>
      </c>
      <c r="Y199" s="17">
        <f t="shared" si="249"/>
        <v>0</v>
      </c>
      <c r="Z199" s="17">
        <f t="shared" si="249"/>
        <v>0</v>
      </c>
      <c r="AA199" s="17">
        <f t="shared" si="249"/>
        <v>197460</v>
      </c>
      <c r="AB199" s="17">
        <f t="shared" si="249"/>
        <v>66741</v>
      </c>
      <c r="AC199" s="17">
        <f t="shared" si="249"/>
        <v>3949</v>
      </c>
      <c r="AD199" s="17">
        <f t="shared" si="249"/>
        <v>0</v>
      </c>
      <c r="AE199" s="17">
        <f t="shared" si="249"/>
        <v>0</v>
      </c>
      <c r="AF199" s="17">
        <f t="shared" si="249"/>
        <v>0</v>
      </c>
      <c r="AG199" s="17">
        <f t="shared" si="249"/>
        <v>268150</v>
      </c>
      <c r="AH199" s="14">
        <f t="shared" si="249"/>
        <v>0</v>
      </c>
      <c r="AI199" s="14">
        <f t="shared" si="249"/>
        <v>0</v>
      </c>
      <c r="AJ199" s="14">
        <f t="shared" si="249"/>
        <v>0</v>
      </c>
      <c r="AK199" s="14">
        <f t="shared" si="249"/>
        <v>0.5</v>
      </c>
      <c r="AL199" s="14">
        <f t="shared" si="249"/>
        <v>0</v>
      </c>
      <c r="AM199" s="14">
        <f t="shared" si="249"/>
        <v>0</v>
      </c>
      <c r="AN199" s="14">
        <f t="shared" si="249"/>
        <v>0</v>
      </c>
      <c r="AO199" s="14">
        <f t="shared" si="249"/>
        <v>0.5</v>
      </c>
      <c r="AP199" s="14">
        <f t="shared" si="249"/>
        <v>0</v>
      </c>
      <c r="AQ199" s="18">
        <f t="shared" si="249"/>
        <v>0.5</v>
      </c>
      <c r="AR199" s="179">
        <f t="shared" si="249"/>
        <v>32852891</v>
      </c>
      <c r="AS199" s="17">
        <f t="shared" si="249"/>
        <v>24118808</v>
      </c>
      <c r="AT199" s="17">
        <f t="shared" si="249"/>
        <v>41600</v>
      </c>
      <c r="AU199" s="17">
        <f t="shared" si="249"/>
        <v>8166216</v>
      </c>
      <c r="AV199" s="17">
        <f t="shared" si="249"/>
        <v>482377</v>
      </c>
      <c r="AW199" s="17">
        <f t="shared" si="249"/>
        <v>43890</v>
      </c>
      <c r="AX199" s="14">
        <f t="shared" si="249"/>
        <v>49.963200000000001</v>
      </c>
      <c r="AY199" s="14">
        <f t="shared" si="249"/>
        <v>46.8932</v>
      </c>
      <c r="AZ199" s="18">
        <f t="shared" si="249"/>
        <v>3.0699999999999994</v>
      </c>
    </row>
    <row r="200" spans="4:52" ht="12.75" customHeight="1" x14ac:dyDescent="0.2">
      <c r="D200" s="10"/>
      <c r="E200" s="6"/>
      <c r="F200" s="10"/>
      <c r="G200" s="6"/>
      <c r="H200" s="2">
        <v>3231</v>
      </c>
      <c r="I200" s="178">
        <f t="shared" ref="I200:AZ200" si="250">SUMIF($F$12:$F$464,"=3231",I$12:I$464)</f>
        <v>30841435</v>
      </c>
      <c r="J200" s="17">
        <f t="shared" si="250"/>
        <v>22476863</v>
      </c>
      <c r="K200" s="17">
        <f t="shared" si="250"/>
        <v>162500</v>
      </c>
      <c r="L200" s="17">
        <f t="shared" si="250"/>
        <v>7652105</v>
      </c>
      <c r="M200" s="17">
        <f t="shared" si="250"/>
        <v>449537</v>
      </c>
      <c r="N200" s="17">
        <f t="shared" si="250"/>
        <v>100430</v>
      </c>
      <c r="O200" s="14">
        <f t="shared" si="250"/>
        <v>41.966300000000004</v>
      </c>
      <c r="P200" s="14">
        <f t="shared" si="250"/>
        <v>37.228200000000001</v>
      </c>
      <c r="Q200" s="180">
        <f t="shared" si="250"/>
        <v>4.7381000000000002</v>
      </c>
      <c r="R200" s="178">
        <f t="shared" si="250"/>
        <v>0</v>
      </c>
      <c r="S200" s="17">
        <f t="shared" si="250"/>
        <v>0</v>
      </c>
      <c r="T200" s="17">
        <f t="shared" si="250"/>
        <v>0</v>
      </c>
      <c r="U200" s="17">
        <f t="shared" si="250"/>
        <v>0</v>
      </c>
      <c r="V200" s="17">
        <f t="shared" si="250"/>
        <v>0</v>
      </c>
      <c r="W200" s="17">
        <f t="shared" si="250"/>
        <v>0</v>
      </c>
      <c r="X200" s="17">
        <f t="shared" si="250"/>
        <v>0</v>
      </c>
      <c r="Y200" s="17">
        <f t="shared" si="250"/>
        <v>0</v>
      </c>
      <c r="Z200" s="17">
        <f t="shared" si="250"/>
        <v>0</v>
      </c>
      <c r="AA200" s="17">
        <f t="shared" si="250"/>
        <v>0</v>
      </c>
      <c r="AB200" s="17">
        <f t="shared" si="250"/>
        <v>0</v>
      </c>
      <c r="AC200" s="17">
        <f t="shared" si="250"/>
        <v>0</v>
      </c>
      <c r="AD200" s="17">
        <f t="shared" si="250"/>
        <v>0</v>
      </c>
      <c r="AE200" s="17">
        <f t="shared" si="250"/>
        <v>0</v>
      </c>
      <c r="AF200" s="17">
        <f t="shared" si="250"/>
        <v>0</v>
      </c>
      <c r="AG200" s="17">
        <f t="shared" si="250"/>
        <v>0</v>
      </c>
      <c r="AH200" s="14">
        <f t="shared" si="250"/>
        <v>0</v>
      </c>
      <c r="AI200" s="14">
        <f t="shared" si="250"/>
        <v>0</v>
      </c>
      <c r="AJ200" s="14">
        <f t="shared" si="250"/>
        <v>0</v>
      </c>
      <c r="AK200" s="14">
        <f t="shared" si="250"/>
        <v>0</v>
      </c>
      <c r="AL200" s="14">
        <f t="shared" si="250"/>
        <v>0</v>
      </c>
      <c r="AM200" s="14">
        <f t="shared" si="250"/>
        <v>0</v>
      </c>
      <c r="AN200" s="14">
        <f t="shared" si="250"/>
        <v>0</v>
      </c>
      <c r="AO200" s="14">
        <f t="shared" si="250"/>
        <v>0</v>
      </c>
      <c r="AP200" s="14">
        <f t="shared" si="250"/>
        <v>0</v>
      </c>
      <c r="AQ200" s="18">
        <f t="shared" si="250"/>
        <v>0</v>
      </c>
      <c r="AR200" s="179">
        <f t="shared" si="250"/>
        <v>30841435</v>
      </c>
      <c r="AS200" s="17">
        <f t="shared" si="250"/>
        <v>22476863</v>
      </c>
      <c r="AT200" s="17">
        <f t="shared" si="250"/>
        <v>162500</v>
      </c>
      <c r="AU200" s="17">
        <f t="shared" si="250"/>
        <v>7652105</v>
      </c>
      <c r="AV200" s="17">
        <f t="shared" si="250"/>
        <v>449537</v>
      </c>
      <c r="AW200" s="17">
        <f t="shared" si="250"/>
        <v>100430</v>
      </c>
      <c r="AX200" s="14">
        <f t="shared" si="250"/>
        <v>41.966300000000004</v>
      </c>
      <c r="AY200" s="14">
        <f t="shared" si="250"/>
        <v>37.228200000000001</v>
      </c>
      <c r="AZ200" s="18">
        <f t="shared" si="250"/>
        <v>4.7381000000000002</v>
      </c>
    </row>
    <row r="201" spans="4:52" ht="12.75" customHeight="1" thickBot="1" x14ac:dyDescent="0.25">
      <c r="D201" s="10"/>
      <c r="E201" s="6"/>
      <c r="F201" s="10"/>
      <c r="G201" s="6"/>
      <c r="H201" s="162">
        <v>3233</v>
      </c>
      <c r="I201" s="181">
        <f t="shared" ref="I201:AZ201" si="251">SUMIF($F$12:$F$464,"=3233",I$12:I$464)</f>
        <v>6383638</v>
      </c>
      <c r="J201" s="182">
        <f t="shared" si="251"/>
        <v>4617330</v>
      </c>
      <c r="K201" s="182">
        <f t="shared" si="251"/>
        <v>74750</v>
      </c>
      <c r="L201" s="182">
        <f t="shared" si="251"/>
        <v>1585923</v>
      </c>
      <c r="M201" s="182">
        <f t="shared" si="251"/>
        <v>92347</v>
      </c>
      <c r="N201" s="182">
        <f t="shared" si="251"/>
        <v>13288</v>
      </c>
      <c r="O201" s="183">
        <f t="shared" si="251"/>
        <v>10.559999999999999</v>
      </c>
      <c r="P201" s="183">
        <f t="shared" si="251"/>
        <v>6.09</v>
      </c>
      <c r="Q201" s="186">
        <f t="shared" si="251"/>
        <v>4.47</v>
      </c>
      <c r="R201" s="181">
        <f t="shared" si="251"/>
        <v>0</v>
      </c>
      <c r="S201" s="182">
        <f t="shared" si="251"/>
        <v>0</v>
      </c>
      <c r="T201" s="182">
        <f t="shared" si="251"/>
        <v>0</v>
      </c>
      <c r="U201" s="182">
        <f t="shared" si="251"/>
        <v>0</v>
      </c>
      <c r="V201" s="182">
        <f t="shared" si="251"/>
        <v>0</v>
      </c>
      <c r="W201" s="182">
        <f t="shared" si="251"/>
        <v>0</v>
      </c>
      <c r="X201" s="182">
        <f t="shared" si="251"/>
        <v>0</v>
      </c>
      <c r="Y201" s="182">
        <f t="shared" si="251"/>
        <v>0</v>
      </c>
      <c r="Z201" s="182">
        <f t="shared" si="251"/>
        <v>0</v>
      </c>
      <c r="AA201" s="182">
        <f t="shared" si="251"/>
        <v>0</v>
      </c>
      <c r="AB201" s="182">
        <f t="shared" si="251"/>
        <v>0</v>
      </c>
      <c r="AC201" s="182">
        <f t="shared" si="251"/>
        <v>0</v>
      </c>
      <c r="AD201" s="182">
        <f t="shared" si="251"/>
        <v>0</v>
      </c>
      <c r="AE201" s="182">
        <f t="shared" si="251"/>
        <v>78067</v>
      </c>
      <c r="AF201" s="182">
        <f t="shared" si="251"/>
        <v>78067</v>
      </c>
      <c r="AG201" s="182">
        <f t="shared" si="251"/>
        <v>78067</v>
      </c>
      <c r="AH201" s="183">
        <f t="shared" si="251"/>
        <v>0</v>
      </c>
      <c r="AI201" s="183">
        <f t="shared" si="251"/>
        <v>0</v>
      </c>
      <c r="AJ201" s="183">
        <f t="shared" si="251"/>
        <v>0</v>
      </c>
      <c r="AK201" s="183">
        <f t="shared" si="251"/>
        <v>0</v>
      </c>
      <c r="AL201" s="183">
        <f t="shared" si="251"/>
        <v>0</v>
      </c>
      <c r="AM201" s="183">
        <f t="shared" si="251"/>
        <v>0</v>
      </c>
      <c r="AN201" s="183">
        <f t="shared" si="251"/>
        <v>0</v>
      </c>
      <c r="AO201" s="183">
        <f t="shared" si="251"/>
        <v>0</v>
      </c>
      <c r="AP201" s="183">
        <f t="shared" si="251"/>
        <v>0</v>
      </c>
      <c r="AQ201" s="184">
        <f t="shared" si="251"/>
        <v>0</v>
      </c>
      <c r="AR201" s="185">
        <f t="shared" si="251"/>
        <v>6461705</v>
      </c>
      <c r="AS201" s="182">
        <f t="shared" si="251"/>
        <v>4617330</v>
      </c>
      <c r="AT201" s="182">
        <f t="shared" si="251"/>
        <v>74750</v>
      </c>
      <c r="AU201" s="182">
        <f t="shared" si="251"/>
        <v>1585923</v>
      </c>
      <c r="AV201" s="182">
        <f t="shared" si="251"/>
        <v>92347</v>
      </c>
      <c r="AW201" s="182">
        <f t="shared" si="251"/>
        <v>91355</v>
      </c>
      <c r="AX201" s="183">
        <f t="shared" si="251"/>
        <v>10.559999999999999</v>
      </c>
      <c r="AY201" s="183">
        <f t="shared" si="251"/>
        <v>6.09</v>
      </c>
      <c r="AZ201" s="184">
        <f t="shared" si="251"/>
        <v>4.47</v>
      </c>
    </row>
    <row r="202" spans="4:52" ht="12.75" customHeight="1" x14ac:dyDescent="0.2">
      <c r="D202" s="6"/>
      <c r="E202" s="6"/>
      <c r="F202" s="6"/>
      <c r="G202" s="6"/>
      <c r="H202" s="6"/>
    </row>
    <row r="203" spans="4:52" x14ac:dyDescent="0.2">
      <c r="J203" s="16"/>
      <c r="K203" s="16"/>
      <c r="L203" s="16"/>
      <c r="M203" s="16"/>
      <c r="N203" s="16"/>
      <c r="O203" s="5"/>
    </row>
  </sheetData>
  <mergeCells count="25">
    <mergeCell ref="R6:AQ6"/>
    <mergeCell ref="AR6:AZ7"/>
    <mergeCell ref="AH7:AQ7"/>
    <mergeCell ref="AM8:AN9"/>
    <mergeCell ref="AO8:AQ9"/>
    <mergeCell ref="AR8:AR10"/>
    <mergeCell ref="AS8:AW9"/>
    <mergeCell ref="AX8:AX10"/>
    <mergeCell ref="AY8:AZ9"/>
    <mergeCell ref="A3:E3"/>
    <mergeCell ref="AC7:AC10"/>
    <mergeCell ref="AK8:AL9"/>
    <mergeCell ref="I6:Q7"/>
    <mergeCell ref="R7:V9"/>
    <mergeCell ref="W7:Z9"/>
    <mergeCell ref="AA7:AA10"/>
    <mergeCell ref="AB7:AB10"/>
    <mergeCell ref="AD7:AF9"/>
    <mergeCell ref="AG7:AG10"/>
    <mergeCell ref="I8:I10"/>
    <mergeCell ref="J8:N9"/>
    <mergeCell ref="O8:O10"/>
    <mergeCell ref="P8:Q9"/>
    <mergeCell ref="AH8:AI9"/>
    <mergeCell ref="AJ8:AJ9"/>
  </mergeCells>
  <pageMargins left="0.7" right="0.7" top="0.78740157499999996" bottom="0.78740157499999996" header="0.3" footer="0.3"/>
  <pageSetup paperSize="8" scale="34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14"/>
  <sheetViews>
    <sheetView workbookViewId="0">
      <pane xSplit="8" ySplit="11" topLeftCell="I95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bestFit="1" customWidth="1"/>
    <col min="7" max="7" width="10.28515625" style="47" customWidth="1"/>
    <col min="8" max="8" width="8" customWidth="1"/>
    <col min="9" max="9" width="10.140625" style="9" customWidth="1"/>
    <col min="10" max="14" width="9.28515625" style="9" customWidth="1"/>
    <col min="15" max="15" width="11.42578125" style="8" customWidth="1"/>
    <col min="16" max="17" width="9.28515625" style="8" customWidth="1"/>
    <col min="18" max="19" width="9.140625" style="9" customWidth="1"/>
    <col min="20" max="21" width="9.7109375" style="9" customWidth="1"/>
    <col min="22" max="22" width="9.140625" style="9" customWidth="1"/>
    <col min="23" max="23" width="9.140625" style="9"/>
    <col min="24" max="26" width="9.140625" style="9" customWidth="1"/>
    <col min="27" max="27" width="10.140625" style="9" customWidth="1"/>
    <col min="28" max="33" width="9.28515625" style="9" customWidth="1"/>
    <col min="34" max="43" width="9.28515625" style="8" customWidth="1"/>
    <col min="44" max="44" width="10" style="9" customWidth="1"/>
    <col min="45" max="45" width="9.7109375" style="9" customWidth="1"/>
    <col min="46" max="49" width="9.140625" style="9"/>
    <col min="50" max="50" width="11.42578125" style="8" customWidth="1"/>
    <col min="51" max="52" width="9.28515625" style="8" customWidth="1"/>
    <col min="183" max="183" width="7" customWidth="1"/>
    <col min="184" max="184" width="30.140625" customWidth="1"/>
    <col min="185" max="185" width="6.28515625" customWidth="1"/>
    <col min="186" max="186" width="31.42578125" customWidth="1"/>
    <col min="187" max="187" width="10.5703125" customWidth="1"/>
    <col min="188" max="188" width="10.42578125" customWidth="1"/>
    <col min="189" max="189" width="9.5703125" customWidth="1"/>
    <col min="190" max="190" width="8.42578125" customWidth="1"/>
    <col min="191" max="191" width="9" customWidth="1"/>
    <col min="192" max="192" width="10.42578125" customWidth="1"/>
    <col min="195" max="195" width="10.28515625" customWidth="1"/>
    <col min="439" max="439" width="7" customWidth="1"/>
    <col min="440" max="440" width="30.140625" customWidth="1"/>
    <col min="441" max="441" width="6.28515625" customWidth="1"/>
    <col min="442" max="442" width="31.42578125" customWidth="1"/>
    <col min="443" max="443" width="10.5703125" customWidth="1"/>
    <col min="444" max="444" width="10.42578125" customWidth="1"/>
    <col min="445" max="445" width="9.5703125" customWidth="1"/>
    <col min="446" max="446" width="8.42578125" customWidth="1"/>
    <col min="447" max="447" width="9" customWidth="1"/>
    <col min="448" max="448" width="10.42578125" customWidth="1"/>
    <col min="451" max="451" width="10.28515625" customWidth="1"/>
    <col min="695" max="695" width="7" customWidth="1"/>
    <col min="696" max="696" width="30.140625" customWidth="1"/>
    <col min="697" max="697" width="6.28515625" customWidth="1"/>
    <col min="698" max="698" width="31.42578125" customWidth="1"/>
    <col min="699" max="699" width="10.5703125" customWidth="1"/>
    <col min="700" max="700" width="10.42578125" customWidth="1"/>
    <col min="701" max="701" width="9.5703125" customWidth="1"/>
    <col min="702" max="702" width="8.42578125" customWidth="1"/>
    <col min="703" max="703" width="9" customWidth="1"/>
    <col min="704" max="704" width="10.42578125" customWidth="1"/>
    <col min="707" max="707" width="10.28515625" customWidth="1"/>
    <col min="951" max="951" width="7" customWidth="1"/>
    <col min="952" max="952" width="30.140625" customWidth="1"/>
    <col min="953" max="953" width="6.28515625" customWidth="1"/>
    <col min="954" max="954" width="31.42578125" customWidth="1"/>
    <col min="955" max="955" width="10.5703125" customWidth="1"/>
    <col min="956" max="956" width="10.42578125" customWidth="1"/>
    <col min="957" max="957" width="9.5703125" customWidth="1"/>
    <col min="958" max="958" width="8.42578125" customWidth="1"/>
    <col min="959" max="959" width="9" customWidth="1"/>
    <col min="960" max="960" width="10.42578125" customWidth="1"/>
    <col min="963" max="963" width="10.28515625" customWidth="1"/>
    <col min="1207" max="1207" width="7" customWidth="1"/>
    <col min="1208" max="1208" width="30.140625" customWidth="1"/>
    <col min="1209" max="1209" width="6.28515625" customWidth="1"/>
    <col min="1210" max="1210" width="31.42578125" customWidth="1"/>
    <col min="1211" max="1211" width="10.5703125" customWidth="1"/>
    <col min="1212" max="1212" width="10.42578125" customWidth="1"/>
    <col min="1213" max="1213" width="9.5703125" customWidth="1"/>
    <col min="1214" max="1214" width="8.42578125" customWidth="1"/>
    <col min="1215" max="1215" width="9" customWidth="1"/>
    <col min="1216" max="1216" width="10.42578125" customWidth="1"/>
    <col min="1219" max="1219" width="10.28515625" customWidth="1"/>
    <col min="1463" max="1463" width="7" customWidth="1"/>
    <col min="1464" max="1464" width="30.140625" customWidth="1"/>
    <col min="1465" max="1465" width="6.28515625" customWidth="1"/>
    <col min="1466" max="1466" width="31.42578125" customWidth="1"/>
    <col min="1467" max="1467" width="10.5703125" customWidth="1"/>
    <col min="1468" max="1468" width="10.42578125" customWidth="1"/>
    <col min="1469" max="1469" width="9.5703125" customWidth="1"/>
    <col min="1470" max="1470" width="8.42578125" customWidth="1"/>
    <col min="1471" max="1471" width="9" customWidth="1"/>
    <col min="1472" max="1472" width="10.42578125" customWidth="1"/>
    <col min="1475" max="1475" width="10.28515625" customWidth="1"/>
    <col min="1719" max="1719" width="7" customWidth="1"/>
    <col min="1720" max="1720" width="30.140625" customWidth="1"/>
    <col min="1721" max="1721" width="6.28515625" customWidth="1"/>
    <col min="1722" max="1722" width="31.42578125" customWidth="1"/>
    <col min="1723" max="1723" width="10.5703125" customWidth="1"/>
    <col min="1724" max="1724" width="10.42578125" customWidth="1"/>
    <col min="1725" max="1725" width="9.5703125" customWidth="1"/>
    <col min="1726" max="1726" width="8.42578125" customWidth="1"/>
    <col min="1727" max="1727" width="9" customWidth="1"/>
    <col min="1728" max="1728" width="10.42578125" customWidth="1"/>
    <col min="1731" max="1731" width="10.28515625" customWidth="1"/>
    <col min="1975" max="1975" width="7" customWidth="1"/>
    <col min="1976" max="1976" width="30.140625" customWidth="1"/>
    <col min="1977" max="1977" width="6.28515625" customWidth="1"/>
    <col min="1978" max="1978" width="31.42578125" customWidth="1"/>
    <col min="1979" max="1979" width="10.5703125" customWidth="1"/>
    <col min="1980" max="1980" width="10.42578125" customWidth="1"/>
    <col min="1981" max="1981" width="9.5703125" customWidth="1"/>
    <col min="1982" max="1982" width="8.42578125" customWidth="1"/>
    <col min="1983" max="1983" width="9" customWidth="1"/>
    <col min="1984" max="1984" width="10.42578125" customWidth="1"/>
    <col min="1987" max="1987" width="10.28515625" customWidth="1"/>
    <col min="2231" max="2231" width="7" customWidth="1"/>
    <col min="2232" max="2232" width="30.140625" customWidth="1"/>
    <col min="2233" max="2233" width="6.28515625" customWidth="1"/>
    <col min="2234" max="2234" width="31.42578125" customWidth="1"/>
    <col min="2235" max="2235" width="10.5703125" customWidth="1"/>
    <col min="2236" max="2236" width="10.42578125" customWidth="1"/>
    <col min="2237" max="2237" width="9.5703125" customWidth="1"/>
    <col min="2238" max="2238" width="8.42578125" customWidth="1"/>
    <col min="2239" max="2239" width="9" customWidth="1"/>
    <col min="2240" max="2240" width="10.42578125" customWidth="1"/>
    <col min="2243" max="2243" width="10.28515625" customWidth="1"/>
    <col min="2487" max="2487" width="7" customWidth="1"/>
    <col min="2488" max="2488" width="30.140625" customWidth="1"/>
    <col min="2489" max="2489" width="6.28515625" customWidth="1"/>
    <col min="2490" max="2490" width="31.42578125" customWidth="1"/>
    <col min="2491" max="2491" width="10.5703125" customWidth="1"/>
    <col min="2492" max="2492" width="10.42578125" customWidth="1"/>
    <col min="2493" max="2493" width="9.5703125" customWidth="1"/>
    <col min="2494" max="2494" width="8.42578125" customWidth="1"/>
    <col min="2495" max="2495" width="9" customWidth="1"/>
    <col min="2496" max="2496" width="10.42578125" customWidth="1"/>
    <col min="2499" max="2499" width="10.28515625" customWidth="1"/>
    <col min="2743" max="2743" width="7" customWidth="1"/>
    <col min="2744" max="2744" width="30.140625" customWidth="1"/>
    <col min="2745" max="2745" width="6.28515625" customWidth="1"/>
    <col min="2746" max="2746" width="31.42578125" customWidth="1"/>
    <col min="2747" max="2747" width="10.5703125" customWidth="1"/>
    <col min="2748" max="2748" width="10.42578125" customWidth="1"/>
    <col min="2749" max="2749" width="9.5703125" customWidth="1"/>
    <col min="2750" max="2750" width="8.42578125" customWidth="1"/>
    <col min="2751" max="2751" width="9" customWidth="1"/>
    <col min="2752" max="2752" width="10.42578125" customWidth="1"/>
    <col min="2755" max="2755" width="10.28515625" customWidth="1"/>
    <col min="2999" max="2999" width="7" customWidth="1"/>
    <col min="3000" max="3000" width="30.140625" customWidth="1"/>
    <col min="3001" max="3001" width="6.28515625" customWidth="1"/>
    <col min="3002" max="3002" width="31.42578125" customWidth="1"/>
    <col min="3003" max="3003" width="10.5703125" customWidth="1"/>
    <col min="3004" max="3004" width="10.42578125" customWidth="1"/>
    <col min="3005" max="3005" width="9.5703125" customWidth="1"/>
    <col min="3006" max="3006" width="8.42578125" customWidth="1"/>
    <col min="3007" max="3007" width="9" customWidth="1"/>
    <col min="3008" max="3008" width="10.42578125" customWidth="1"/>
    <col min="3011" max="3011" width="10.28515625" customWidth="1"/>
    <col min="3255" max="3255" width="7" customWidth="1"/>
    <col min="3256" max="3256" width="30.140625" customWidth="1"/>
    <col min="3257" max="3257" width="6.28515625" customWidth="1"/>
    <col min="3258" max="3258" width="31.42578125" customWidth="1"/>
    <col min="3259" max="3259" width="10.5703125" customWidth="1"/>
    <col min="3260" max="3260" width="10.42578125" customWidth="1"/>
    <col min="3261" max="3261" width="9.5703125" customWidth="1"/>
    <col min="3262" max="3262" width="8.42578125" customWidth="1"/>
    <col min="3263" max="3263" width="9" customWidth="1"/>
    <col min="3264" max="3264" width="10.42578125" customWidth="1"/>
    <col min="3267" max="3267" width="10.28515625" customWidth="1"/>
    <col min="3511" max="3511" width="7" customWidth="1"/>
    <col min="3512" max="3512" width="30.140625" customWidth="1"/>
    <col min="3513" max="3513" width="6.28515625" customWidth="1"/>
    <col min="3514" max="3514" width="31.42578125" customWidth="1"/>
    <col min="3515" max="3515" width="10.5703125" customWidth="1"/>
    <col min="3516" max="3516" width="10.42578125" customWidth="1"/>
    <col min="3517" max="3517" width="9.5703125" customWidth="1"/>
    <col min="3518" max="3518" width="8.42578125" customWidth="1"/>
    <col min="3519" max="3519" width="9" customWidth="1"/>
    <col min="3520" max="3520" width="10.42578125" customWidth="1"/>
    <col min="3523" max="3523" width="10.28515625" customWidth="1"/>
    <col min="3767" max="3767" width="7" customWidth="1"/>
    <col min="3768" max="3768" width="30.140625" customWidth="1"/>
    <col min="3769" max="3769" width="6.28515625" customWidth="1"/>
    <col min="3770" max="3770" width="31.42578125" customWidth="1"/>
    <col min="3771" max="3771" width="10.5703125" customWidth="1"/>
    <col min="3772" max="3772" width="10.42578125" customWidth="1"/>
    <col min="3773" max="3773" width="9.5703125" customWidth="1"/>
    <col min="3774" max="3774" width="8.42578125" customWidth="1"/>
    <col min="3775" max="3775" width="9" customWidth="1"/>
    <col min="3776" max="3776" width="10.42578125" customWidth="1"/>
    <col min="3779" max="3779" width="10.28515625" customWidth="1"/>
    <col min="4023" max="4023" width="7" customWidth="1"/>
    <col min="4024" max="4024" width="30.140625" customWidth="1"/>
    <col min="4025" max="4025" width="6.28515625" customWidth="1"/>
    <col min="4026" max="4026" width="31.42578125" customWidth="1"/>
    <col min="4027" max="4027" width="10.5703125" customWidth="1"/>
    <col min="4028" max="4028" width="10.42578125" customWidth="1"/>
    <col min="4029" max="4029" width="9.5703125" customWidth="1"/>
    <col min="4030" max="4030" width="8.42578125" customWidth="1"/>
    <col min="4031" max="4031" width="9" customWidth="1"/>
    <col min="4032" max="4032" width="10.42578125" customWidth="1"/>
    <col min="4035" max="4035" width="10.28515625" customWidth="1"/>
    <col min="4279" max="4279" width="7" customWidth="1"/>
    <col min="4280" max="4280" width="30.140625" customWidth="1"/>
    <col min="4281" max="4281" width="6.28515625" customWidth="1"/>
    <col min="4282" max="4282" width="31.42578125" customWidth="1"/>
    <col min="4283" max="4283" width="10.5703125" customWidth="1"/>
    <col min="4284" max="4284" width="10.42578125" customWidth="1"/>
    <col min="4285" max="4285" width="9.5703125" customWidth="1"/>
    <col min="4286" max="4286" width="8.42578125" customWidth="1"/>
    <col min="4287" max="4287" width="9" customWidth="1"/>
    <col min="4288" max="4288" width="10.42578125" customWidth="1"/>
    <col min="4291" max="4291" width="10.28515625" customWidth="1"/>
    <col min="4535" max="4535" width="7" customWidth="1"/>
    <col min="4536" max="4536" width="30.140625" customWidth="1"/>
    <col min="4537" max="4537" width="6.28515625" customWidth="1"/>
    <col min="4538" max="4538" width="31.42578125" customWidth="1"/>
    <col min="4539" max="4539" width="10.5703125" customWidth="1"/>
    <col min="4540" max="4540" width="10.42578125" customWidth="1"/>
    <col min="4541" max="4541" width="9.5703125" customWidth="1"/>
    <col min="4542" max="4542" width="8.42578125" customWidth="1"/>
    <col min="4543" max="4543" width="9" customWidth="1"/>
    <col min="4544" max="4544" width="10.42578125" customWidth="1"/>
    <col min="4547" max="4547" width="10.28515625" customWidth="1"/>
    <col min="4791" max="4791" width="7" customWidth="1"/>
    <col min="4792" max="4792" width="30.140625" customWidth="1"/>
    <col min="4793" max="4793" width="6.28515625" customWidth="1"/>
    <col min="4794" max="4794" width="31.42578125" customWidth="1"/>
    <col min="4795" max="4795" width="10.5703125" customWidth="1"/>
    <col min="4796" max="4796" width="10.42578125" customWidth="1"/>
    <col min="4797" max="4797" width="9.5703125" customWidth="1"/>
    <col min="4798" max="4798" width="8.42578125" customWidth="1"/>
    <col min="4799" max="4799" width="9" customWidth="1"/>
    <col min="4800" max="4800" width="10.42578125" customWidth="1"/>
    <col min="4803" max="4803" width="10.28515625" customWidth="1"/>
    <col min="5047" max="5047" width="7" customWidth="1"/>
    <col min="5048" max="5048" width="30.140625" customWidth="1"/>
    <col min="5049" max="5049" width="6.28515625" customWidth="1"/>
    <col min="5050" max="5050" width="31.42578125" customWidth="1"/>
    <col min="5051" max="5051" width="10.5703125" customWidth="1"/>
    <col min="5052" max="5052" width="10.42578125" customWidth="1"/>
    <col min="5053" max="5053" width="9.5703125" customWidth="1"/>
    <col min="5054" max="5054" width="8.42578125" customWidth="1"/>
    <col min="5055" max="5055" width="9" customWidth="1"/>
    <col min="5056" max="5056" width="10.42578125" customWidth="1"/>
    <col min="5059" max="5059" width="10.28515625" customWidth="1"/>
    <col min="5303" max="5303" width="7" customWidth="1"/>
    <col min="5304" max="5304" width="30.140625" customWidth="1"/>
    <col min="5305" max="5305" width="6.28515625" customWidth="1"/>
    <col min="5306" max="5306" width="31.42578125" customWidth="1"/>
    <col min="5307" max="5307" width="10.5703125" customWidth="1"/>
    <col min="5308" max="5308" width="10.42578125" customWidth="1"/>
    <col min="5309" max="5309" width="9.5703125" customWidth="1"/>
    <col min="5310" max="5310" width="8.42578125" customWidth="1"/>
    <col min="5311" max="5311" width="9" customWidth="1"/>
    <col min="5312" max="5312" width="10.42578125" customWidth="1"/>
    <col min="5315" max="5315" width="10.28515625" customWidth="1"/>
    <col min="5559" max="5559" width="7" customWidth="1"/>
    <col min="5560" max="5560" width="30.140625" customWidth="1"/>
    <col min="5561" max="5561" width="6.28515625" customWidth="1"/>
    <col min="5562" max="5562" width="31.42578125" customWidth="1"/>
    <col min="5563" max="5563" width="10.5703125" customWidth="1"/>
    <col min="5564" max="5564" width="10.42578125" customWidth="1"/>
    <col min="5565" max="5565" width="9.5703125" customWidth="1"/>
    <col min="5566" max="5566" width="8.42578125" customWidth="1"/>
    <col min="5567" max="5567" width="9" customWidth="1"/>
    <col min="5568" max="5568" width="10.42578125" customWidth="1"/>
    <col min="5571" max="5571" width="10.28515625" customWidth="1"/>
    <col min="5815" max="5815" width="7" customWidth="1"/>
    <col min="5816" max="5816" width="30.140625" customWidth="1"/>
    <col min="5817" max="5817" width="6.28515625" customWidth="1"/>
    <col min="5818" max="5818" width="31.42578125" customWidth="1"/>
    <col min="5819" max="5819" width="10.5703125" customWidth="1"/>
    <col min="5820" max="5820" width="10.42578125" customWidth="1"/>
    <col min="5821" max="5821" width="9.5703125" customWidth="1"/>
    <col min="5822" max="5822" width="8.42578125" customWidth="1"/>
    <col min="5823" max="5823" width="9" customWidth="1"/>
    <col min="5824" max="5824" width="10.42578125" customWidth="1"/>
    <col min="5827" max="5827" width="10.28515625" customWidth="1"/>
    <col min="6071" max="6071" width="7" customWidth="1"/>
    <col min="6072" max="6072" width="30.140625" customWidth="1"/>
    <col min="6073" max="6073" width="6.28515625" customWidth="1"/>
    <col min="6074" max="6074" width="31.42578125" customWidth="1"/>
    <col min="6075" max="6075" width="10.5703125" customWidth="1"/>
    <col min="6076" max="6076" width="10.42578125" customWidth="1"/>
    <col min="6077" max="6077" width="9.5703125" customWidth="1"/>
    <col min="6078" max="6078" width="8.42578125" customWidth="1"/>
    <col min="6079" max="6079" width="9" customWidth="1"/>
    <col min="6080" max="6080" width="10.42578125" customWidth="1"/>
    <col min="6083" max="6083" width="10.28515625" customWidth="1"/>
    <col min="6327" max="6327" width="7" customWidth="1"/>
    <col min="6328" max="6328" width="30.140625" customWidth="1"/>
    <col min="6329" max="6329" width="6.28515625" customWidth="1"/>
    <col min="6330" max="6330" width="31.42578125" customWidth="1"/>
    <col min="6331" max="6331" width="10.5703125" customWidth="1"/>
    <col min="6332" max="6332" width="10.42578125" customWidth="1"/>
    <col min="6333" max="6333" width="9.5703125" customWidth="1"/>
    <col min="6334" max="6334" width="8.42578125" customWidth="1"/>
    <col min="6335" max="6335" width="9" customWidth="1"/>
    <col min="6336" max="6336" width="10.42578125" customWidth="1"/>
    <col min="6339" max="6339" width="10.28515625" customWidth="1"/>
    <col min="6583" max="6583" width="7" customWidth="1"/>
    <col min="6584" max="6584" width="30.140625" customWidth="1"/>
    <col min="6585" max="6585" width="6.28515625" customWidth="1"/>
    <col min="6586" max="6586" width="31.42578125" customWidth="1"/>
    <col min="6587" max="6587" width="10.5703125" customWidth="1"/>
    <col min="6588" max="6588" width="10.42578125" customWidth="1"/>
    <col min="6589" max="6589" width="9.5703125" customWidth="1"/>
    <col min="6590" max="6590" width="8.42578125" customWidth="1"/>
    <col min="6591" max="6591" width="9" customWidth="1"/>
    <col min="6592" max="6592" width="10.42578125" customWidth="1"/>
    <col min="6595" max="6595" width="10.28515625" customWidth="1"/>
    <col min="6839" max="6839" width="7" customWidth="1"/>
    <col min="6840" max="6840" width="30.140625" customWidth="1"/>
    <col min="6841" max="6841" width="6.28515625" customWidth="1"/>
    <col min="6842" max="6842" width="31.42578125" customWidth="1"/>
    <col min="6843" max="6843" width="10.5703125" customWidth="1"/>
    <col min="6844" max="6844" width="10.42578125" customWidth="1"/>
    <col min="6845" max="6845" width="9.5703125" customWidth="1"/>
    <col min="6846" max="6846" width="8.42578125" customWidth="1"/>
    <col min="6847" max="6847" width="9" customWidth="1"/>
    <col min="6848" max="6848" width="10.42578125" customWidth="1"/>
    <col min="6851" max="6851" width="10.28515625" customWidth="1"/>
    <col min="7095" max="7095" width="7" customWidth="1"/>
    <col min="7096" max="7096" width="30.140625" customWidth="1"/>
    <col min="7097" max="7097" width="6.28515625" customWidth="1"/>
    <col min="7098" max="7098" width="31.42578125" customWidth="1"/>
    <col min="7099" max="7099" width="10.5703125" customWidth="1"/>
    <col min="7100" max="7100" width="10.42578125" customWidth="1"/>
    <col min="7101" max="7101" width="9.5703125" customWidth="1"/>
    <col min="7102" max="7102" width="8.42578125" customWidth="1"/>
    <col min="7103" max="7103" width="9" customWidth="1"/>
    <col min="7104" max="7104" width="10.42578125" customWidth="1"/>
    <col min="7107" max="7107" width="10.28515625" customWidth="1"/>
    <col min="7351" max="7351" width="7" customWidth="1"/>
    <col min="7352" max="7352" width="30.140625" customWidth="1"/>
    <col min="7353" max="7353" width="6.28515625" customWidth="1"/>
    <col min="7354" max="7354" width="31.42578125" customWidth="1"/>
    <col min="7355" max="7355" width="10.5703125" customWidth="1"/>
    <col min="7356" max="7356" width="10.42578125" customWidth="1"/>
    <col min="7357" max="7357" width="9.5703125" customWidth="1"/>
    <col min="7358" max="7358" width="8.42578125" customWidth="1"/>
    <col min="7359" max="7359" width="9" customWidth="1"/>
    <col min="7360" max="7360" width="10.42578125" customWidth="1"/>
    <col min="7363" max="7363" width="10.28515625" customWidth="1"/>
    <col min="7607" max="7607" width="7" customWidth="1"/>
    <col min="7608" max="7608" width="30.140625" customWidth="1"/>
    <col min="7609" max="7609" width="6.28515625" customWidth="1"/>
    <col min="7610" max="7610" width="31.42578125" customWidth="1"/>
    <col min="7611" max="7611" width="10.5703125" customWidth="1"/>
    <col min="7612" max="7612" width="10.42578125" customWidth="1"/>
    <col min="7613" max="7613" width="9.5703125" customWidth="1"/>
    <col min="7614" max="7614" width="8.42578125" customWidth="1"/>
    <col min="7615" max="7615" width="9" customWidth="1"/>
    <col min="7616" max="7616" width="10.42578125" customWidth="1"/>
    <col min="7619" max="7619" width="10.28515625" customWidth="1"/>
    <col min="7863" max="7863" width="7" customWidth="1"/>
    <col min="7864" max="7864" width="30.140625" customWidth="1"/>
    <col min="7865" max="7865" width="6.28515625" customWidth="1"/>
    <col min="7866" max="7866" width="31.42578125" customWidth="1"/>
    <col min="7867" max="7867" width="10.5703125" customWidth="1"/>
    <col min="7868" max="7868" width="10.42578125" customWidth="1"/>
    <col min="7869" max="7869" width="9.5703125" customWidth="1"/>
    <col min="7870" max="7870" width="8.42578125" customWidth="1"/>
    <col min="7871" max="7871" width="9" customWidth="1"/>
    <col min="7872" max="7872" width="10.42578125" customWidth="1"/>
    <col min="7875" max="7875" width="10.28515625" customWidth="1"/>
    <col min="8119" max="8119" width="7" customWidth="1"/>
    <col min="8120" max="8120" width="30.140625" customWidth="1"/>
    <col min="8121" max="8121" width="6.28515625" customWidth="1"/>
    <col min="8122" max="8122" width="31.42578125" customWidth="1"/>
    <col min="8123" max="8123" width="10.5703125" customWidth="1"/>
    <col min="8124" max="8124" width="10.42578125" customWidth="1"/>
    <col min="8125" max="8125" width="9.5703125" customWidth="1"/>
    <col min="8126" max="8126" width="8.42578125" customWidth="1"/>
    <col min="8127" max="8127" width="9" customWidth="1"/>
    <col min="8128" max="8128" width="10.42578125" customWidth="1"/>
    <col min="8131" max="8131" width="10.28515625" customWidth="1"/>
    <col min="8375" max="8375" width="7" customWidth="1"/>
    <col min="8376" max="8376" width="30.140625" customWidth="1"/>
    <col min="8377" max="8377" width="6.28515625" customWidth="1"/>
    <col min="8378" max="8378" width="31.42578125" customWidth="1"/>
    <col min="8379" max="8379" width="10.5703125" customWidth="1"/>
    <col min="8380" max="8380" width="10.42578125" customWidth="1"/>
    <col min="8381" max="8381" width="9.5703125" customWidth="1"/>
    <col min="8382" max="8382" width="8.42578125" customWidth="1"/>
    <col min="8383" max="8383" width="9" customWidth="1"/>
    <col min="8384" max="8384" width="10.42578125" customWidth="1"/>
    <col min="8387" max="8387" width="10.28515625" customWidth="1"/>
    <col min="8631" max="8631" width="7" customWidth="1"/>
    <col min="8632" max="8632" width="30.140625" customWidth="1"/>
    <col min="8633" max="8633" width="6.28515625" customWidth="1"/>
    <col min="8634" max="8634" width="31.42578125" customWidth="1"/>
    <col min="8635" max="8635" width="10.5703125" customWidth="1"/>
    <col min="8636" max="8636" width="10.42578125" customWidth="1"/>
    <col min="8637" max="8637" width="9.5703125" customWidth="1"/>
    <col min="8638" max="8638" width="8.42578125" customWidth="1"/>
    <col min="8639" max="8639" width="9" customWidth="1"/>
    <col min="8640" max="8640" width="10.42578125" customWidth="1"/>
    <col min="8643" max="8643" width="10.28515625" customWidth="1"/>
    <col min="8887" max="8887" width="7" customWidth="1"/>
    <col min="8888" max="8888" width="30.140625" customWidth="1"/>
    <col min="8889" max="8889" width="6.28515625" customWidth="1"/>
    <col min="8890" max="8890" width="31.42578125" customWidth="1"/>
    <col min="8891" max="8891" width="10.5703125" customWidth="1"/>
    <col min="8892" max="8892" width="10.42578125" customWidth="1"/>
    <col min="8893" max="8893" width="9.5703125" customWidth="1"/>
    <col min="8894" max="8894" width="8.42578125" customWidth="1"/>
    <col min="8895" max="8895" width="9" customWidth="1"/>
    <col min="8896" max="8896" width="10.42578125" customWidth="1"/>
    <col min="8899" max="8899" width="10.28515625" customWidth="1"/>
    <col min="9143" max="9143" width="7" customWidth="1"/>
    <col min="9144" max="9144" width="30.140625" customWidth="1"/>
    <col min="9145" max="9145" width="6.28515625" customWidth="1"/>
    <col min="9146" max="9146" width="31.42578125" customWidth="1"/>
    <col min="9147" max="9147" width="10.5703125" customWidth="1"/>
    <col min="9148" max="9148" width="10.42578125" customWidth="1"/>
    <col min="9149" max="9149" width="9.5703125" customWidth="1"/>
    <col min="9150" max="9150" width="8.42578125" customWidth="1"/>
    <col min="9151" max="9151" width="9" customWidth="1"/>
    <col min="9152" max="9152" width="10.42578125" customWidth="1"/>
    <col min="9155" max="9155" width="10.28515625" customWidth="1"/>
    <col min="9399" max="9399" width="7" customWidth="1"/>
    <col min="9400" max="9400" width="30.140625" customWidth="1"/>
    <col min="9401" max="9401" width="6.28515625" customWidth="1"/>
    <col min="9402" max="9402" width="31.42578125" customWidth="1"/>
    <col min="9403" max="9403" width="10.5703125" customWidth="1"/>
    <col min="9404" max="9404" width="10.42578125" customWidth="1"/>
    <col min="9405" max="9405" width="9.5703125" customWidth="1"/>
    <col min="9406" max="9406" width="8.42578125" customWidth="1"/>
    <col min="9407" max="9407" width="9" customWidth="1"/>
    <col min="9408" max="9408" width="10.42578125" customWidth="1"/>
    <col min="9411" max="9411" width="10.28515625" customWidth="1"/>
    <col min="9655" max="9655" width="7" customWidth="1"/>
    <col min="9656" max="9656" width="30.140625" customWidth="1"/>
    <col min="9657" max="9657" width="6.28515625" customWidth="1"/>
    <col min="9658" max="9658" width="31.42578125" customWidth="1"/>
    <col min="9659" max="9659" width="10.5703125" customWidth="1"/>
    <col min="9660" max="9660" width="10.42578125" customWidth="1"/>
    <col min="9661" max="9661" width="9.5703125" customWidth="1"/>
    <col min="9662" max="9662" width="8.42578125" customWidth="1"/>
    <col min="9663" max="9663" width="9" customWidth="1"/>
    <col min="9664" max="9664" width="10.42578125" customWidth="1"/>
    <col min="9667" max="9667" width="10.28515625" customWidth="1"/>
    <col min="9911" max="9911" width="7" customWidth="1"/>
    <col min="9912" max="9912" width="30.140625" customWidth="1"/>
    <col min="9913" max="9913" width="6.28515625" customWidth="1"/>
    <col min="9914" max="9914" width="31.42578125" customWidth="1"/>
    <col min="9915" max="9915" width="10.5703125" customWidth="1"/>
    <col min="9916" max="9916" width="10.42578125" customWidth="1"/>
    <col min="9917" max="9917" width="9.5703125" customWidth="1"/>
    <col min="9918" max="9918" width="8.42578125" customWidth="1"/>
    <col min="9919" max="9919" width="9" customWidth="1"/>
    <col min="9920" max="9920" width="10.42578125" customWidth="1"/>
    <col min="9923" max="9923" width="10.28515625" customWidth="1"/>
    <col min="10167" max="10167" width="7" customWidth="1"/>
    <col min="10168" max="10168" width="30.140625" customWidth="1"/>
    <col min="10169" max="10169" width="6.28515625" customWidth="1"/>
    <col min="10170" max="10170" width="31.42578125" customWidth="1"/>
    <col min="10171" max="10171" width="10.5703125" customWidth="1"/>
    <col min="10172" max="10172" width="10.42578125" customWidth="1"/>
    <col min="10173" max="10173" width="9.5703125" customWidth="1"/>
    <col min="10174" max="10174" width="8.42578125" customWidth="1"/>
    <col min="10175" max="10175" width="9" customWidth="1"/>
    <col min="10176" max="10176" width="10.42578125" customWidth="1"/>
    <col min="10179" max="10179" width="10.28515625" customWidth="1"/>
    <col min="10423" max="10423" width="7" customWidth="1"/>
    <col min="10424" max="10424" width="30.140625" customWidth="1"/>
    <col min="10425" max="10425" width="6.28515625" customWidth="1"/>
    <col min="10426" max="10426" width="31.42578125" customWidth="1"/>
    <col min="10427" max="10427" width="10.5703125" customWidth="1"/>
    <col min="10428" max="10428" width="10.42578125" customWidth="1"/>
    <col min="10429" max="10429" width="9.5703125" customWidth="1"/>
    <col min="10430" max="10430" width="8.42578125" customWidth="1"/>
    <col min="10431" max="10431" width="9" customWidth="1"/>
    <col min="10432" max="10432" width="10.42578125" customWidth="1"/>
    <col min="10435" max="10435" width="10.28515625" customWidth="1"/>
    <col min="10679" max="10679" width="7" customWidth="1"/>
    <col min="10680" max="10680" width="30.140625" customWidth="1"/>
    <col min="10681" max="10681" width="6.28515625" customWidth="1"/>
    <col min="10682" max="10682" width="31.42578125" customWidth="1"/>
    <col min="10683" max="10683" width="10.5703125" customWidth="1"/>
    <col min="10684" max="10684" width="10.42578125" customWidth="1"/>
    <col min="10685" max="10685" width="9.5703125" customWidth="1"/>
    <col min="10686" max="10686" width="8.42578125" customWidth="1"/>
    <col min="10687" max="10687" width="9" customWidth="1"/>
    <col min="10688" max="10688" width="10.42578125" customWidth="1"/>
    <col min="10691" max="10691" width="10.28515625" customWidth="1"/>
    <col min="10935" max="10935" width="7" customWidth="1"/>
    <col min="10936" max="10936" width="30.140625" customWidth="1"/>
    <col min="10937" max="10937" width="6.28515625" customWidth="1"/>
    <col min="10938" max="10938" width="31.42578125" customWidth="1"/>
    <col min="10939" max="10939" width="10.5703125" customWidth="1"/>
    <col min="10940" max="10940" width="10.42578125" customWidth="1"/>
    <col min="10941" max="10941" width="9.5703125" customWidth="1"/>
    <col min="10942" max="10942" width="8.42578125" customWidth="1"/>
    <col min="10943" max="10943" width="9" customWidth="1"/>
    <col min="10944" max="10944" width="10.42578125" customWidth="1"/>
    <col min="10947" max="10947" width="10.28515625" customWidth="1"/>
    <col min="11191" max="11191" width="7" customWidth="1"/>
    <col min="11192" max="11192" width="30.140625" customWidth="1"/>
    <col min="11193" max="11193" width="6.28515625" customWidth="1"/>
    <col min="11194" max="11194" width="31.42578125" customWidth="1"/>
    <col min="11195" max="11195" width="10.5703125" customWidth="1"/>
    <col min="11196" max="11196" width="10.42578125" customWidth="1"/>
    <col min="11197" max="11197" width="9.5703125" customWidth="1"/>
    <col min="11198" max="11198" width="8.42578125" customWidth="1"/>
    <col min="11199" max="11199" width="9" customWidth="1"/>
    <col min="11200" max="11200" width="10.42578125" customWidth="1"/>
    <col min="11203" max="11203" width="10.28515625" customWidth="1"/>
    <col min="11447" max="11447" width="7" customWidth="1"/>
    <col min="11448" max="11448" width="30.140625" customWidth="1"/>
    <col min="11449" max="11449" width="6.28515625" customWidth="1"/>
    <col min="11450" max="11450" width="31.42578125" customWidth="1"/>
    <col min="11451" max="11451" width="10.5703125" customWidth="1"/>
    <col min="11452" max="11452" width="10.42578125" customWidth="1"/>
    <col min="11453" max="11453" width="9.5703125" customWidth="1"/>
    <col min="11454" max="11454" width="8.42578125" customWidth="1"/>
    <col min="11455" max="11455" width="9" customWidth="1"/>
    <col min="11456" max="11456" width="10.42578125" customWidth="1"/>
    <col min="11459" max="11459" width="10.28515625" customWidth="1"/>
    <col min="11703" max="11703" width="7" customWidth="1"/>
    <col min="11704" max="11704" width="30.140625" customWidth="1"/>
    <col min="11705" max="11705" width="6.28515625" customWidth="1"/>
    <col min="11706" max="11706" width="31.42578125" customWidth="1"/>
    <col min="11707" max="11707" width="10.5703125" customWidth="1"/>
    <col min="11708" max="11708" width="10.42578125" customWidth="1"/>
    <col min="11709" max="11709" width="9.5703125" customWidth="1"/>
    <col min="11710" max="11710" width="8.42578125" customWidth="1"/>
    <col min="11711" max="11711" width="9" customWidth="1"/>
    <col min="11712" max="11712" width="10.42578125" customWidth="1"/>
    <col min="11715" max="11715" width="10.28515625" customWidth="1"/>
    <col min="11959" max="11959" width="7" customWidth="1"/>
    <col min="11960" max="11960" width="30.140625" customWidth="1"/>
    <col min="11961" max="11961" width="6.28515625" customWidth="1"/>
    <col min="11962" max="11962" width="31.42578125" customWidth="1"/>
    <col min="11963" max="11963" width="10.5703125" customWidth="1"/>
    <col min="11964" max="11964" width="10.42578125" customWidth="1"/>
    <col min="11965" max="11965" width="9.5703125" customWidth="1"/>
    <col min="11966" max="11966" width="8.42578125" customWidth="1"/>
    <col min="11967" max="11967" width="9" customWidth="1"/>
    <col min="11968" max="11968" width="10.42578125" customWidth="1"/>
    <col min="11971" max="11971" width="10.28515625" customWidth="1"/>
    <col min="12215" max="12215" width="7" customWidth="1"/>
    <col min="12216" max="12216" width="30.140625" customWidth="1"/>
    <col min="12217" max="12217" width="6.28515625" customWidth="1"/>
    <col min="12218" max="12218" width="31.42578125" customWidth="1"/>
    <col min="12219" max="12219" width="10.5703125" customWidth="1"/>
    <col min="12220" max="12220" width="10.42578125" customWidth="1"/>
    <col min="12221" max="12221" width="9.5703125" customWidth="1"/>
    <col min="12222" max="12222" width="8.42578125" customWidth="1"/>
    <col min="12223" max="12223" width="9" customWidth="1"/>
    <col min="12224" max="12224" width="10.42578125" customWidth="1"/>
    <col min="12227" max="12227" width="10.28515625" customWidth="1"/>
    <col min="12471" max="12471" width="7" customWidth="1"/>
    <col min="12472" max="12472" width="30.140625" customWidth="1"/>
    <col min="12473" max="12473" width="6.28515625" customWidth="1"/>
    <col min="12474" max="12474" width="31.42578125" customWidth="1"/>
    <col min="12475" max="12475" width="10.5703125" customWidth="1"/>
    <col min="12476" max="12476" width="10.42578125" customWidth="1"/>
    <col min="12477" max="12477" width="9.5703125" customWidth="1"/>
    <col min="12478" max="12478" width="8.42578125" customWidth="1"/>
    <col min="12479" max="12479" width="9" customWidth="1"/>
    <col min="12480" max="12480" width="10.42578125" customWidth="1"/>
    <col min="12483" max="12483" width="10.28515625" customWidth="1"/>
    <col min="12727" max="12727" width="7" customWidth="1"/>
    <col min="12728" max="12728" width="30.140625" customWidth="1"/>
    <col min="12729" max="12729" width="6.28515625" customWidth="1"/>
    <col min="12730" max="12730" width="31.42578125" customWidth="1"/>
    <col min="12731" max="12731" width="10.5703125" customWidth="1"/>
    <col min="12732" max="12732" width="10.42578125" customWidth="1"/>
    <col min="12733" max="12733" width="9.5703125" customWidth="1"/>
    <col min="12734" max="12734" width="8.42578125" customWidth="1"/>
    <col min="12735" max="12735" width="9" customWidth="1"/>
    <col min="12736" max="12736" width="10.42578125" customWidth="1"/>
    <col min="12739" max="12739" width="10.28515625" customWidth="1"/>
    <col min="12983" max="12983" width="7" customWidth="1"/>
    <col min="12984" max="12984" width="30.140625" customWidth="1"/>
    <col min="12985" max="12985" width="6.28515625" customWidth="1"/>
    <col min="12986" max="12986" width="31.42578125" customWidth="1"/>
    <col min="12987" max="12987" width="10.5703125" customWidth="1"/>
    <col min="12988" max="12988" width="10.42578125" customWidth="1"/>
    <col min="12989" max="12989" width="9.5703125" customWidth="1"/>
    <col min="12990" max="12990" width="8.42578125" customWidth="1"/>
    <col min="12991" max="12991" width="9" customWidth="1"/>
    <col min="12992" max="12992" width="10.42578125" customWidth="1"/>
    <col min="12995" max="12995" width="10.28515625" customWidth="1"/>
    <col min="13239" max="13239" width="7" customWidth="1"/>
    <col min="13240" max="13240" width="30.140625" customWidth="1"/>
    <col min="13241" max="13241" width="6.28515625" customWidth="1"/>
    <col min="13242" max="13242" width="31.42578125" customWidth="1"/>
    <col min="13243" max="13243" width="10.5703125" customWidth="1"/>
    <col min="13244" max="13244" width="10.42578125" customWidth="1"/>
    <col min="13245" max="13245" width="9.5703125" customWidth="1"/>
    <col min="13246" max="13246" width="8.42578125" customWidth="1"/>
    <col min="13247" max="13247" width="9" customWidth="1"/>
    <col min="13248" max="13248" width="10.42578125" customWidth="1"/>
    <col min="13251" max="13251" width="10.28515625" customWidth="1"/>
    <col min="13495" max="13495" width="7" customWidth="1"/>
    <col min="13496" max="13496" width="30.140625" customWidth="1"/>
    <col min="13497" max="13497" width="6.28515625" customWidth="1"/>
    <col min="13498" max="13498" width="31.42578125" customWidth="1"/>
    <col min="13499" max="13499" width="10.5703125" customWidth="1"/>
    <col min="13500" max="13500" width="10.42578125" customWidth="1"/>
    <col min="13501" max="13501" width="9.5703125" customWidth="1"/>
    <col min="13502" max="13502" width="8.42578125" customWidth="1"/>
    <col min="13503" max="13503" width="9" customWidth="1"/>
    <col min="13504" max="13504" width="10.42578125" customWidth="1"/>
    <col min="13507" max="13507" width="10.28515625" customWidth="1"/>
    <col min="13751" max="13751" width="7" customWidth="1"/>
    <col min="13752" max="13752" width="30.140625" customWidth="1"/>
    <col min="13753" max="13753" width="6.28515625" customWidth="1"/>
    <col min="13754" max="13754" width="31.42578125" customWidth="1"/>
    <col min="13755" max="13755" width="10.5703125" customWidth="1"/>
    <col min="13756" max="13756" width="10.42578125" customWidth="1"/>
    <col min="13757" max="13757" width="9.5703125" customWidth="1"/>
    <col min="13758" max="13758" width="8.42578125" customWidth="1"/>
    <col min="13759" max="13759" width="9" customWidth="1"/>
    <col min="13760" max="13760" width="10.42578125" customWidth="1"/>
    <col min="13763" max="13763" width="10.28515625" customWidth="1"/>
    <col min="14007" max="14007" width="7" customWidth="1"/>
    <col min="14008" max="14008" width="30.140625" customWidth="1"/>
    <col min="14009" max="14009" width="6.28515625" customWidth="1"/>
    <col min="14010" max="14010" width="31.42578125" customWidth="1"/>
    <col min="14011" max="14011" width="10.5703125" customWidth="1"/>
    <col min="14012" max="14012" width="10.42578125" customWidth="1"/>
    <col min="14013" max="14013" width="9.5703125" customWidth="1"/>
    <col min="14014" max="14014" width="8.42578125" customWidth="1"/>
    <col min="14015" max="14015" width="9" customWidth="1"/>
    <col min="14016" max="14016" width="10.42578125" customWidth="1"/>
    <col min="14019" max="14019" width="10.28515625" customWidth="1"/>
    <col min="14263" max="14263" width="7" customWidth="1"/>
    <col min="14264" max="14264" width="30.140625" customWidth="1"/>
    <col min="14265" max="14265" width="6.28515625" customWidth="1"/>
    <col min="14266" max="14266" width="31.42578125" customWidth="1"/>
    <col min="14267" max="14267" width="10.5703125" customWidth="1"/>
    <col min="14268" max="14268" width="10.42578125" customWidth="1"/>
    <col min="14269" max="14269" width="9.5703125" customWidth="1"/>
    <col min="14270" max="14270" width="8.42578125" customWidth="1"/>
    <col min="14271" max="14271" width="9" customWidth="1"/>
    <col min="14272" max="14272" width="10.42578125" customWidth="1"/>
    <col min="14275" max="14275" width="10.28515625" customWidth="1"/>
    <col min="14519" max="14519" width="7" customWidth="1"/>
    <col min="14520" max="14520" width="30.140625" customWidth="1"/>
    <col min="14521" max="14521" width="6.28515625" customWidth="1"/>
    <col min="14522" max="14522" width="31.42578125" customWidth="1"/>
    <col min="14523" max="14523" width="10.5703125" customWidth="1"/>
    <col min="14524" max="14524" width="10.42578125" customWidth="1"/>
    <col min="14525" max="14525" width="9.5703125" customWidth="1"/>
    <col min="14526" max="14526" width="8.42578125" customWidth="1"/>
    <col min="14527" max="14527" width="9" customWidth="1"/>
    <col min="14528" max="14528" width="10.42578125" customWidth="1"/>
    <col min="14531" max="14531" width="10.28515625" customWidth="1"/>
    <col min="14775" max="14775" width="7" customWidth="1"/>
    <col min="14776" max="14776" width="30.140625" customWidth="1"/>
    <col min="14777" max="14777" width="6.28515625" customWidth="1"/>
    <col min="14778" max="14778" width="31.42578125" customWidth="1"/>
    <col min="14779" max="14779" width="10.5703125" customWidth="1"/>
    <col min="14780" max="14780" width="10.42578125" customWidth="1"/>
    <col min="14781" max="14781" width="9.5703125" customWidth="1"/>
    <col min="14782" max="14782" width="8.42578125" customWidth="1"/>
    <col min="14783" max="14783" width="9" customWidth="1"/>
    <col min="14784" max="14784" width="10.42578125" customWidth="1"/>
    <col min="14787" max="14787" width="10.28515625" customWidth="1"/>
    <col min="15031" max="15031" width="7" customWidth="1"/>
    <col min="15032" max="15032" width="30.140625" customWidth="1"/>
    <col min="15033" max="15033" width="6.28515625" customWidth="1"/>
    <col min="15034" max="15034" width="31.42578125" customWidth="1"/>
    <col min="15035" max="15035" width="10.5703125" customWidth="1"/>
    <col min="15036" max="15036" width="10.42578125" customWidth="1"/>
    <col min="15037" max="15037" width="9.5703125" customWidth="1"/>
    <col min="15038" max="15038" width="8.42578125" customWidth="1"/>
    <col min="15039" max="15039" width="9" customWidth="1"/>
    <col min="15040" max="15040" width="10.42578125" customWidth="1"/>
    <col min="15043" max="15043" width="10.28515625" customWidth="1"/>
    <col min="15287" max="15287" width="7" customWidth="1"/>
    <col min="15288" max="15288" width="30.140625" customWidth="1"/>
    <col min="15289" max="15289" width="6.28515625" customWidth="1"/>
    <col min="15290" max="15290" width="31.42578125" customWidth="1"/>
    <col min="15291" max="15291" width="10.5703125" customWidth="1"/>
    <col min="15292" max="15292" width="10.42578125" customWidth="1"/>
    <col min="15293" max="15293" width="9.5703125" customWidth="1"/>
    <col min="15294" max="15294" width="8.42578125" customWidth="1"/>
    <col min="15295" max="15295" width="9" customWidth="1"/>
    <col min="15296" max="15296" width="10.42578125" customWidth="1"/>
    <col min="15299" max="15299" width="10.28515625" customWidth="1"/>
    <col min="15543" max="15543" width="7" customWidth="1"/>
    <col min="15544" max="15544" width="30.140625" customWidth="1"/>
    <col min="15545" max="15545" width="6.28515625" customWidth="1"/>
    <col min="15546" max="15546" width="31.42578125" customWidth="1"/>
    <col min="15547" max="15547" width="10.5703125" customWidth="1"/>
    <col min="15548" max="15548" width="10.42578125" customWidth="1"/>
    <col min="15549" max="15549" width="9.5703125" customWidth="1"/>
    <col min="15550" max="15550" width="8.42578125" customWidth="1"/>
    <col min="15551" max="15551" width="9" customWidth="1"/>
    <col min="15552" max="15552" width="10.42578125" customWidth="1"/>
    <col min="15555" max="15555" width="10.28515625" customWidth="1"/>
    <col min="15799" max="15799" width="7" customWidth="1"/>
    <col min="15800" max="15800" width="30.140625" customWidth="1"/>
    <col min="15801" max="15801" width="6.28515625" customWidth="1"/>
    <col min="15802" max="15802" width="31.42578125" customWidth="1"/>
    <col min="15803" max="15803" width="10.5703125" customWidth="1"/>
    <col min="15804" max="15804" width="10.42578125" customWidth="1"/>
    <col min="15805" max="15805" width="9.5703125" customWidth="1"/>
    <col min="15806" max="15806" width="8.42578125" customWidth="1"/>
    <col min="15807" max="15807" width="9" customWidth="1"/>
    <col min="15808" max="15808" width="10.42578125" customWidth="1"/>
    <col min="15811" max="15811" width="10.28515625" customWidth="1"/>
    <col min="16055" max="16055" width="7" customWidth="1"/>
    <col min="16056" max="16056" width="30.140625" customWidth="1"/>
    <col min="16057" max="16057" width="6.28515625" customWidth="1"/>
    <col min="16058" max="16058" width="31.42578125" customWidth="1"/>
    <col min="16059" max="16059" width="10.5703125" customWidth="1"/>
    <col min="16060" max="16060" width="10.42578125" customWidth="1"/>
    <col min="16061" max="16061" width="9.5703125" customWidth="1"/>
    <col min="16062" max="16062" width="8.42578125" customWidth="1"/>
    <col min="16063" max="16063" width="9" customWidth="1"/>
    <col min="16064" max="16064" width="10.42578125" customWidth="1"/>
    <col min="16067" max="16067" width="10.28515625" customWidth="1"/>
  </cols>
  <sheetData>
    <row r="1" spans="1:52" ht="15" x14ac:dyDescent="0.25">
      <c r="A1" s="56" t="s">
        <v>2</v>
      </c>
      <c r="B1" s="56"/>
      <c r="C1" s="47"/>
      <c r="D1" s="56"/>
      <c r="E1" s="56"/>
      <c r="F1" s="100"/>
      <c r="G1" s="100"/>
      <c r="H1" s="100"/>
    </row>
    <row r="2" spans="1:52" ht="15" x14ac:dyDescent="0.25">
      <c r="A2" s="56" t="s">
        <v>3</v>
      </c>
      <c r="B2" s="56"/>
      <c r="C2" s="47"/>
      <c r="D2" s="56"/>
      <c r="E2" s="56"/>
      <c r="F2" s="100"/>
      <c r="G2" s="100"/>
      <c r="H2" s="100"/>
    </row>
    <row r="3" spans="1:52" ht="12.75" customHeight="1" x14ac:dyDescent="0.25">
      <c r="A3" s="768" t="s">
        <v>4</v>
      </c>
      <c r="B3" s="768"/>
      <c r="C3" s="768"/>
      <c r="D3" s="768"/>
      <c r="E3" s="768"/>
      <c r="F3" s="100"/>
      <c r="G3" s="100"/>
      <c r="H3" s="100"/>
    </row>
    <row r="4" spans="1:52" ht="12.75" customHeight="1" x14ac:dyDescent="0.25">
      <c r="A4" s="99"/>
      <c r="B4" s="56"/>
      <c r="C4" s="56"/>
      <c r="D4" s="56"/>
      <c r="E4" s="56"/>
      <c r="F4" s="100"/>
      <c r="G4" s="100"/>
      <c r="H4" s="100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58"/>
    </row>
    <row r="6" spans="1:52" ht="15" customHeight="1" x14ac:dyDescent="0.25">
      <c r="A6" s="100"/>
      <c r="B6" s="99"/>
      <c r="C6" s="99"/>
      <c r="D6" s="99"/>
      <c r="E6" s="100"/>
      <c r="F6" s="100"/>
      <c r="G6" s="100"/>
      <c r="H6" s="100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5" customHeight="1" thickBot="1" x14ac:dyDescent="0.3">
      <c r="A7" s="99"/>
      <c r="B7" s="7"/>
      <c r="D7" s="11"/>
      <c r="E7" s="7"/>
      <c r="F7" s="100"/>
      <c r="G7" s="100"/>
      <c r="H7" s="100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128"/>
      <c r="B8" s="101"/>
      <c r="C8" s="101"/>
      <c r="D8" s="101"/>
      <c r="E8" s="101"/>
      <c r="F8" s="101"/>
      <c r="G8" s="101"/>
      <c r="H8" s="101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5" customHeight="1" thickBot="1" x14ac:dyDescent="0.25">
      <c r="A9" s="13" t="s">
        <v>812</v>
      </c>
      <c r="D9" s="13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132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145" t="s">
        <v>565</v>
      </c>
      <c r="H11" s="146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x14ac:dyDescent="0.2">
      <c r="A12" s="247">
        <v>1</v>
      </c>
      <c r="B12" s="248">
        <v>3440</v>
      </c>
      <c r="C12" s="248">
        <v>600078078</v>
      </c>
      <c r="D12" s="248">
        <v>72743441</v>
      </c>
      <c r="E12" s="249" t="s">
        <v>86</v>
      </c>
      <c r="F12" s="248">
        <v>3111</v>
      </c>
      <c r="G12" s="250" t="s">
        <v>312</v>
      </c>
      <c r="H12" s="251" t="s">
        <v>278</v>
      </c>
      <c r="I12" s="470">
        <v>10877141</v>
      </c>
      <c r="J12" s="471">
        <v>7872300</v>
      </c>
      <c r="K12" s="471">
        <v>91000</v>
      </c>
      <c r="L12" s="471">
        <v>2691595</v>
      </c>
      <c r="M12" s="471">
        <v>157446</v>
      </c>
      <c r="N12" s="471">
        <v>64800</v>
      </c>
      <c r="O12" s="472">
        <v>17.174499999999998</v>
      </c>
      <c r="P12" s="473">
        <v>12.4</v>
      </c>
      <c r="Q12" s="499">
        <v>4.7744999999999997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86">
        <v>0</v>
      </c>
      <c r="AL12" s="486">
        <v>0</v>
      </c>
      <c r="AM12" s="486">
        <v>0</v>
      </c>
      <c r="AN12" s="486">
        <v>0</v>
      </c>
      <c r="AO12" s="486">
        <f>AH12+AJ12+AM12+AK12</f>
        <v>0</v>
      </c>
      <c r="AP12" s="486">
        <f>AI12+AN12+AL12</f>
        <v>0</v>
      </c>
      <c r="AQ12" s="488">
        <f>SUM(AO12:AP12)</f>
        <v>0</v>
      </c>
      <c r="AR12" s="474">
        <f>I12+AG12</f>
        <v>10877141</v>
      </c>
      <c r="AS12" s="475">
        <f>J12+V12</f>
        <v>7872300</v>
      </c>
      <c r="AT12" s="475">
        <f>K12+Z12</f>
        <v>91000</v>
      </c>
      <c r="AU12" s="475">
        <f t="shared" ref="AU12:AV14" si="0">L12+AB12</f>
        <v>2691595</v>
      </c>
      <c r="AV12" s="475">
        <f t="shared" si="0"/>
        <v>157446</v>
      </c>
      <c r="AW12" s="475">
        <f>N12+AF12</f>
        <v>64800</v>
      </c>
      <c r="AX12" s="476">
        <f>O12+AQ12</f>
        <v>17.174499999999998</v>
      </c>
      <c r="AY12" s="476">
        <f t="shared" ref="AY12:AZ14" si="1">P12+AO12</f>
        <v>12.4</v>
      </c>
      <c r="AZ12" s="478">
        <f t="shared" si="1"/>
        <v>4.7744999999999997</v>
      </c>
    </row>
    <row r="13" spans="1:52" x14ac:dyDescent="0.2">
      <c r="A13" s="220">
        <v>1</v>
      </c>
      <c r="B13" s="221">
        <v>3440</v>
      </c>
      <c r="C13" s="221">
        <v>600078078</v>
      </c>
      <c r="D13" s="221">
        <v>72743441</v>
      </c>
      <c r="E13" s="219" t="s">
        <v>86</v>
      </c>
      <c r="F13" s="221">
        <v>3111</v>
      </c>
      <c r="G13" s="222" t="s">
        <v>313</v>
      </c>
      <c r="H13" s="223" t="s">
        <v>279</v>
      </c>
      <c r="I13" s="494">
        <v>1082065</v>
      </c>
      <c r="J13" s="489">
        <v>796808</v>
      </c>
      <c r="K13" s="489">
        <v>0</v>
      </c>
      <c r="L13" s="489">
        <v>269321</v>
      </c>
      <c r="M13" s="489">
        <v>15936</v>
      </c>
      <c r="N13" s="489">
        <v>0</v>
      </c>
      <c r="O13" s="490">
        <v>2.5</v>
      </c>
      <c r="P13" s="491">
        <v>2.5</v>
      </c>
      <c r="Q13" s="500">
        <v>0</v>
      </c>
      <c r="R13" s="502">
        <f t="shared" ref="R13:R76" si="2">W13*-1</f>
        <v>0</v>
      </c>
      <c r="S13" s="492">
        <v>0</v>
      </c>
      <c r="T13" s="492">
        <v>0</v>
      </c>
      <c r="U13" s="492">
        <v>0</v>
      </c>
      <c r="V13" s="492">
        <f t="shared" ref="V13:V76" si="3">SUM(R13:U13)</f>
        <v>0</v>
      </c>
      <c r="W13" s="492">
        <v>0</v>
      </c>
      <c r="X13" s="492">
        <v>0</v>
      </c>
      <c r="Y13" s="492">
        <v>0</v>
      </c>
      <c r="Z13" s="492">
        <f t="shared" ref="Z13:Z76" si="4">SUM(W13:Y13)</f>
        <v>0</v>
      </c>
      <c r="AA13" s="492">
        <f t="shared" ref="AA13:AA76" si="5">V13+Z13</f>
        <v>0</v>
      </c>
      <c r="AB13" s="74">
        <f t="shared" ref="AB13:AB76" si="6">ROUND((V13+W13+X13)*33.8%,0)</f>
        <v>0</v>
      </c>
      <c r="AC13" s="74">
        <f t="shared" ref="AC13:AC76" si="7">ROUND(V13*2%,0)</f>
        <v>0</v>
      </c>
      <c r="AD13" s="492">
        <v>0</v>
      </c>
      <c r="AE13" s="492">
        <v>0</v>
      </c>
      <c r="AF13" s="492">
        <f t="shared" ref="AF13:AF76" si="8">SUM(AD13:AE13)</f>
        <v>0</v>
      </c>
      <c r="AG13" s="492">
        <f t="shared" ref="AG13:AG76" si="9">AA13+AB13+AC13+AF13</f>
        <v>0</v>
      </c>
      <c r="AH13" s="493">
        <v>0</v>
      </c>
      <c r="AI13" s="493">
        <v>0</v>
      </c>
      <c r="AJ13" s="493">
        <v>0</v>
      </c>
      <c r="AK13" s="493">
        <v>0</v>
      </c>
      <c r="AL13" s="493">
        <v>0</v>
      </c>
      <c r="AM13" s="493">
        <v>0</v>
      </c>
      <c r="AN13" s="493">
        <v>0</v>
      </c>
      <c r="AO13" s="493">
        <f>AH13+AJ13+AM13+AK13</f>
        <v>0</v>
      </c>
      <c r="AP13" s="493">
        <f>AI13+AN13+AL13</f>
        <v>0</v>
      </c>
      <c r="AQ13" s="495">
        <f t="shared" ref="AQ13" si="10">SUM(AO13:AP13)</f>
        <v>0</v>
      </c>
      <c r="AR13" s="501">
        <f t="shared" ref="AR13:AR76" si="11">I13+AG13</f>
        <v>1082065</v>
      </c>
      <c r="AS13" s="492">
        <f t="shared" ref="AS13:AS76" si="12">J13+V13</f>
        <v>796808</v>
      </c>
      <c r="AT13" s="492">
        <f>K13+Z13</f>
        <v>0</v>
      </c>
      <c r="AU13" s="492">
        <f t="shared" si="0"/>
        <v>269321</v>
      </c>
      <c r="AV13" s="492">
        <f t="shared" si="0"/>
        <v>15936</v>
      </c>
      <c r="AW13" s="492">
        <f t="shared" ref="AW13:AW76" si="13">N13+AF13</f>
        <v>0</v>
      </c>
      <c r="AX13" s="493">
        <f t="shared" ref="AX13:AX76" si="14">O13+AQ13</f>
        <v>2.5</v>
      </c>
      <c r="AY13" s="493">
        <f t="shared" si="1"/>
        <v>2.5</v>
      </c>
      <c r="AZ13" s="495">
        <f t="shared" si="1"/>
        <v>0</v>
      </c>
    </row>
    <row r="14" spans="1:52" x14ac:dyDescent="0.2">
      <c r="A14" s="220">
        <v>1</v>
      </c>
      <c r="B14" s="221">
        <v>3440</v>
      </c>
      <c r="C14" s="221">
        <v>600078078</v>
      </c>
      <c r="D14" s="221">
        <v>72743441</v>
      </c>
      <c r="E14" s="219" t="s">
        <v>86</v>
      </c>
      <c r="F14" s="221">
        <v>3141</v>
      </c>
      <c r="G14" s="222" t="s">
        <v>316</v>
      </c>
      <c r="H14" s="223" t="s">
        <v>279</v>
      </c>
      <c r="I14" s="494">
        <v>1964807</v>
      </c>
      <c r="J14" s="489">
        <v>1401889</v>
      </c>
      <c r="K14" s="489">
        <v>39000</v>
      </c>
      <c r="L14" s="489">
        <v>487020</v>
      </c>
      <c r="M14" s="489">
        <v>28038</v>
      </c>
      <c r="N14" s="489">
        <v>8860</v>
      </c>
      <c r="O14" s="490">
        <v>4.4400000000000004</v>
      </c>
      <c r="P14" s="491">
        <v>0</v>
      </c>
      <c r="Q14" s="500">
        <v>4.4400000000000004</v>
      </c>
      <c r="R14" s="502">
        <f t="shared" si="2"/>
        <v>0</v>
      </c>
      <c r="S14" s="492">
        <v>0</v>
      </c>
      <c r="T14" s="492">
        <v>0</v>
      </c>
      <c r="U14" s="492">
        <v>0</v>
      </c>
      <c r="V14" s="492">
        <f t="shared" si="3"/>
        <v>0</v>
      </c>
      <c r="W14" s="492">
        <v>0</v>
      </c>
      <c r="X14" s="492">
        <v>0</v>
      </c>
      <c r="Y14" s="492">
        <v>0</v>
      </c>
      <c r="Z14" s="492">
        <f t="shared" si="4"/>
        <v>0</v>
      </c>
      <c r="AA14" s="492">
        <f t="shared" si="5"/>
        <v>0</v>
      </c>
      <c r="AB14" s="74">
        <f t="shared" si="6"/>
        <v>0</v>
      </c>
      <c r="AC14" s="74">
        <f t="shared" si="7"/>
        <v>0</v>
      </c>
      <c r="AD14" s="492">
        <v>0</v>
      </c>
      <c r="AE14" s="492">
        <v>0</v>
      </c>
      <c r="AF14" s="492">
        <f t="shared" si="8"/>
        <v>0</v>
      </c>
      <c r="AG14" s="492">
        <f t="shared" si="9"/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>AH14+AJ14+AM14+AK14</f>
        <v>0</v>
      </c>
      <c r="AP14" s="493">
        <f>AI14+AN14+AL14</f>
        <v>0</v>
      </c>
      <c r="AQ14" s="495">
        <f t="shared" ref="AQ14:AQ76" si="15">SUM(AO14:AP14)</f>
        <v>0</v>
      </c>
      <c r="AR14" s="501">
        <f t="shared" si="11"/>
        <v>1964807</v>
      </c>
      <c r="AS14" s="492">
        <f t="shared" si="12"/>
        <v>1401889</v>
      </c>
      <c r="AT14" s="492">
        <f>K14+Z14</f>
        <v>39000</v>
      </c>
      <c r="AU14" s="492">
        <f t="shared" si="0"/>
        <v>487020</v>
      </c>
      <c r="AV14" s="492">
        <f t="shared" si="0"/>
        <v>28038</v>
      </c>
      <c r="AW14" s="492">
        <f t="shared" si="13"/>
        <v>8860</v>
      </c>
      <c r="AX14" s="493">
        <f t="shared" si="14"/>
        <v>4.4400000000000004</v>
      </c>
      <c r="AY14" s="493">
        <f t="shared" si="1"/>
        <v>0</v>
      </c>
      <c r="AZ14" s="495">
        <f t="shared" si="1"/>
        <v>4.4400000000000004</v>
      </c>
    </row>
    <row r="15" spans="1:52" x14ac:dyDescent="0.2">
      <c r="A15" s="166">
        <v>1</v>
      </c>
      <c r="B15" s="20">
        <v>3440</v>
      </c>
      <c r="C15" s="20">
        <v>600078078</v>
      </c>
      <c r="D15" s="20">
        <v>72743441</v>
      </c>
      <c r="E15" s="175" t="s">
        <v>87</v>
      </c>
      <c r="F15" s="20"/>
      <c r="G15" s="165"/>
      <c r="H15" s="199"/>
      <c r="I15" s="552">
        <v>13924013</v>
      </c>
      <c r="J15" s="548">
        <v>10070997</v>
      </c>
      <c r="K15" s="548">
        <v>130000</v>
      </c>
      <c r="L15" s="548">
        <v>3447936</v>
      </c>
      <c r="M15" s="548">
        <v>201420</v>
      </c>
      <c r="N15" s="548">
        <v>73660</v>
      </c>
      <c r="O15" s="549">
        <v>24.1145</v>
      </c>
      <c r="P15" s="549">
        <v>14.9</v>
      </c>
      <c r="Q15" s="554">
        <v>9.214500000000001</v>
      </c>
      <c r="R15" s="552">
        <f t="shared" ref="R15:AZ15" si="16">SUM(R12:R14)</f>
        <v>0</v>
      </c>
      <c r="S15" s="548">
        <f t="shared" si="16"/>
        <v>0</v>
      </c>
      <c r="T15" s="548">
        <f t="shared" si="16"/>
        <v>0</v>
      </c>
      <c r="U15" s="548">
        <f t="shared" si="16"/>
        <v>0</v>
      </c>
      <c r="V15" s="548">
        <f t="shared" si="16"/>
        <v>0</v>
      </c>
      <c r="W15" s="548">
        <f t="shared" si="16"/>
        <v>0</v>
      </c>
      <c r="X15" s="548">
        <f t="shared" si="16"/>
        <v>0</v>
      </c>
      <c r="Y15" s="548">
        <f t="shared" si="16"/>
        <v>0</v>
      </c>
      <c r="Z15" s="548">
        <f t="shared" si="16"/>
        <v>0</v>
      </c>
      <c r="AA15" s="548">
        <f t="shared" si="16"/>
        <v>0</v>
      </c>
      <c r="AB15" s="548">
        <f t="shared" si="16"/>
        <v>0</v>
      </c>
      <c r="AC15" s="548">
        <f t="shared" si="16"/>
        <v>0</v>
      </c>
      <c r="AD15" s="548">
        <f t="shared" si="16"/>
        <v>0</v>
      </c>
      <c r="AE15" s="548">
        <f t="shared" si="16"/>
        <v>0</v>
      </c>
      <c r="AF15" s="548">
        <f t="shared" si="16"/>
        <v>0</v>
      </c>
      <c r="AG15" s="548">
        <f t="shared" si="16"/>
        <v>0</v>
      </c>
      <c r="AH15" s="549">
        <f t="shared" si="16"/>
        <v>0</v>
      </c>
      <c r="AI15" s="549">
        <f t="shared" si="16"/>
        <v>0</v>
      </c>
      <c r="AJ15" s="549">
        <f t="shared" si="16"/>
        <v>0</v>
      </c>
      <c r="AK15" s="549">
        <f t="shared" si="16"/>
        <v>0</v>
      </c>
      <c r="AL15" s="549">
        <f t="shared" si="16"/>
        <v>0</v>
      </c>
      <c r="AM15" s="549">
        <f t="shared" si="16"/>
        <v>0</v>
      </c>
      <c r="AN15" s="549">
        <f t="shared" si="16"/>
        <v>0</v>
      </c>
      <c r="AO15" s="549">
        <f t="shared" si="16"/>
        <v>0</v>
      </c>
      <c r="AP15" s="549">
        <f t="shared" si="16"/>
        <v>0</v>
      </c>
      <c r="AQ15" s="45">
        <f t="shared" si="16"/>
        <v>0</v>
      </c>
      <c r="AR15" s="556">
        <f t="shared" si="16"/>
        <v>13924013</v>
      </c>
      <c r="AS15" s="548">
        <f t="shared" si="16"/>
        <v>10070997</v>
      </c>
      <c r="AT15" s="548">
        <f t="shared" si="16"/>
        <v>130000</v>
      </c>
      <c r="AU15" s="548">
        <f t="shared" si="16"/>
        <v>3447936</v>
      </c>
      <c r="AV15" s="548">
        <f t="shared" si="16"/>
        <v>201420</v>
      </c>
      <c r="AW15" s="548">
        <f t="shared" si="16"/>
        <v>73660</v>
      </c>
      <c r="AX15" s="549">
        <f t="shared" si="16"/>
        <v>24.1145</v>
      </c>
      <c r="AY15" s="549">
        <f t="shared" si="16"/>
        <v>14.9</v>
      </c>
      <c r="AZ15" s="45">
        <f t="shared" si="16"/>
        <v>9.214500000000001</v>
      </c>
    </row>
    <row r="16" spans="1:52" x14ac:dyDescent="0.2">
      <c r="A16" s="220">
        <v>2</v>
      </c>
      <c r="B16" s="221">
        <v>3458</v>
      </c>
      <c r="C16" s="221">
        <v>600029069</v>
      </c>
      <c r="D16" s="221">
        <v>75121557</v>
      </c>
      <c r="E16" s="219" t="s">
        <v>88</v>
      </c>
      <c r="F16" s="221">
        <v>3233</v>
      </c>
      <c r="G16" s="222" t="s">
        <v>319</v>
      </c>
      <c r="H16" s="223" t="s">
        <v>279</v>
      </c>
      <c r="I16" s="494">
        <v>3457126</v>
      </c>
      <c r="J16" s="489">
        <v>2479208</v>
      </c>
      <c r="K16" s="489">
        <v>65000</v>
      </c>
      <c r="L16" s="489">
        <v>859942</v>
      </c>
      <c r="M16" s="489">
        <v>49584</v>
      </c>
      <c r="N16" s="489">
        <v>3392</v>
      </c>
      <c r="O16" s="490">
        <v>5.38</v>
      </c>
      <c r="P16" s="491">
        <v>3.63</v>
      </c>
      <c r="Q16" s="500">
        <v>1.75</v>
      </c>
      <c r="R16" s="502">
        <f t="shared" si="2"/>
        <v>0</v>
      </c>
      <c r="S16" s="492">
        <v>0</v>
      </c>
      <c r="T16" s="492">
        <v>0</v>
      </c>
      <c r="U16" s="492">
        <v>0</v>
      </c>
      <c r="V16" s="492">
        <f t="shared" si="3"/>
        <v>0</v>
      </c>
      <c r="W16" s="492">
        <v>0</v>
      </c>
      <c r="X16" s="492">
        <v>0</v>
      </c>
      <c r="Y16" s="492">
        <v>0</v>
      </c>
      <c r="Z16" s="492">
        <f t="shared" si="4"/>
        <v>0</v>
      </c>
      <c r="AA16" s="492">
        <f t="shared" si="5"/>
        <v>0</v>
      </c>
      <c r="AB16" s="74">
        <f t="shared" si="6"/>
        <v>0</v>
      </c>
      <c r="AC16" s="74">
        <f t="shared" si="7"/>
        <v>0</v>
      </c>
      <c r="AD16" s="492">
        <v>0</v>
      </c>
      <c r="AE16" s="492">
        <v>19928</v>
      </c>
      <c r="AF16" s="492">
        <f t="shared" si="8"/>
        <v>19928</v>
      </c>
      <c r="AG16" s="492">
        <f t="shared" si="9"/>
        <v>19928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>AH16+AJ16+AM16+AK16</f>
        <v>0</v>
      </c>
      <c r="AP16" s="493">
        <f>AI16+AN16+AL16</f>
        <v>0</v>
      </c>
      <c r="AQ16" s="495">
        <f t="shared" si="15"/>
        <v>0</v>
      </c>
      <c r="AR16" s="501">
        <f t="shared" si="11"/>
        <v>3477054</v>
      </c>
      <c r="AS16" s="492">
        <f t="shared" si="12"/>
        <v>2479208</v>
      </c>
      <c r="AT16" s="492">
        <f>K16+Z16</f>
        <v>65000</v>
      </c>
      <c r="AU16" s="492">
        <f>L16+AB16</f>
        <v>859942</v>
      </c>
      <c r="AV16" s="492">
        <f>M16+AC16</f>
        <v>49584</v>
      </c>
      <c r="AW16" s="492">
        <f t="shared" si="13"/>
        <v>23320</v>
      </c>
      <c r="AX16" s="493">
        <f t="shared" si="14"/>
        <v>5.38</v>
      </c>
      <c r="AY16" s="493">
        <f>P16+AO16</f>
        <v>3.63</v>
      </c>
      <c r="AZ16" s="495">
        <f>Q16+AP16</f>
        <v>1.75</v>
      </c>
    </row>
    <row r="17" spans="1:52" x14ac:dyDescent="0.2">
      <c r="A17" s="166">
        <v>2</v>
      </c>
      <c r="B17" s="20">
        <v>3458</v>
      </c>
      <c r="C17" s="20">
        <v>600029069</v>
      </c>
      <c r="D17" s="20">
        <v>75121557</v>
      </c>
      <c r="E17" s="175" t="s">
        <v>89</v>
      </c>
      <c r="F17" s="20"/>
      <c r="G17" s="165"/>
      <c r="H17" s="199"/>
      <c r="I17" s="552">
        <v>3457126</v>
      </c>
      <c r="J17" s="548">
        <v>2479208</v>
      </c>
      <c r="K17" s="548">
        <v>65000</v>
      </c>
      <c r="L17" s="548">
        <v>859942</v>
      </c>
      <c r="M17" s="548">
        <v>49584</v>
      </c>
      <c r="N17" s="548">
        <v>3392</v>
      </c>
      <c r="O17" s="549">
        <v>5.38</v>
      </c>
      <c r="P17" s="549">
        <v>3.63</v>
      </c>
      <c r="Q17" s="554">
        <v>1.75</v>
      </c>
      <c r="R17" s="552">
        <f t="shared" ref="R17:AZ17" si="17">SUM(R16)</f>
        <v>0</v>
      </c>
      <c r="S17" s="548">
        <f t="shared" si="17"/>
        <v>0</v>
      </c>
      <c r="T17" s="548">
        <f t="shared" si="17"/>
        <v>0</v>
      </c>
      <c r="U17" s="548">
        <f t="shared" si="17"/>
        <v>0</v>
      </c>
      <c r="V17" s="548">
        <f t="shared" si="17"/>
        <v>0</v>
      </c>
      <c r="W17" s="548">
        <f t="shared" si="17"/>
        <v>0</v>
      </c>
      <c r="X17" s="548">
        <f t="shared" si="17"/>
        <v>0</v>
      </c>
      <c r="Y17" s="548">
        <f t="shared" si="17"/>
        <v>0</v>
      </c>
      <c r="Z17" s="548">
        <f t="shared" si="17"/>
        <v>0</v>
      </c>
      <c r="AA17" s="548">
        <f t="shared" si="17"/>
        <v>0</v>
      </c>
      <c r="AB17" s="548">
        <f t="shared" si="17"/>
        <v>0</v>
      </c>
      <c r="AC17" s="548">
        <f t="shared" si="17"/>
        <v>0</v>
      </c>
      <c r="AD17" s="548">
        <f t="shared" si="17"/>
        <v>0</v>
      </c>
      <c r="AE17" s="548">
        <f t="shared" si="17"/>
        <v>19928</v>
      </c>
      <c r="AF17" s="548">
        <f t="shared" si="17"/>
        <v>19928</v>
      </c>
      <c r="AG17" s="548">
        <f t="shared" si="17"/>
        <v>19928</v>
      </c>
      <c r="AH17" s="549">
        <f t="shared" si="17"/>
        <v>0</v>
      </c>
      <c r="AI17" s="549">
        <f t="shared" si="17"/>
        <v>0</v>
      </c>
      <c r="AJ17" s="549">
        <f t="shared" si="17"/>
        <v>0</v>
      </c>
      <c r="AK17" s="549">
        <f t="shared" si="17"/>
        <v>0</v>
      </c>
      <c r="AL17" s="549">
        <f t="shared" si="17"/>
        <v>0</v>
      </c>
      <c r="AM17" s="549">
        <f t="shared" si="17"/>
        <v>0</v>
      </c>
      <c r="AN17" s="549">
        <f t="shared" si="17"/>
        <v>0</v>
      </c>
      <c r="AO17" s="549">
        <f t="shared" si="17"/>
        <v>0</v>
      </c>
      <c r="AP17" s="549">
        <f t="shared" si="17"/>
        <v>0</v>
      </c>
      <c r="AQ17" s="45">
        <f t="shared" si="17"/>
        <v>0</v>
      </c>
      <c r="AR17" s="556">
        <f t="shared" si="17"/>
        <v>3477054</v>
      </c>
      <c r="AS17" s="548">
        <f t="shared" si="17"/>
        <v>2479208</v>
      </c>
      <c r="AT17" s="548">
        <f t="shared" si="17"/>
        <v>65000</v>
      </c>
      <c r="AU17" s="548">
        <f t="shared" si="17"/>
        <v>859942</v>
      </c>
      <c r="AV17" s="548">
        <f t="shared" si="17"/>
        <v>49584</v>
      </c>
      <c r="AW17" s="548">
        <f t="shared" si="17"/>
        <v>23320</v>
      </c>
      <c r="AX17" s="549">
        <f t="shared" si="17"/>
        <v>5.38</v>
      </c>
      <c r="AY17" s="549">
        <f t="shared" si="17"/>
        <v>3.63</v>
      </c>
      <c r="AZ17" s="45">
        <f t="shared" si="17"/>
        <v>1.75</v>
      </c>
    </row>
    <row r="18" spans="1:52" x14ac:dyDescent="0.2">
      <c r="A18" s="220">
        <v>3</v>
      </c>
      <c r="B18" s="221">
        <v>3439</v>
      </c>
      <c r="C18" s="221">
        <v>600010473</v>
      </c>
      <c r="D18" s="221">
        <v>43256791</v>
      </c>
      <c r="E18" s="219" t="s">
        <v>806</v>
      </c>
      <c r="F18" s="221">
        <v>3113</v>
      </c>
      <c r="G18" s="222" t="s">
        <v>315</v>
      </c>
      <c r="H18" s="223" t="s">
        <v>278</v>
      </c>
      <c r="I18" s="494">
        <v>23688403</v>
      </c>
      <c r="J18" s="489">
        <v>16544292</v>
      </c>
      <c r="K18" s="489">
        <v>391140</v>
      </c>
      <c r="L18" s="489">
        <v>5724175</v>
      </c>
      <c r="M18" s="489">
        <v>330886</v>
      </c>
      <c r="N18" s="489">
        <v>697910</v>
      </c>
      <c r="O18" s="490">
        <v>32.57</v>
      </c>
      <c r="P18" s="491">
        <v>26.4</v>
      </c>
      <c r="Q18" s="500">
        <v>6.169999999999999</v>
      </c>
      <c r="R18" s="502">
        <f t="shared" si="2"/>
        <v>0</v>
      </c>
      <c r="S18" s="492">
        <v>0</v>
      </c>
      <c r="T18" s="492">
        <v>0</v>
      </c>
      <c r="U18" s="492">
        <v>0</v>
      </c>
      <c r="V18" s="492">
        <f t="shared" si="3"/>
        <v>0</v>
      </c>
      <c r="W18" s="492">
        <v>0</v>
      </c>
      <c r="X18" s="492">
        <v>0</v>
      </c>
      <c r="Y18" s="492">
        <v>0</v>
      </c>
      <c r="Z18" s="492">
        <f t="shared" si="4"/>
        <v>0</v>
      </c>
      <c r="AA18" s="492">
        <f t="shared" si="5"/>
        <v>0</v>
      </c>
      <c r="AB18" s="74">
        <f t="shared" si="6"/>
        <v>0</v>
      </c>
      <c r="AC18" s="74">
        <f t="shared" si="7"/>
        <v>0</v>
      </c>
      <c r="AD18" s="492">
        <v>0</v>
      </c>
      <c r="AE18" s="492">
        <v>0</v>
      </c>
      <c r="AF18" s="492">
        <f t="shared" si="8"/>
        <v>0</v>
      </c>
      <c r="AG18" s="492">
        <f t="shared" si="9"/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ref="AO18:AO22" si="18">AH18+AJ18+AM18+AK18</f>
        <v>0</v>
      </c>
      <c r="AP18" s="493">
        <f t="shared" ref="AP18:AP22" si="19">AI18+AN18+AL18</f>
        <v>0</v>
      </c>
      <c r="AQ18" s="495">
        <f t="shared" si="15"/>
        <v>0</v>
      </c>
      <c r="AR18" s="501">
        <f t="shared" si="11"/>
        <v>23688403</v>
      </c>
      <c r="AS18" s="492">
        <f t="shared" si="12"/>
        <v>16544292</v>
      </c>
      <c r="AT18" s="492">
        <f t="shared" ref="AT18:AT22" si="20">K18+Z18</f>
        <v>391140</v>
      </c>
      <c r="AU18" s="492">
        <f t="shared" ref="AU18:AV22" si="21">L18+AB18</f>
        <v>5724175</v>
      </c>
      <c r="AV18" s="492">
        <f t="shared" si="21"/>
        <v>330886</v>
      </c>
      <c r="AW18" s="492">
        <f t="shared" si="13"/>
        <v>697910</v>
      </c>
      <c r="AX18" s="493">
        <f t="shared" si="14"/>
        <v>32.57</v>
      </c>
      <c r="AY18" s="493">
        <f t="shared" ref="AY18:AZ22" si="22">P18+AO18</f>
        <v>26.4</v>
      </c>
      <c r="AZ18" s="495">
        <f t="shared" si="22"/>
        <v>6.169999999999999</v>
      </c>
    </row>
    <row r="19" spans="1:52" x14ac:dyDescent="0.2">
      <c r="A19" s="220">
        <v>3</v>
      </c>
      <c r="B19" s="221">
        <v>3439</v>
      </c>
      <c r="C19" s="221">
        <v>600010473</v>
      </c>
      <c r="D19" s="221">
        <v>43256791</v>
      </c>
      <c r="E19" s="219" t="s">
        <v>806</v>
      </c>
      <c r="F19" s="221">
        <v>3113</v>
      </c>
      <c r="G19" s="222" t="s">
        <v>313</v>
      </c>
      <c r="H19" s="223" t="s">
        <v>279</v>
      </c>
      <c r="I19" s="494">
        <v>5992640</v>
      </c>
      <c r="J19" s="489">
        <v>4410818</v>
      </c>
      <c r="K19" s="489">
        <v>0</v>
      </c>
      <c r="L19" s="489">
        <v>1490856</v>
      </c>
      <c r="M19" s="489">
        <v>88216</v>
      </c>
      <c r="N19" s="489">
        <v>2750</v>
      </c>
      <c r="O19" s="490">
        <v>12.27</v>
      </c>
      <c r="P19" s="491">
        <v>12.27</v>
      </c>
      <c r="Q19" s="500">
        <v>0</v>
      </c>
      <c r="R19" s="502">
        <f t="shared" si="2"/>
        <v>0</v>
      </c>
      <c r="S19" s="492">
        <v>0</v>
      </c>
      <c r="T19" s="492">
        <v>0</v>
      </c>
      <c r="U19" s="492">
        <v>0</v>
      </c>
      <c r="V19" s="492">
        <f t="shared" si="3"/>
        <v>0</v>
      </c>
      <c r="W19" s="492">
        <v>0</v>
      </c>
      <c r="X19" s="492">
        <v>0</v>
      </c>
      <c r="Y19" s="492">
        <v>0</v>
      </c>
      <c r="Z19" s="492">
        <f t="shared" si="4"/>
        <v>0</v>
      </c>
      <c r="AA19" s="492">
        <f t="shared" si="5"/>
        <v>0</v>
      </c>
      <c r="AB19" s="74">
        <f t="shared" si="6"/>
        <v>0</v>
      </c>
      <c r="AC19" s="74">
        <f t="shared" si="7"/>
        <v>0</v>
      </c>
      <c r="AD19" s="492">
        <v>0</v>
      </c>
      <c r="AE19" s="492">
        <v>0</v>
      </c>
      <c r="AF19" s="492">
        <f t="shared" si="8"/>
        <v>0</v>
      </c>
      <c r="AG19" s="492">
        <f t="shared" si="9"/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 t="shared" si="18"/>
        <v>0</v>
      </c>
      <c r="AP19" s="493">
        <f t="shared" si="19"/>
        <v>0</v>
      </c>
      <c r="AQ19" s="495">
        <f t="shared" si="15"/>
        <v>0</v>
      </c>
      <c r="AR19" s="501">
        <f t="shared" si="11"/>
        <v>5992640</v>
      </c>
      <c r="AS19" s="492">
        <f t="shared" si="12"/>
        <v>4410818</v>
      </c>
      <c r="AT19" s="492">
        <f t="shared" si="20"/>
        <v>0</v>
      </c>
      <c r="AU19" s="492">
        <f t="shared" si="21"/>
        <v>1490856</v>
      </c>
      <c r="AV19" s="492">
        <f t="shared" si="21"/>
        <v>88216</v>
      </c>
      <c r="AW19" s="492">
        <f t="shared" si="13"/>
        <v>2750</v>
      </c>
      <c r="AX19" s="493">
        <f t="shared" si="14"/>
        <v>12.27</v>
      </c>
      <c r="AY19" s="493">
        <f t="shared" si="22"/>
        <v>12.27</v>
      </c>
      <c r="AZ19" s="495">
        <f t="shared" si="22"/>
        <v>0</v>
      </c>
    </row>
    <row r="20" spans="1:52" x14ac:dyDescent="0.2">
      <c r="A20" s="220">
        <v>3</v>
      </c>
      <c r="B20" s="221">
        <v>3439</v>
      </c>
      <c r="C20" s="221">
        <v>600010473</v>
      </c>
      <c r="D20" s="221">
        <v>43256791</v>
      </c>
      <c r="E20" s="219" t="s">
        <v>806</v>
      </c>
      <c r="F20" s="221">
        <v>3143</v>
      </c>
      <c r="G20" s="222" t="s">
        <v>629</v>
      </c>
      <c r="H20" s="243" t="s">
        <v>278</v>
      </c>
      <c r="I20" s="494">
        <v>2111093</v>
      </c>
      <c r="J20" s="489">
        <v>1551358</v>
      </c>
      <c r="K20" s="489">
        <v>3250</v>
      </c>
      <c r="L20" s="489">
        <v>525458</v>
      </c>
      <c r="M20" s="489">
        <v>31027</v>
      </c>
      <c r="N20" s="489">
        <v>0</v>
      </c>
      <c r="O20" s="490">
        <v>3.29</v>
      </c>
      <c r="P20" s="491">
        <v>3.29</v>
      </c>
      <c r="Q20" s="500">
        <v>0</v>
      </c>
      <c r="R20" s="502">
        <f t="shared" si="2"/>
        <v>0</v>
      </c>
      <c r="S20" s="492">
        <v>0</v>
      </c>
      <c r="T20" s="492">
        <v>0</v>
      </c>
      <c r="U20" s="492">
        <v>0</v>
      </c>
      <c r="V20" s="492">
        <f t="shared" si="3"/>
        <v>0</v>
      </c>
      <c r="W20" s="492">
        <v>0</v>
      </c>
      <c r="X20" s="492">
        <v>0</v>
      </c>
      <c r="Y20" s="492">
        <v>0</v>
      </c>
      <c r="Z20" s="492">
        <f t="shared" si="4"/>
        <v>0</v>
      </c>
      <c r="AA20" s="492">
        <f t="shared" si="5"/>
        <v>0</v>
      </c>
      <c r="AB20" s="74">
        <f t="shared" si="6"/>
        <v>0</v>
      </c>
      <c r="AC20" s="74">
        <f t="shared" si="7"/>
        <v>0</v>
      </c>
      <c r="AD20" s="492">
        <v>0</v>
      </c>
      <c r="AE20" s="492">
        <v>0</v>
      </c>
      <c r="AF20" s="492">
        <f t="shared" si="8"/>
        <v>0</v>
      </c>
      <c r="AG20" s="492">
        <f t="shared" si="9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18"/>
        <v>0</v>
      </c>
      <c r="AP20" s="493">
        <f t="shared" si="19"/>
        <v>0</v>
      </c>
      <c r="AQ20" s="495">
        <f t="shared" si="15"/>
        <v>0</v>
      </c>
      <c r="AR20" s="501">
        <f t="shared" si="11"/>
        <v>2111093</v>
      </c>
      <c r="AS20" s="492">
        <f t="shared" si="12"/>
        <v>1551358</v>
      </c>
      <c r="AT20" s="492">
        <f t="shared" si="20"/>
        <v>3250</v>
      </c>
      <c r="AU20" s="492">
        <f t="shared" si="21"/>
        <v>525458</v>
      </c>
      <c r="AV20" s="492">
        <f t="shared" si="21"/>
        <v>31027</v>
      </c>
      <c r="AW20" s="492">
        <f t="shared" si="13"/>
        <v>0</v>
      </c>
      <c r="AX20" s="493">
        <f t="shared" si="14"/>
        <v>3.29</v>
      </c>
      <c r="AY20" s="493">
        <f t="shared" si="22"/>
        <v>3.29</v>
      </c>
      <c r="AZ20" s="495">
        <f t="shared" si="22"/>
        <v>0</v>
      </c>
    </row>
    <row r="21" spans="1:52" x14ac:dyDescent="0.2">
      <c r="A21" s="220">
        <v>3</v>
      </c>
      <c r="B21" s="221">
        <v>3439</v>
      </c>
      <c r="C21" s="221">
        <v>600010473</v>
      </c>
      <c r="D21" s="221">
        <v>43256791</v>
      </c>
      <c r="E21" s="219" t="s">
        <v>806</v>
      </c>
      <c r="F21" s="221">
        <v>3143</v>
      </c>
      <c r="G21" s="222" t="s">
        <v>630</v>
      </c>
      <c r="H21" s="243" t="s">
        <v>279</v>
      </c>
      <c r="I21" s="494">
        <v>64260</v>
      </c>
      <c r="J21" s="489">
        <v>45442</v>
      </c>
      <c r="K21" s="489">
        <v>0</v>
      </c>
      <c r="L21" s="489">
        <v>15359</v>
      </c>
      <c r="M21" s="489">
        <v>909</v>
      </c>
      <c r="N21" s="489">
        <v>2550</v>
      </c>
      <c r="O21" s="490">
        <v>0.18</v>
      </c>
      <c r="P21" s="491">
        <v>0</v>
      </c>
      <c r="Q21" s="500">
        <v>0.18</v>
      </c>
      <c r="R21" s="502">
        <f t="shared" si="2"/>
        <v>0</v>
      </c>
      <c r="S21" s="492">
        <v>0</v>
      </c>
      <c r="T21" s="492">
        <v>0</v>
      </c>
      <c r="U21" s="492">
        <v>0</v>
      </c>
      <c r="V21" s="492">
        <f t="shared" si="3"/>
        <v>0</v>
      </c>
      <c r="W21" s="492">
        <v>0</v>
      </c>
      <c r="X21" s="492">
        <v>0</v>
      </c>
      <c r="Y21" s="492">
        <v>0</v>
      </c>
      <c r="Z21" s="492">
        <f t="shared" si="4"/>
        <v>0</v>
      </c>
      <c r="AA21" s="492">
        <f t="shared" si="5"/>
        <v>0</v>
      </c>
      <c r="AB21" s="74">
        <f t="shared" si="6"/>
        <v>0</v>
      </c>
      <c r="AC21" s="74">
        <f t="shared" si="7"/>
        <v>0</v>
      </c>
      <c r="AD21" s="492">
        <v>0</v>
      </c>
      <c r="AE21" s="492">
        <v>0</v>
      </c>
      <c r="AF21" s="492">
        <f t="shared" si="8"/>
        <v>0</v>
      </c>
      <c r="AG21" s="492">
        <f t="shared" si="9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18"/>
        <v>0</v>
      </c>
      <c r="AP21" s="493">
        <f t="shared" si="19"/>
        <v>0</v>
      </c>
      <c r="AQ21" s="495">
        <f t="shared" si="15"/>
        <v>0</v>
      </c>
      <c r="AR21" s="501">
        <f t="shared" si="11"/>
        <v>64260</v>
      </c>
      <c r="AS21" s="492">
        <f t="shared" si="12"/>
        <v>45442</v>
      </c>
      <c r="AT21" s="492">
        <f t="shared" si="20"/>
        <v>0</v>
      </c>
      <c r="AU21" s="492">
        <f t="shared" si="21"/>
        <v>15359</v>
      </c>
      <c r="AV21" s="492">
        <f t="shared" si="21"/>
        <v>909</v>
      </c>
      <c r="AW21" s="492">
        <f t="shared" si="13"/>
        <v>2550</v>
      </c>
      <c r="AX21" s="493">
        <f t="shared" si="14"/>
        <v>0.18</v>
      </c>
      <c r="AY21" s="493">
        <f t="shared" si="22"/>
        <v>0</v>
      </c>
      <c r="AZ21" s="495">
        <f t="shared" si="22"/>
        <v>0.18</v>
      </c>
    </row>
    <row r="22" spans="1:52" x14ac:dyDescent="0.2">
      <c r="A22" s="220">
        <v>3</v>
      </c>
      <c r="B22" s="221">
        <v>3439</v>
      </c>
      <c r="C22" s="221">
        <v>600010473</v>
      </c>
      <c r="D22" s="221">
        <v>43256791</v>
      </c>
      <c r="E22" s="219" t="s">
        <v>806</v>
      </c>
      <c r="F22" s="221">
        <v>3143</v>
      </c>
      <c r="G22" s="222" t="s">
        <v>318</v>
      </c>
      <c r="H22" s="223" t="s">
        <v>279</v>
      </c>
      <c r="I22" s="494">
        <v>257925</v>
      </c>
      <c r="J22" s="489">
        <v>160595</v>
      </c>
      <c r="K22" s="489">
        <v>29250</v>
      </c>
      <c r="L22" s="489">
        <v>64168</v>
      </c>
      <c r="M22" s="489">
        <v>3212</v>
      </c>
      <c r="N22" s="489">
        <v>700</v>
      </c>
      <c r="O22" s="490">
        <v>0.35</v>
      </c>
      <c r="P22" s="491">
        <v>0.27999999999999997</v>
      </c>
      <c r="Q22" s="500">
        <v>7.0000000000000007E-2</v>
      </c>
      <c r="R22" s="502">
        <f t="shared" si="2"/>
        <v>0</v>
      </c>
      <c r="S22" s="492">
        <v>0</v>
      </c>
      <c r="T22" s="492">
        <v>0</v>
      </c>
      <c r="U22" s="492">
        <v>0</v>
      </c>
      <c r="V22" s="492">
        <f t="shared" si="3"/>
        <v>0</v>
      </c>
      <c r="W22" s="492">
        <v>0</v>
      </c>
      <c r="X22" s="492">
        <v>0</v>
      </c>
      <c r="Y22" s="492">
        <v>0</v>
      </c>
      <c r="Z22" s="492">
        <f t="shared" si="4"/>
        <v>0</v>
      </c>
      <c r="AA22" s="492">
        <f t="shared" si="5"/>
        <v>0</v>
      </c>
      <c r="AB22" s="74">
        <f t="shared" si="6"/>
        <v>0</v>
      </c>
      <c r="AC22" s="74">
        <f t="shared" si="7"/>
        <v>0</v>
      </c>
      <c r="AD22" s="492">
        <v>0</v>
      </c>
      <c r="AE22" s="492">
        <v>0</v>
      </c>
      <c r="AF22" s="492">
        <f t="shared" si="8"/>
        <v>0</v>
      </c>
      <c r="AG22" s="492">
        <f t="shared" si="9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18"/>
        <v>0</v>
      </c>
      <c r="AP22" s="493">
        <f t="shared" si="19"/>
        <v>0</v>
      </c>
      <c r="AQ22" s="495">
        <f t="shared" si="15"/>
        <v>0</v>
      </c>
      <c r="AR22" s="501">
        <f t="shared" si="11"/>
        <v>257925</v>
      </c>
      <c r="AS22" s="492">
        <f t="shared" si="12"/>
        <v>160595</v>
      </c>
      <c r="AT22" s="492">
        <f t="shared" si="20"/>
        <v>29250</v>
      </c>
      <c r="AU22" s="492">
        <f t="shared" si="21"/>
        <v>64168</v>
      </c>
      <c r="AV22" s="492">
        <f t="shared" si="21"/>
        <v>3212</v>
      </c>
      <c r="AW22" s="492">
        <f t="shared" si="13"/>
        <v>700</v>
      </c>
      <c r="AX22" s="493">
        <f t="shared" si="14"/>
        <v>0.35</v>
      </c>
      <c r="AY22" s="493">
        <f t="shared" si="22"/>
        <v>0.27999999999999997</v>
      </c>
      <c r="AZ22" s="495">
        <f t="shared" si="22"/>
        <v>7.0000000000000007E-2</v>
      </c>
    </row>
    <row r="23" spans="1:52" x14ac:dyDescent="0.2">
      <c r="A23" s="166">
        <v>3</v>
      </c>
      <c r="B23" s="20">
        <v>3439</v>
      </c>
      <c r="C23" s="20">
        <v>600010473</v>
      </c>
      <c r="D23" s="20">
        <v>43256791</v>
      </c>
      <c r="E23" s="175" t="s">
        <v>90</v>
      </c>
      <c r="F23" s="20"/>
      <c r="G23" s="165"/>
      <c r="H23" s="199"/>
      <c r="I23" s="553">
        <v>32114321</v>
      </c>
      <c r="J23" s="550">
        <v>22712505</v>
      </c>
      <c r="K23" s="550">
        <v>423640</v>
      </c>
      <c r="L23" s="550">
        <v>7820016</v>
      </c>
      <c r="M23" s="550">
        <v>454250</v>
      </c>
      <c r="N23" s="550">
        <v>703910</v>
      </c>
      <c r="O23" s="551">
        <v>48.660000000000004</v>
      </c>
      <c r="P23" s="551">
        <v>42.24</v>
      </c>
      <c r="Q23" s="555">
        <v>6.419999999999999</v>
      </c>
      <c r="R23" s="553">
        <f t="shared" ref="R23:AZ23" si="23">SUM(R18:R22)</f>
        <v>0</v>
      </c>
      <c r="S23" s="550">
        <f t="shared" si="23"/>
        <v>0</v>
      </c>
      <c r="T23" s="550">
        <f t="shared" si="23"/>
        <v>0</v>
      </c>
      <c r="U23" s="550">
        <f t="shared" si="23"/>
        <v>0</v>
      </c>
      <c r="V23" s="550">
        <f t="shared" si="23"/>
        <v>0</v>
      </c>
      <c r="W23" s="550">
        <f t="shared" si="23"/>
        <v>0</v>
      </c>
      <c r="X23" s="550">
        <f t="shared" si="23"/>
        <v>0</v>
      </c>
      <c r="Y23" s="550">
        <f t="shared" si="23"/>
        <v>0</v>
      </c>
      <c r="Z23" s="550">
        <f t="shared" si="23"/>
        <v>0</v>
      </c>
      <c r="AA23" s="550">
        <f t="shared" si="23"/>
        <v>0</v>
      </c>
      <c r="AB23" s="550">
        <f t="shared" si="23"/>
        <v>0</v>
      </c>
      <c r="AC23" s="550">
        <f t="shared" si="23"/>
        <v>0</v>
      </c>
      <c r="AD23" s="550">
        <f t="shared" si="23"/>
        <v>0</v>
      </c>
      <c r="AE23" s="550">
        <f t="shared" si="23"/>
        <v>0</v>
      </c>
      <c r="AF23" s="550">
        <f t="shared" si="23"/>
        <v>0</v>
      </c>
      <c r="AG23" s="550">
        <f t="shared" si="23"/>
        <v>0</v>
      </c>
      <c r="AH23" s="551">
        <f t="shared" si="23"/>
        <v>0</v>
      </c>
      <c r="AI23" s="551">
        <f t="shared" si="23"/>
        <v>0</v>
      </c>
      <c r="AJ23" s="551">
        <f t="shared" si="23"/>
        <v>0</v>
      </c>
      <c r="AK23" s="551">
        <f t="shared" si="23"/>
        <v>0</v>
      </c>
      <c r="AL23" s="551">
        <f t="shared" si="23"/>
        <v>0</v>
      </c>
      <c r="AM23" s="551">
        <f t="shared" si="23"/>
        <v>0</v>
      </c>
      <c r="AN23" s="551">
        <f t="shared" si="23"/>
        <v>0</v>
      </c>
      <c r="AO23" s="551">
        <f t="shared" si="23"/>
        <v>0</v>
      </c>
      <c r="AP23" s="551">
        <f t="shared" si="23"/>
        <v>0</v>
      </c>
      <c r="AQ23" s="44">
        <f t="shared" si="23"/>
        <v>0</v>
      </c>
      <c r="AR23" s="557">
        <f t="shared" si="23"/>
        <v>32114321</v>
      </c>
      <c r="AS23" s="550">
        <f t="shared" si="23"/>
        <v>22712505</v>
      </c>
      <c r="AT23" s="550">
        <f t="shared" si="23"/>
        <v>423640</v>
      </c>
      <c r="AU23" s="550">
        <f t="shared" si="23"/>
        <v>7820016</v>
      </c>
      <c r="AV23" s="550">
        <f t="shared" si="23"/>
        <v>454250</v>
      </c>
      <c r="AW23" s="550">
        <f t="shared" si="23"/>
        <v>703910</v>
      </c>
      <c r="AX23" s="551">
        <f t="shared" si="23"/>
        <v>48.660000000000004</v>
      </c>
      <c r="AY23" s="551">
        <f t="shared" si="23"/>
        <v>42.24</v>
      </c>
      <c r="AZ23" s="44">
        <f t="shared" si="23"/>
        <v>6.419999999999999</v>
      </c>
    </row>
    <row r="24" spans="1:52" x14ac:dyDescent="0.2">
      <c r="A24" s="220">
        <v>4</v>
      </c>
      <c r="B24" s="221">
        <v>3438</v>
      </c>
      <c r="C24" s="221">
        <v>600078493</v>
      </c>
      <c r="D24" s="221">
        <v>43257089</v>
      </c>
      <c r="E24" s="219" t="s">
        <v>91</v>
      </c>
      <c r="F24" s="221">
        <v>3113</v>
      </c>
      <c r="G24" s="222" t="s">
        <v>315</v>
      </c>
      <c r="H24" s="223" t="s">
        <v>278</v>
      </c>
      <c r="I24" s="494">
        <v>28640967</v>
      </c>
      <c r="J24" s="489">
        <v>20529894</v>
      </c>
      <c r="K24" s="489">
        <v>144800</v>
      </c>
      <c r="L24" s="489">
        <v>6988046</v>
      </c>
      <c r="M24" s="489">
        <v>410597</v>
      </c>
      <c r="N24" s="489">
        <v>567630</v>
      </c>
      <c r="O24" s="490">
        <v>37.181899999999999</v>
      </c>
      <c r="P24" s="491">
        <v>28.9893</v>
      </c>
      <c r="Q24" s="500">
        <v>8.1925999999999988</v>
      </c>
      <c r="R24" s="502">
        <f t="shared" si="2"/>
        <v>0</v>
      </c>
      <c r="S24" s="492">
        <v>0</v>
      </c>
      <c r="T24" s="492">
        <v>0</v>
      </c>
      <c r="U24" s="492">
        <v>0</v>
      </c>
      <c r="V24" s="492">
        <f t="shared" si="3"/>
        <v>0</v>
      </c>
      <c r="W24" s="492">
        <v>0</v>
      </c>
      <c r="X24" s="492">
        <v>0</v>
      </c>
      <c r="Y24" s="492">
        <v>0</v>
      </c>
      <c r="Z24" s="492">
        <f t="shared" si="4"/>
        <v>0</v>
      </c>
      <c r="AA24" s="492">
        <f t="shared" si="5"/>
        <v>0</v>
      </c>
      <c r="AB24" s="74">
        <f t="shared" si="6"/>
        <v>0</v>
      </c>
      <c r="AC24" s="74">
        <f t="shared" si="7"/>
        <v>0</v>
      </c>
      <c r="AD24" s="492">
        <v>0</v>
      </c>
      <c r="AE24" s="492">
        <v>0</v>
      </c>
      <c r="AF24" s="492">
        <f t="shared" si="8"/>
        <v>0</v>
      </c>
      <c r="AG24" s="492">
        <f t="shared" si="9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ref="AO24:AO27" si="24">AH24+AJ24+AM24+AK24</f>
        <v>0</v>
      </c>
      <c r="AP24" s="493">
        <f t="shared" ref="AP24:AP27" si="25">AI24+AN24+AL24</f>
        <v>0</v>
      </c>
      <c r="AQ24" s="495">
        <f t="shared" si="15"/>
        <v>0</v>
      </c>
      <c r="AR24" s="501">
        <f t="shared" si="11"/>
        <v>28640967</v>
      </c>
      <c r="AS24" s="492">
        <f t="shared" si="12"/>
        <v>20529894</v>
      </c>
      <c r="AT24" s="492">
        <f t="shared" ref="AT24:AT27" si="26">K24+Z24</f>
        <v>144800</v>
      </c>
      <c r="AU24" s="492">
        <f t="shared" ref="AU24:AV27" si="27">L24+AB24</f>
        <v>6988046</v>
      </c>
      <c r="AV24" s="492">
        <f t="shared" si="27"/>
        <v>410597</v>
      </c>
      <c r="AW24" s="492">
        <f t="shared" si="13"/>
        <v>567630</v>
      </c>
      <c r="AX24" s="493">
        <f t="shared" si="14"/>
        <v>37.181899999999999</v>
      </c>
      <c r="AY24" s="493">
        <f t="shared" ref="AY24:AZ27" si="28">P24+AO24</f>
        <v>28.9893</v>
      </c>
      <c r="AZ24" s="495">
        <f t="shared" si="28"/>
        <v>8.1925999999999988</v>
      </c>
    </row>
    <row r="25" spans="1:52" x14ac:dyDescent="0.2">
      <c r="A25" s="220">
        <v>4</v>
      </c>
      <c r="B25" s="221">
        <v>3438</v>
      </c>
      <c r="C25" s="221">
        <v>600078493</v>
      </c>
      <c r="D25" s="221">
        <v>43257089</v>
      </c>
      <c r="E25" s="219" t="s">
        <v>91</v>
      </c>
      <c r="F25" s="221">
        <v>3113</v>
      </c>
      <c r="G25" s="222" t="s">
        <v>313</v>
      </c>
      <c r="H25" s="223" t="s">
        <v>279</v>
      </c>
      <c r="I25" s="494">
        <v>3198756</v>
      </c>
      <c r="J25" s="489">
        <v>2348126</v>
      </c>
      <c r="K25" s="489">
        <v>0</v>
      </c>
      <c r="L25" s="489">
        <v>793667</v>
      </c>
      <c r="M25" s="489">
        <v>46963</v>
      </c>
      <c r="N25" s="489">
        <v>10000</v>
      </c>
      <c r="O25" s="490">
        <v>6.56</v>
      </c>
      <c r="P25" s="491">
        <v>6.56</v>
      </c>
      <c r="Q25" s="500">
        <v>0</v>
      </c>
      <c r="R25" s="502">
        <f t="shared" si="2"/>
        <v>0</v>
      </c>
      <c r="S25" s="492">
        <v>0</v>
      </c>
      <c r="T25" s="492">
        <v>0</v>
      </c>
      <c r="U25" s="492">
        <v>0</v>
      </c>
      <c r="V25" s="492">
        <f t="shared" si="3"/>
        <v>0</v>
      </c>
      <c r="W25" s="492">
        <v>0</v>
      </c>
      <c r="X25" s="492">
        <v>0</v>
      </c>
      <c r="Y25" s="492">
        <v>0</v>
      </c>
      <c r="Z25" s="492">
        <f t="shared" si="4"/>
        <v>0</v>
      </c>
      <c r="AA25" s="492">
        <f t="shared" si="5"/>
        <v>0</v>
      </c>
      <c r="AB25" s="74">
        <f t="shared" si="6"/>
        <v>0</v>
      </c>
      <c r="AC25" s="74">
        <f t="shared" si="7"/>
        <v>0</v>
      </c>
      <c r="AD25" s="492">
        <v>0</v>
      </c>
      <c r="AE25" s="492">
        <v>0</v>
      </c>
      <c r="AF25" s="492">
        <f t="shared" si="8"/>
        <v>0</v>
      </c>
      <c r="AG25" s="492">
        <f t="shared" si="9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24"/>
        <v>0</v>
      </c>
      <c r="AP25" s="493">
        <f t="shared" si="25"/>
        <v>0</v>
      </c>
      <c r="AQ25" s="495">
        <f t="shared" si="15"/>
        <v>0</v>
      </c>
      <c r="AR25" s="501">
        <f t="shared" si="11"/>
        <v>3198756</v>
      </c>
      <c r="AS25" s="492">
        <f t="shared" si="12"/>
        <v>2348126</v>
      </c>
      <c r="AT25" s="492">
        <f t="shared" si="26"/>
        <v>0</v>
      </c>
      <c r="AU25" s="492">
        <f t="shared" si="27"/>
        <v>793667</v>
      </c>
      <c r="AV25" s="492">
        <f t="shared" si="27"/>
        <v>46963</v>
      </c>
      <c r="AW25" s="492">
        <f t="shared" si="13"/>
        <v>10000</v>
      </c>
      <c r="AX25" s="493">
        <f t="shared" si="14"/>
        <v>6.56</v>
      </c>
      <c r="AY25" s="493">
        <f t="shared" si="28"/>
        <v>6.56</v>
      </c>
      <c r="AZ25" s="495">
        <f t="shared" si="28"/>
        <v>0</v>
      </c>
    </row>
    <row r="26" spans="1:52" x14ac:dyDescent="0.2">
      <c r="A26" s="220">
        <v>4</v>
      </c>
      <c r="B26" s="221">
        <v>3438</v>
      </c>
      <c r="C26" s="221">
        <v>600078493</v>
      </c>
      <c r="D26" s="221">
        <v>43257089</v>
      </c>
      <c r="E26" s="219" t="s">
        <v>91</v>
      </c>
      <c r="F26" s="221">
        <v>3143</v>
      </c>
      <c r="G26" s="222" t="s">
        <v>629</v>
      </c>
      <c r="H26" s="243" t="s">
        <v>278</v>
      </c>
      <c r="I26" s="494">
        <v>1865670</v>
      </c>
      <c r="J26" s="489">
        <v>1373836</v>
      </c>
      <c r="K26" s="489">
        <v>0</v>
      </c>
      <c r="L26" s="489">
        <v>464357</v>
      </c>
      <c r="M26" s="489">
        <v>27477</v>
      </c>
      <c r="N26" s="489">
        <v>0</v>
      </c>
      <c r="O26" s="490">
        <v>2.6606999999999998</v>
      </c>
      <c r="P26" s="491">
        <v>2.6606999999999998</v>
      </c>
      <c r="Q26" s="500">
        <v>0</v>
      </c>
      <c r="R26" s="502">
        <f t="shared" si="2"/>
        <v>0</v>
      </c>
      <c r="S26" s="492">
        <v>0</v>
      </c>
      <c r="T26" s="492">
        <v>0</v>
      </c>
      <c r="U26" s="492">
        <v>0</v>
      </c>
      <c r="V26" s="492">
        <f t="shared" si="3"/>
        <v>0</v>
      </c>
      <c r="W26" s="492">
        <v>0</v>
      </c>
      <c r="X26" s="492">
        <v>0</v>
      </c>
      <c r="Y26" s="492">
        <v>0</v>
      </c>
      <c r="Z26" s="492">
        <f t="shared" si="4"/>
        <v>0</v>
      </c>
      <c r="AA26" s="492">
        <f t="shared" si="5"/>
        <v>0</v>
      </c>
      <c r="AB26" s="74">
        <f t="shared" si="6"/>
        <v>0</v>
      </c>
      <c r="AC26" s="74">
        <f t="shared" si="7"/>
        <v>0</v>
      </c>
      <c r="AD26" s="492">
        <v>0</v>
      </c>
      <c r="AE26" s="492">
        <v>0</v>
      </c>
      <c r="AF26" s="492">
        <f t="shared" si="8"/>
        <v>0</v>
      </c>
      <c r="AG26" s="492">
        <f t="shared" si="9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24"/>
        <v>0</v>
      </c>
      <c r="AP26" s="493">
        <f t="shared" si="25"/>
        <v>0</v>
      </c>
      <c r="AQ26" s="495">
        <f t="shared" si="15"/>
        <v>0</v>
      </c>
      <c r="AR26" s="501">
        <f t="shared" si="11"/>
        <v>1865670</v>
      </c>
      <c r="AS26" s="492">
        <f t="shared" si="12"/>
        <v>1373836</v>
      </c>
      <c r="AT26" s="492">
        <f t="shared" si="26"/>
        <v>0</v>
      </c>
      <c r="AU26" s="492">
        <f t="shared" si="27"/>
        <v>464357</v>
      </c>
      <c r="AV26" s="492">
        <f t="shared" si="27"/>
        <v>27477</v>
      </c>
      <c r="AW26" s="492">
        <f t="shared" si="13"/>
        <v>0</v>
      </c>
      <c r="AX26" s="493">
        <f t="shared" si="14"/>
        <v>2.6606999999999998</v>
      </c>
      <c r="AY26" s="493">
        <f t="shared" si="28"/>
        <v>2.6606999999999998</v>
      </c>
      <c r="AZ26" s="495">
        <f t="shared" si="28"/>
        <v>0</v>
      </c>
    </row>
    <row r="27" spans="1:52" x14ac:dyDescent="0.2">
      <c r="A27" s="220">
        <v>4</v>
      </c>
      <c r="B27" s="221">
        <v>3438</v>
      </c>
      <c r="C27" s="221">
        <v>600078493</v>
      </c>
      <c r="D27" s="221">
        <v>43257089</v>
      </c>
      <c r="E27" s="219" t="s">
        <v>91</v>
      </c>
      <c r="F27" s="221">
        <v>3143</v>
      </c>
      <c r="G27" s="222" t="s">
        <v>630</v>
      </c>
      <c r="H27" s="243" t="s">
        <v>279</v>
      </c>
      <c r="I27" s="494">
        <v>65016</v>
      </c>
      <c r="J27" s="489">
        <v>45976</v>
      </c>
      <c r="K27" s="489">
        <v>0</v>
      </c>
      <c r="L27" s="489">
        <v>15540</v>
      </c>
      <c r="M27" s="489">
        <v>920</v>
      </c>
      <c r="N27" s="489">
        <v>2580</v>
      </c>
      <c r="O27" s="490">
        <v>0.18</v>
      </c>
      <c r="P27" s="491">
        <v>0</v>
      </c>
      <c r="Q27" s="500">
        <v>0.18</v>
      </c>
      <c r="R27" s="502">
        <f t="shared" si="2"/>
        <v>0</v>
      </c>
      <c r="S27" s="492">
        <v>0</v>
      </c>
      <c r="T27" s="492">
        <v>0</v>
      </c>
      <c r="U27" s="492">
        <v>0</v>
      </c>
      <c r="V27" s="492">
        <f t="shared" si="3"/>
        <v>0</v>
      </c>
      <c r="W27" s="492">
        <v>0</v>
      </c>
      <c r="X27" s="492">
        <v>0</v>
      </c>
      <c r="Y27" s="492">
        <v>0</v>
      </c>
      <c r="Z27" s="492">
        <f t="shared" si="4"/>
        <v>0</v>
      </c>
      <c r="AA27" s="492">
        <f t="shared" si="5"/>
        <v>0</v>
      </c>
      <c r="AB27" s="74">
        <f t="shared" si="6"/>
        <v>0</v>
      </c>
      <c r="AC27" s="74">
        <f t="shared" si="7"/>
        <v>0</v>
      </c>
      <c r="AD27" s="492">
        <v>0</v>
      </c>
      <c r="AE27" s="492">
        <v>0</v>
      </c>
      <c r="AF27" s="492">
        <f t="shared" si="8"/>
        <v>0</v>
      </c>
      <c r="AG27" s="492">
        <f t="shared" si="9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si="24"/>
        <v>0</v>
      </c>
      <c r="AP27" s="493">
        <f t="shared" si="25"/>
        <v>0</v>
      </c>
      <c r="AQ27" s="495">
        <f t="shared" si="15"/>
        <v>0</v>
      </c>
      <c r="AR27" s="501">
        <f t="shared" si="11"/>
        <v>65016</v>
      </c>
      <c r="AS27" s="492">
        <f t="shared" si="12"/>
        <v>45976</v>
      </c>
      <c r="AT27" s="492">
        <f t="shared" si="26"/>
        <v>0</v>
      </c>
      <c r="AU27" s="492">
        <f t="shared" si="27"/>
        <v>15540</v>
      </c>
      <c r="AV27" s="492">
        <f t="shared" si="27"/>
        <v>920</v>
      </c>
      <c r="AW27" s="492">
        <f t="shared" si="13"/>
        <v>2580</v>
      </c>
      <c r="AX27" s="493">
        <f t="shared" si="14"/>
        <v>0.18</v>
      </c>
      <c r="AY27" s="493">
        <f t="shared" si="28"/>
        <v>0</v>
      </c>
      <c r="AZ27" s="495">
        <f t="shared" si="28"/>
        <v>0.18</v>
      </c>
    </row>
    <row r="28" spans="1:52" x14ac:dyDescent="0.2">
      <c r="A28" s="166">
        <v>4</v>
      </c>
      <c r="B28" s="20">
        <v>3438</v>
      </c>
      <c r="C28" s="20">
        <v>600078493</v>
      </c>
      <c r="D28" s="20">
        <v>43257089</v>
      </c>
      <c r="E28" s="175" t="s">
        <v>92</v>
      </c>
      <c r="F28" s="20"/>
      <c r="G28" s="165"/>
      <c r="H28" s="199"/>
      <c r="I28" s="553">
        <v>33770409</v>
      </c>
      <c r="J28" s="550">
        <v>24297832</v>
      </c>
      <c r="K28" s="550">
        <v>144800</v>
      </c>
      <c r="L28" s="550">
        <v>8261610</v>
      </c>
      <c r="M28" s="550">
        <v>485957</v>
      </c>
      <c r="N28" s="550">
        <v>580210</v>
      </c>
      <c r="O28" s="551">
        <v>46.582599999999999</v>
      </c>
      <c r="P28" s="551">
        <v>38.21</v>
      </c>
      <c r="Q28" s="555">
        <v>8.3725999999999985</v>
      </c>
      <c r="R28" s="553">
        <f t="shared" ref="R28:AZ28" si="29">SUM(R24:R27)</f>
        <v>0</v>
      </c>
      <c r="S28" s="550">
        <f t="shared" si="29"/>
        <v>0</v>
      </c>
      <c r="T28" s="550">
        <f t="shared" si="29"/>
        <v>0</v>
      </c>
      <c r="U28" s="550">
        <f t="shared" si="29"/>
        <v>0</v>
      </c>
      <c r="V28" s="550">
        <f t="shared" si="29"/>
        <v>0</v>
      </c>
      <c r="W28" s="550">
        <f t="shared" si="29"/>
        <v>0</v>
      </c>
      <c r="X28" s="550">
        <f t="shared" si="29"/>
        <v>0</v>
      </c>
      <c r="Y28" s="550">
        <f t="shared" si="29"/>
        <v>0</v>
      </c>
      <c r="Z28" s="550">
        <f t="shared" si="29"/>
        <v>0</v>
      </c>
      <c r="AA28" s="550">
        <f t="shared" si="29"/>
        <v>0</v>
      </c>
      <c r="AB28" s="550">
        <f t="shared" si="29"/>
        <v>0</v>
      </c>
      <c r="AC28" s="550">
        <f t="shared" si="29"/>
        <v>0</v>
      </c>
      <c r="AD28" s="550">
        <f t="shared" si="29"/>
        <v>0</v>
      </c>
      <c r="AE28" s="550">
        <f t="shared" si="29"/>
        <v>0</v>
      </c>
      <c r="AF28" s="550">
        <f t="shared" si="29"/>
        <v>0</v>
      </c>
      <c r="AG28" s="550">
        <f t="shared" si="29"/>
        <v>0</v>
      </c>
      <c r="AH28" s="551">
        <f t="shared" si="29"/>
        <v>0</v>
      </c>
      <c r="AI28" s="551">
        <f t="shared" si="29"/>
        <v>0</v>
      </c>
      <c r="AJ28" s="551">
        <f t="shared" si="29"/>
        <v>0</v>
      </c>
      <c r="AK28" s="551">
        <f t="shared" si="29"/>
        <v>0</v>
      </c>
      <c r="AL28" s="551">
        <f t="shared" si="29"/>
        <v>0</v>
      </c>
      <c r="AM28" s="551">
        <f t="shared" si="29"/>
        <v>0</v>
      </c>
      <c r="AN28" s="551">
        <f t="shared" si="29"/>
        <v>0</v>
      </c>
      <c r="AO28" s="551">
        <f t="shared" si="29"/>
        <v>0</v>
      </c>
      <c r="AP28" s="551">
        <f t="shared" si="29"/>
        <v>0</v>
      </c>
      <c r="AQ28" s="44">
        <f t="shared" si="29"/>
        <v>0</v>
      </c>
      <c r="AR28" s="557">
        <f t="shared" si="29"/>
        <v>33770409</v>
      </c>
      <c r="AS28" s="550">
        <f t="shared" si="29"/>
        <v>24297832</v>
      </c>
      <c r="AT28" s="550">
        <f t="shared" si="29"/>
        <v>144800</v>
      </c>
      <c r="AU28" s="550">
        <f t="shared" si="29"/>
        <v>8261610</v>
      </c>
      <c r="AV28" s="550">
        <f t="shared" si="29"/>
        <v>485957</v>
      </c>
      <c r="AW28" s="550">
        <f t="shared" si="29"/>
        <v>580210</v>
      </c>
      <c r="AX28" s="551">
        <f t="shared" si="29"/>
        <v>46.582599999999999</v>
      </c>
      <c r="AY28" s="551">
        <f t="shared" si="29"/>
        <v>38.21</v>
      </c>
      <c r="AZ28" s="44">
        <f t="shared" si="29"/>
        <v>8.3725999999999985</v>
      </c>
    </row>
    <row r="29" spans="1:52" s="3" customFormat="1" x14ac:dyDescent="0.2">
      <c r="A29" s="220">
        <v>5</v>
      </c>
      <c r="B29" s="221">
        <v>3459</v>
      </c>
      <c r="C29" s="221">
        <v>651040264</v>
      </c>
      <c r="D29" s="221">
        <v>75121531</v>
      </c>
      <c r="E29" s="219" t="s">
        <v>93</v>
      </c>
      <c r="F29" s="221">
        <v>3231</v>
      </c>
      <c r="G29" s="222" t="s">
        <v>317</v>
      </c>
      <c r="H29" s="243" t="s">
        <v>278</v>
      </c>
      <c r="I29" s="494">
        <v>14525757</v>
      </c>
      <c r="J29" s="489">
        <v>10535042</v>
      </c>
      <c r="K29" s="489">
        <v>130000</v>
      </c>
      <c r="L29" s="489">
        <v>3604784</v>
      </c>
      <c r="M29" s="489">
        <v>210701</v>
      </c>
      <c r="N29" s="489">
        <v>45230</v>
      </c>
      <c r="O29" s="490">
        <v>19.572199999999999</v>
      </c>
      <c r="P29" s="491">
        <v>17.488199999999999</v>
      </c>
      <c r="Q29" s="500">
        <v>2.0840000000000001</v>
      </c>
      <c r="R29" s="502">
        <f t="shared" si="2"/>
        <v>0</v>
      </c>
      <c r="S29" s="492">
        <v>0</v>
      </c>
      <c r="T29" s="492">
        <v>0</v>
      </c>
      <c r="U29" s="492">
        <v>0</v>
      </c>
      <c r="V29" s="492">
        <f t="shared" si="3"/>
        <v>0</v>
      </c>
      <c r="W29" s="492">
        <v>0</v>
      </c>
      <c r="X29" s="492">
        <v>0</v>
      </c>
      <c r="Y29" s="492">
        <v>0</v>
      </c>
      <c r="Z29" s="492">
        <f t="shared" si="4"/>
        <v>0</v>
      </c>
      <c r="AA29" s="492">
        <f t="shared" si="5"/>
        <v>0</v>
      </c>
      <c r="AB29" s="74">
        <f t="shared" si="6"/>
        <v>0</v>
      </c>
      <c r="AC29" s="74">
        <f t="shared" si="7"/>
        <v>0</v>
      </c>
      <c r="AD29" s="492">
        <v>0</v>
      </c>
      <c r="AE29" s="492">
        <v>0</v>
      </c>
      <c r="AF29" s="492">
        <f t="shared" si="8"/>
        <v>0</v>
      </c>
      <c r="AG29" s="492">
        <f t="shared" si="9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>AH29+AJ29+AM29+AK29</f>
        <v>0</v>
      </c>
      <c r="AP29" s="493">
        <f>AI29+AN29+AL29</f>
        <v>0</v>
      </c>
      <c r="AQ29" s="495">
        <f t="shared" si="15"/>
        <v>0</v>
      </c>
      <c r="AR29" s="501">
        <f t="shared" si="11"/>
        <v>14525757</v>
      </c>
      <c r="AS29" s="492">
        <f t="shared" si="12"/>
        <v>10535042</v>
      </c>
      <c r="AT29" s="492">
        <f>K29+Z29</f>
        <v>130000</v>
      </c>
      <c r="AU29" s="492">
        <f>L29+AB29</f>
        <v>3604784</v>
      </c>
      <c r="AV29" s="492">
        <f>M29+AC29</f>
        <v>210701</v>
      </c>
      <c r="AW29" s="492">
        <f t="shared" si="13"/>
        <v>45230</v>
      </c>
      <c r="AX29" s="493">
        <f t="shared" si="14"/>
        <v>19.572199999999999</v>
      </c>
      <c r="AY29" s="493">
        <f>P29+AO29</f>
        <v>17.488199999999999</v>
      </c>
      <c r="AZ29" s="495">
        <f>Q29+AP29</f>
        <v>2.0840000000000001</v>
      </c>
    </row>
    <row r="30" spans="1:52" s="3" customFormat="1" x14ac:dyDescent="0.2">
      <c r="A30" s="166">
        <v>5</v>
      </c>
      <c r="B30" s="20">
        <v>3459</v>
      </c>
      <c r="C30" s="20">
        <v>651040264</v>
      </c>
      <c r="D30" s="20">
        <v>75121531</v>
      </c>
      <c r="E30" s="175" t="s">
        <v>94</v>
      </c>
      <c r="F30" s="20"/>
      <c r="G30" s="165"/>
      <c r="H30" s="199"/>
      <c r="I30" s="552">
        <v>14525757</v>
      </c>
      <c r="J30" s="548">
        <v>10535042</v>
      </c>
      <c r="K30" s="548">
        <v>130000</v>
      </c>
      <c r="L30" s="548">
        <v>3604784</v>
      </c>
      <c r="M30" s="548">
        <v>210701</v>
      </c>
      <c r="N30" s="548">
        <v>45230</v>
      </c>
      <c r="O30" s="549">
        <v>19.572199999999999</v>
      </c>
      <c r="P30" s="549">
        <v>17.488199999999999</v>
      </c>
      <c r="Q30" s="554">
        <v>2.0840000000000001</v>
      </c>
      <c r="R30" s="552">
        <f t="shared" ref="R30:AZ30" si="30">SUM(R29)</f>
        <v>0</v>
      </c>
      <c r="S30" s="548">
        <f t="shared" si="30"/>
        <v>0</v>
      </c>
      <c r="T30" s="548">
        <f t="shared" si="30"/>
        <v>0</v>
      </c>
      <c r="U30" s="548">
        <f t="shared" si="30"/>
        <v>0</v>
      </c>
      <c r="V30" s="548">
        <f t="shared" si="30"/>
        <v>0</v>
      </c>
      <c r="W30" s="548">
        <f t="shared" si="30"/>
        <v>0</v>
      </c>
      <c r="X30" s="548">
        <f t="shared" si="30"/>
        <v>0</v>
      </c>
      <c r="Y30" s="548">
        <f t="shared" si="30"/>
        <v>0</v>
      </c>
      <c r="Z30" s="548">
        <f t="shared" si="30"/>
        <v>0</v>
      </c>
      <c r="AA30" s="548">
        <f t="shared" si="30"/>
        <v>0</v>
      </c>
      <c r="AB30" s="548">
        <f t="shared" si="30"/>
        <v>0</v>
      </c>
      <c r="AC30" s="548">
        <f t="shared" si="30"/>
        <v>0</v>
      </c>
      <c r="AD30" s="548">
        <f t="shared" si="30"/>
        <v>0</v>
      </c>
      <c r="AE30" s="548">
        <f t="shared" si="30"/>
        <v>0</v>
      </c>
      <c r="AF30" s="548">
        <f t="shared" si="30"/>
        <v>0</v>
      </c>
      <c r="AG30" s="548">
        <f t="shared" si="30"/>
        <v>0</v>
      </c>
      <c r="AH30" s="549">
        <f t="shared" si="30"/>
        <v>0</v>
      </c>
      <c r="AI30" s="549">
        <f t="shared" si="30"/>
        <v>0</v>
      </c>
      <c r="AJ30" s="549">
        <f t="shared" si="30"/>
        <v>0</v>
      </c>
      <c r="AK30" s="549">
        <f t="shared" si="30"/>
        <v>0</v>
      </c>
      <c r="AL30" s="549">
        <f t="shared" si="30"/>
        <v>0</v>
      </c>
      <c r="AM30" s="549">
        <f t="shared" si="30"/>
        <v>0</v>
      </c>
      <c r="AN30" s="549">
        <f t="shared" si="30"/>
        <v>0</v>
      </c>
      <c r="AO30" s="549">
        <f t="shared" si="30"/>
        <v>0</v>
      </c>
      <c r="AP30" s="549">
        <f t="shared" si="30"/>
        <v>0</v>
      </c>
      <c r="AQ30" s="45">
        <f t="shared" si="30"/>
        <v>0</v>
      </c>
      <c r="AR30" s="556">
        <f t="shared" si="30"/>
        <v>14525757</v>
      </c>
      <c r="AS30" s="548">
        <f t="shared" si="30"/>
        <v>10535042</v>
      </c>
      <c r="AT30" s="548">
        <f t="shared" si="30"/>
        <v>130000</v>
      </c>
      <c r="AU30" s="548">
        <f t="shared" si="30"/>
        <v>3604784</v>
      </c>
      <c r="AV30" s="548">
        <f t="shared" si="30"/>
        <v>210701</v>
      </c>
      <c r="AW30" s="548">
        <f t="shared" si="30"/>
        <v>45230</v>
      </c>
      <c r="AX30" s="549">
        <f t="shared" si="30"/>
        <v>19.572199999999999</v>
      </c>
      <c r="AY30" s="549">
        <f t="shared" si="30"/>
        <v>17.488199999999999</v>
      </c>
      <c r="AZ30" s="45">
        <f t="shared" si="30"/>
        <v>2.0840000000000001</v>
      </c>
    </row>
    <row r="31" spans="1:52" s="3" customFormat="1" x14ac:dyDescent="0.2">
      <c r="A31" s="220">
        <v>6</v>
      </c>
      <c r="B31" s="221">
        <v>3401</v>
      </c>
      <c r="C31" s="221">
        <v>650023404</v>
      </c>
      <c r="D31" s="221">
        <v>70981477</v>
      </c>
      <c r="E31" s="219" t="s">
        <v>95</v>
      </c>
      <c r="F31" s="221">
        <v>3111</v>
      </c>
      <c r="G31" s="222" t="s">
        <v>312</v>
      </c>
      <c r="H31" s="223" t="s">
        <v>278</v>
      </c>
      <c r="I31" s="494">
        <v>1606075</v>
      </c>
      <c r="J31" s="489">
        <v>1155511</v>
      </c>
      <c r="K31" s="489">
        <v>19500</v>
      </c>
      <c r="L31" s="489">
        <v>397154</v>
      </c>
      <c r="M31" s="489">
        <v>23110</v>
      </c>
      <c r="N31" s="489">
        <v>10800</v>
      </c>
      <c r="O31" s="490">
        <v>2.4609000000000001</v>
      </c>
      <c r="P31" s="491">
        <v>1.98</v>
      </c>
      <c r="Q31" s="500">
        <v>0.48089999999999999</v>
      </c>
      <c r="R31" s="502">
        <f t="shared" si="2"/>
        <v>0</v>
      </c>
      <c r="S31" s="492">
        <v>0</v>
      </c>
      <c r="T31" s="492">
        <v>0</v>
      </c>
      <c r="U31" s="492">
        <v>0</v>
      </c>
      <c r="V31" s="492">
        <f t="shared" si="3"/>
        <v>0</v>
      </c>
      <c r="W31" s="492">
        <v>0</v>
      </c>
      <c r="X31" s="492">
        <v>0</v>
      </c>
      <c r="Y31" s="492">
        <v>0</v>
      </c>
      <c r="Z31" s="492">
        <f t="shared" si="4"/>
        <v>0</v>
      </c>
      <c r="AA31" s="492">
        <f t="shared" si="5"/>
        <v>0</v>
      </c>
      <c r="AB31" s="74">
        <f t="shared" si="6"/>
        <v>0</v>
      </c>
      <c r="AC31" s="74">
        <f t="shared" si="7"/>
        <v>0</v>
      </c>
      <c r="AD31" s="492">
        <v>0</v>
      </c>
      <c r="AE31" s="492">
        <v>0</v>
      </c>
      <c r="AF31" s="492">
        <f t="shared" si="8"/>
        <v>0</v>
      </c>
      <c r="AG31" s="492">
        <f t="shared" si="9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ref="AO31:AO36" si="31">AH31+AJ31+AM31+AK31</f>
        <v>0</v>
      </c>
      <c r="AP31" s="493">
        <f t="shared" ref="AP31:AP36" si="32">AI31+AN31+AL31</f>
        <v>0</v>
      </c>
      <c r="AQ31" s="495">
        <f t="shared" si="15"/>
        <v>0</v>
      </c>
      <c r="AR31" s="501">
        <f t="shared" si="11"/>
        <v>1606075</v>
      </c>
      <c r="AS31" s="492">
        <f t="shared" si="12"/>
        <v>1155511</v>
      </c>
      <c r="AT31" s="492">
        <f t="shared" ref="AT31:AT36" si="33">K31+Z31</f>
        <v>19500</v>
      </c>
      <c r="AU31" s="492">
        <f t="shared" ref="AU31:AV36" si="34">L31+AB31</f>
        <v>397154</v>
      </c>
      <c r="AV31" s="492">
        <f t="shared" si="34"/>
        <v>23110</v>
      </c>
      <c r="AW31" s="492">
        <f t="shared" si="13"/>
        <v>10800</v>
      </c>
      <c r="AX31" s="493">
        <f t="shared" si="14"/>
        <v>2.4609000000000001</v>
      </c>
      <c r="AY31" s="493">
        <f t="shared" ref="AY31:AZ36" si="35">P31+AO31</f>
        <v>1.98</v>
      </c>
      <c r="AZ31" s="495">
        <f t="shared" si="35"/>
        <v>0.48089999999999999</v>
      </c>
    </row>
    <row r="32" spans="1:52" x14ac:dyDescent="0.2">
      <c r="A32" s="220">
        <v>6</v>
      </c>
      <c r="B32" s="221">
        <v>3401</v>
      </c>
      <c r="C32" s="221">
        <v>650023404</v>
      </c>
      <c r="D32" s="221">
        <v>70981477</v>
      </c>
      <c r="E32" s="219" t="s">
        <v>95</v>
      </c>
      <c r="F32" s="221">
        <v>3117</v>
      </c>
      <c r="G32" s="222" t="s">
        <v>315</v>
      </c>
      <c r="H32" s="223" t="s">
        <v>278</v>
      </c>
      <c r="I32" s="494">
        <v>3185868</v>
      </c>
      <c r="J32" s="489">
        <v>2278254</v>
      </c>
      <c r="K32" s="489">
        <v>22750</v>
      </c>
      <c r="L32" s="489">
        <v>777739</v>
      </c>
      <c r="M32" s="489">
        <v>45565</v>
      </c>
      <c r="N32" s="489">
        <v>61560</v>
      </c>
      <c r="O32" s="490">
        <v>4.6949000000000005</v>
      </c>
      <c r="P32" s="491">
        <v>2.9705000000000004</v>
      </c>
      <c r="Q32" s="500">
        <v>1.7243999999999999</v>
      </c>
      <c r="R32" s="502">
        <f t="shared" si="2"/>
        <v>0</v>
      </c>
      <c r="S32" s="492">
        <v>0</v>
      </c>
      <c r="T32" s="492">
        <v>0</v>
      </c>
      <c r="U32" s="492">
        <v>0</v>
      </c>
      <c r="V32" s="492">
        <f t="shared" si="3"/>
        <v>0</v>
      </c>
      <c r="W32" s="492">
        <v>0</v>
      </c>
      <c r="X32" s="492">
        <v>0</v>
      </c>
      <c r="Y32" s="492">
        <v>0</v>
      </c>
      <c r="Z32" s="492">
        <f t="shared" si="4"/>
        <v>0</v>
      </c>
      <c r="AA32" s="492">
        <f t="shared" si="5"/>
        <v>0</v>
      </c>
      <c r="AB32" s="74">
        <f t="shared" si="6"/>
        <v>0</v>
      </c>
      <c r="AC32" s="74">
        <f t="shared" si="7"/>
        <v>0</v>
      </c>
      <c r="AD32" s="492">
        <v>0</v>
      </c>
      <c r="AE32" s="492">
        <v>0</v>
      </c>
      <c r="AF32" s="492">
        <f t="shared" si="8"/>
        <v>0</v>
      </c>
      <c r="AG32" s="492">
        <f t="shared" si="9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si="31"/>
        <v>0</v>
      </c>
      <c r="AP32" s="493">
        <f t="shared" si="32"/>
        <v>0</v>
      </c>
      <c r="AQ32" s="495">
        <f t="shared" si="15"/>
        <v>0</v>
      </c>
      <c r="AR32" s="501">
        <f t="shared" si="11"/>
        <v>3185868</v>
      </c>
      <c r="AS32" s="492">
        <f t="shared" si="12"/>
        <v>2278254</v>
      </c>
      <c r="AT32" s="492">
        <f t="shared" si="33"/>
        <v>22750</v>
      </c>
      <c r="AU32" s="492">
        <f t="shared" si="34"/>
        <v>777739</v>
      </c>
      <c r="AV32" s="492">
        <f t="shared" si="34"/>
        <v>45565</v>
      </c>
      <c r="AW32" s="492">
        <f t="shared" si="13"/>
        <v>61560</v>
      </c>
      <c r="AX32" s="493">
        <f t="shared" si="14"/>
        <v>4.6949000000000005</v>
      </c>
      <c r="AY32" s="493">
        <f t="shared" si="35"/>
        <v>2.9705000000000004</v>
      </c>
      <c r="AZ32" s="495">
        <f t="shared" si="35"/>
        <v>1.7243999999999999</v>
      </c>
    </row>
    <row r="33" spans="1:52" x14ac:dyDescent="0.2">
      <c r="A33" s="220">
        <v>6</v>
      </c>
      <c r="B33" s="221">
        <v>3401</v>
      </c>
      <c r="C33" s="221">
        <v>650023404</v>
      </c>
      <c r="D33" s="221">
        <v>70981477</v>
      </c>
      <c r="E33" s="219" t="s">
        <v>95</v>
      </c>
      <c r="F33" s="221">
        <v>3117</v>
      </c>
      <c r="G33" s="222" t="s">
        <v>320</v>
      </c>
      <c r="H33" s="223" t="s">
        <v>279</v>
      </c>
      <c r="I33" s="494">
        <v>384272</v>
      </c>
      <c r="J33" s="489">
        <v>282969</v>
      </c>
      <c r="K33" s="489">
        <v>0</v>
      </c>
      <c r="L33" s="489">
        <v>95644</v>
      </c>
      <c r="M33" s="489">
        <v>5659</v>
      </c>
      <c r="N33" s="489">
        <v>0</v>
      </c>
      <c r="O33" s="490">
        <v>0.8</v>
      </c>
      <c r="P33" s="491">
        <v>0.8</v>
      </c>
      <c r="Q33" s="500">
        <v>0</v>
      </c>
      <c r="R33" s="502">
        <f t="shared" si="2"/>
        <v>0</v>
      </c>
      <c r="S33" s="492">
        <v>0</v>
      </c>
      <c r="T33" s="492">
        <v>0</v>
      </c>
      <c r="U33" s="492">
        <v>0</v>
      </c>
      <c r="V33" s="492">
        <f t="shared" si="3"/>
        <v>0</v>
      </c>
      <c r="W33" s="492">
        <v>0</v>
      </c>
      <c r="X33" s="492">
        <v>0</v>
      </c>
      <c r="Y33" s="492">
        <v>0</v>
      </c>
      <c r="Z33" s="492">
        <f t="shared" si="4"/>
        <v>0</v>
      </c>
      <c r="AA33" s="492">
        <f t="shared" si="5"/>
        <v>0</v>
      </c>
      <c r="AB33" s="74">
        <f t="shared" si="6"/>
        <v>0</v>
      </c>
      <c r="AC33" s="74">
        <f t="shared" si="7"/>
        <v>0</v>
      </c>
      <c r="AD33" s="492">
        <v>0</v>
      </c>
      <c r="AE33" s="492">
        <v>0</v>
      </c>
      <c r="AF33" s="492">
        <f t="shared" si="8"/>
        <v>0</v>
      </c>
      <c r="AG33" s="492">
        <f t="shared" si="9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si="31"/>
        <v>0</v>
      </c>
      <c r="AP33" s="493">
        <f t="shared" si="32"/>
        <v>0</v>
      </c>
      <c r="AQ33" s="495">
        <f t="shared" si="15"/>
        <v>0</v>
      </c>
      <c r="AR33" s="501">
        <f t="shared" si="11"/>
        <v>384272</v>
      </c>
      <c r="AS33" s="492">
        <f t="shared" si="12"/>
        <v>282969</v>
      </c>
      <c r="AT33" s="492">
        <f t="shared" si="33"/>
        <v>0</v>
      </c>
      <c r="AU33" s="492">
        <f t="shared" si="34"/>
        <v>95644</v>
      </c>
      <c r="AV33" s="492">
        <f t="shared" si="34"/>
        <v>5659</v>
      </c>
      <c r="AW33" s="492">
        <f t="shared" si="13"/>
        <v>0</v>
      </c>
      <c r="AX33" s="493">
        <f t="shared" si="14"/>
        <v>0.8</v>
      </c>
      <c r="AY33" s="493">
        <f t="shared" si="35"/>
        <v>0.8</v>
      </c>
      <c r="AZ33" s="495">
        <f t="shared" si="35"/>
        <v>0</v>
      </c>
    </row>
    <row r="34" spans="1:52" x14ac:dyDescent="0.2">
      <c r="A34" s="220">
        <v>6</v>
      </c>
      <c r="B34" s="221">
        <v>3401</v>
      </c>
      <c r="C34" s="221">
        <v>650023404</v>
      </c>
      <c r="D34" s="221">
        <v>70981477</v>
      </c>
      <c r="E34" s="219" t="s">
        <v>95</v>
      </c>
      <c r="F34" s="221">
        <v>3141</v>
      </c>
      <c r="G34" s="222" t="s">
        <v>316</v>
      </c>
      <c r="H34" s="223" t="s">
        <v>279</v>
      </c>
      <c r="I34" s="494">
        <v>820907</v>
      </c>
      <c r="J34" s="489">
        <v>592328</v>
      </c>
      <c r="K34" s="489">
        <v>9750</v>
      </c>
      <c r="L34" s="489">
        <v>203502</v>
      </c>
      <c r="M34" s="489">
        <v>11847</v>
      </c>
      <c r="N34" s="489">
        <v>3480</v>
      </c>
      <c r="O34" s="490">
        <v>1.88</v>
      </c>
      <c r="P34" s="491">
        <v>0</v>
      </c>
      <c r="Q34" s="500">
        <v>1.88</v>
      </c>
      <c r="R34" s="502">
        <f t="shared" si="2"/>
        <v>0</v>
      </c>
      <c r="S34" s="492">
        <v>0</v>
      </c>
      <c r="T34" s="492">
        <v>0</v>
      </c>
      <c r="U34" s="492">
        <v>0</v>
      </c>
      <c r="V34" s="492">
        <f t="shared" si="3"/>
        <v>0</v>
      </c>
      <c r="W34" s="492">
        <v>0</v>
      </c>
      <c r="X34" s="492">
        <v>0</v>
      </c>
      <c r="Y34" s="492">
        <v>0</v>
      </c>
      <c r="Z34" s="492">
        <f t="shared" si="4"/>
        <v>0</v>
      </c>
      <c r="AA34" s="492">
        <f t="shared" si="5"/>
        <v>0</v>
      </c>
      <c r="AB34" s="74">
        <f t="shared" si="6"/>
        <v>0</v>
      </c>
      <c r="AC34" s="74">
        <f t="shared" si="7"/>
        <v>0</v>
      </c>
      <c r="AD34" s="492">
        <v>0</v>
      </c>
      <c r="AE34" s="492">
        <v>0</v>
      </c>
      <c r="AF34" s="492">
        <f t="shared" si="8"/>
        <v>0</v>
      </c>
      <c r="AG34" s="492">
        <f t="shared" si="9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31"/>
        <v>0</v>
      </c>
      <c r="AP34" s="493">
        <f t="shared" si="32"/>
        <v>0</v>
      </c>
      <c r="AQ34" s="495">
        <f t="shared" si="15"/>
        <v>0</v>
      </c>
      <c r="AR34" s="501">
        <f t="shared" si="11"/>
        <v>820907</v>
      </c>
      <c r="AS34" s="492">
        <f t="shared" si="12"/>
        <v>592328</v>
      </c>
      <c r="AT34" s="492">
        <f t="shared" si="33"/>
        <v>9750</v>
      </c>
      <c r="AU34" s="492">
        <f t="shared" si="34"/>
        <v>203502</v>
      </c>
      <c r="AV34" s="492">
        <f t="shared" si="34"/>
        <v>11847</v>
      </c>
      <c r="AW34" s="492">
        <f t="shared" si="13"/>
        <v>3480</v>
      </c>
      <c r="AX34" s="493">
        <f t="shared" si="14"/>
        <v>1.88</v>
      </c>
      <c r="AY34" s="493">
        <f t="shared" si="35"/>
        <v>0</v>
      </c>
      <c r="AZ34" s="495">
        <f t="shared" si="35"/>
        <v>1.88</v>
      </c>
    </row>
    <row r="35" spans="1:52" x14ac:dyDescent="0.2">
      <c r="A35" s="220">
        <v>6</v>
      </c>
      <c r="B35" s="221">
        <v>3401</v>
      </c>
      <c r="C35" s="221">
        <v>650023404</v>
      </c>
      <c r="D35" s="221">
        <v>70981477</v>
      </c>
      <c r="E35" s="219" t="s">
        <v>95</v>
      </c>
      <c r="F35" s="221">
        <v>3143</v>
      </c>
      <c r="G35" s="222" t="s">
        <v>629</v>
      </c>
      <c r="H35" s="243" t="s">
        <v>278</v>
      </c>
      <c r="I35" s="494">
        <v>730860</v>
      </c>
      <c r="J35" s="489">
        <v>538188</v>
      </c>
      <c r="K35" s="489">
        <v>0</v>
      </c>
      <c r="L35" s="489">
        <v>181908</v>
      </c>
      <c r="M35" s="489">
        <v>10764</v>
      </c>
      <c r="N35" s="489">
        <v>0</v>
      </c>
      <c r="O35" s="490">
        <v>1</v>
      </c>
      <c r="P35" s="491">
        <v>1</v>
      </c>
      <c r="Q35" s="500">
        <v>0</v>
      </c>
      <c r="R35" s="502">
        <f t="shared" si="2"/>
        <v>0</v>
      </c>
      <c r="S35" s="492">
        <v>0</v>
      </c>
      <c r="T35" s="492">
        <v>0</v>
      </c>
      <c r="U35" s="492">
        <v>0</v>
      </c>
      <c r="V35" s="492">
        <f t="shared" si="3"/>
        <v>0</v>
      </c>
      <c r="W35" s="492">
        <v>0</v>
      </c>
      <c r="X35" s="492">
        <v>0</v>
      </c>
      <c r="Y35" s="492">
        <v>0</v>
      </c>
      <c r="Z35" s="492">
        <f t="shared" si="4"/>
        <v>0</v>
      </c>
      <c r="AA35" s="492">
        <f t="shared" si="5"/>
        <v>0</v>
      </c>
      <c r="AB35" s="74">
        <f t="shared" si="6"/>
        <v>0</v>
      </c>
      <c r="AC35" s="74">
        <f t="shared" si="7"/>
        <v>0</v>
      </c>
      <c r="AD35" s="492">
        <v>0</v>
      </c>
      <c r="AE35" s="492">
        <v>0</v>
      </c>
      <c r="AF35" s="492">
        <f t="shared" si="8"/>
        <v>0</v>
      </c>
      <c r="AG35" s="492">
        <f t="shared" si="9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31"/>
        <v>0</v>
      </c>
      <c r="AP35" s="493">
        <f t="shared" si="32"/>
        <v>0</v>
      </c>
      <c r="AQ35" s="495">
        <f t="shared" si="15"/>
        <v>0</v>
      </c>
      <c r="AR35" s="501">
        <f t="shared" si="11"/>
        <v>730860</v>
      </c>
      <c r="AS35" s="492">
        <f t="shared" si="12"/>
        <v>538188</v>
      </c>
      <c r="AT35" s="492">
        <f t="shared" si="33"/>
        <v>0</v>
      </c>
      <c r="AU35" s="492">
        <f t="shared" si="34"/>
        <v>181908</v>
      </c>
      <c r="AV35" s="492">
        <f t="shared" si="34"/>
        <v>10764</v>
      </c>
      <c r="AW35" s="492">
        <f t="shared" si="13"/>
        <v>0</v>
      </c>
      <c r="AX35" s="493">
        <f t="shared" si="14"/>
        <v>1</v>
      </c>
      <c r="AY35" s="493">
        <f t="shared" si="35"/>
        <v>1</v>
      </c>
      <c r="AZ35" s="495">
        <f t="shared" si="35"/>
        <v>0</v>
      </c>
    </row>
    <row r="36" spans="1:52" x14ac:dyDescent="0.2">
      <c r="A36" s="220">
        <v>6</v>
      </c>
      <c r="B36" s="221">
        <v>3401</v>
      </c>
      <c r="C36" s="221">
        <v>650023404</v>
      </c>
      <c r="D36" s="221">
        <v>70981477</v>
      </c>
      <c r="E36" s="219" t="s">
        <v>95</v>
      </c>
      <c r="F36" s="221">
        <v>3143</v>
      </c>
      <c r="G36" s="222" t="s">
        <v>630</v>
      </c>
      <c r="H36" s="243" t="s">
        <v>279</v>
      </c>
      <c r="I36" s="494">
        <v>21924</v>
      </c>
      <c r="J36" s="489">
        <v>15504</v>
      </c>
      <c r="K36" s="489">
        <v>0</v>
      </c>
      <c r="L36" s="489">
        <v>5240</v>
      </c>
      <c r="M36" s="489">
        <v>310</v>
      </c>
      <c r="N36" s="489">
        <v>870</v>
      </c>
      <c r="O36" s="490">
        <v>0.06</v>
      </c>
      <c r="P36" s="491">
        <v>0</v>
      </c>
      <c r="Q36" s="500">
        <v>0.06</v>
      </c>
      <c r="R36" s="502">
        <f t="shared" si="2"/>
        <v>0</v>
      </c>
      <c r="S36" s="492">
        <v>0</v>
      </c>
      <c r="T36" s="492">
        <v>0</v>
      </c>
      <c r="U36" s="492">
        <v>0</v>
      </c>
      <c r="V36" s="492">
        <f t="shared" si="3"/>
        <v>0</v>
      </c>
      <c r="W36" s="492">
        <v>0</v>
      </c>
      <c r="X36" s="492">
        <v>0</v>
      </c>
      <c r="Y36" s="492">
        <v>0</v>
      </c>
      <c r="Z36" s="492">
        <f t="shared" si="4"/>
        <v>0</v>
      </c>
      <c r="AA36" s="492">
        <f t="shared" si="5"/>
        <v>0</v>
      </c>
      <c r="AB36" s="74">
        <f t="shared" si="6"/>
        <v>0</v>
      </c>
      <c r="AC36" s="74">
        <f t="shared" si="7"/>
        <v>0</v>
      </c>
      <c r="AD36" s="492">
        <v>0</v>
      </c>
      <c r="AE36" s="492">
        <v>0</v>
      </c>
      <c r="AF36" s="492">
        <f t="shared" si="8"/>
        <v>0</v>
      </c>
      <c r="AG36" s="492">
        <f t="shared" si="9"/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31"/>
        <v>0</v>
      </c>
      <c r="AP36" s="493">
        <f t="shared" si="32"/>
        <v>0</v>
      </c>
      <c r="AQ36" s="495">
        <f t="shared" si="15"/>
        <v>0</v>
      </c>
      <c r="AR36" s="501">
        <f t="shared" si="11"/>
        <v>21924</v>
      </c>
      <c r="AS36" s="492">
        <f t="shared" si="12"/>
        <v>15504</v>
      </c>
      <c r="AT36" s="492">
        <f t="shared" si="33"/>
        <v>0</v>
      </c>
      <c r="AU36" s="492">
        <f t="shared" si="34"/>
        <v>5240</v>
      </c>
      <c r="AV36" s="492">
        <f t="shared" si="34"/>
        <v>310</v>
      </c>
      <c r="AW36" s="492">
        <f t="shared" si="13"/>
        <v>870</v>
      </c>
      <c r="AX36" s="493">
        <f t="shared" si="14"/>
        <v>0.06</v>
      </c>
      <c r="AY36" s="493">
        <f t="shared" si="35"/>
        <v>0</v>
      </c>
      <c r="AZ36" s="495">
        <f t="shared" si="35"/>
        <v>0.06</v>
      </c>
    </row>
    <row r="37" spans="1:52" x14ac:dyDescent="0.2">
      <c r="A37" s="166">
        <v>6</v>
      </c>
      <c r="B37" s="20">
        <v>3401</v>
      </c>
      <c r="C37" s="20">
        <v>650023404</v>
      </c>
      <c r="D37" s="20">
        <v>70981477</v>
      </c>
      <c r="E37" s="175" t="s">
        <v>96</v>
      </c>
      <c r="F37" s="20"/>
      <c r="G37" s="165"/>
      <c r="H37" s="199"/>
      <c r="I37" s="552">
        <v>6749906</v>
      </c>
      <c r="J37" s="548">
        <v>4862754</v>
      </c>
      <c r="K37" s="548">
        <v>52000</v>
      </c>
      <c r="L37" s="548">
        <v>1661187</v>
      </c>
      <c r="M37" s="548">
        <v>97255</v>
      </c>
      <c r="N37" s="548">
        <v>76710</v>
      </c>
      <c r="O37" s="549">
        <v>10.895800000000001</v>
      </c>
      <c r="P37" s="549">
        <v>6.7504999999999997</v>
      </c>
      <c r="Q37" s="554">
        <v>4.1452999999999998</v>
      </c>
      <c r="R37" s="552">
        <f t="shared" ref="R37:AZ37" si="36">SUM(R31:R36)</f>
        <v>0</v>
      </c>
      <c r="S37" s="548">
        <f t="shared" si="36"/>
        <v>0</v>
      </c>
      <c r="T37" s="548">
        <f t="shared" si="36"/>
        <v>0</v>
      </c>
      <c r="U37" s="548">
        <f t="shared" si="36"/>
        <v>0</v>
      </c>
      <c r="V37" s="548">
        <f t="shared" si="36"/>
        <v>0</v>
      </c>
      <c r="W37" s="548">
        <f t="shared" si="36"/>
        <v>0</v>
      </c>
      <c r="X37" s="548">
        <f t="shared" si="36"/>
        <v>0</v>
      </c>
      <c r="Y37" s="548">
        <f t="shared" si="36"/>
        <v>0</v>
      </c>
      <c r="Z37" s="548">
        <f t="shared" si="36"/>
        <v>0</v>
      </c>
      <c r="AA37" s="548">
        <f t="shared" si="36"/>
        <v>0</v>
      </c>
      <c r="AB37" s="548">
        <f t="shared" si="36"/>
        <v>0</v>
      </c>
      <c r="AC37" s="548">
        <f t="shared" si="36"/>
        <v>0</v>
      </c>
      <c r="AD37" s="548">
        <f t="shared" si="36"/>
        <v>0</v>
      </c>
      <c r="AE37" s="548">
        <f t="shared" si="36"/>
        <v>0</v>
      </c>
      <c r="AF37" s="548">
        <f t="shared" si="36"/>
        <v>0</v>
      </c>
      <c r="AG37" s="548">
        <f t="shared" si="36"/>
        <v>0</v>
      </c>
      <c r="AH37" s="549">
        <f t="shared" si="36"/>
        <v>0</v>
      </c>
      <c r="AI37" s="549">
        <f t="shared" si="36"/>
        <v>0</v>
      </c>
      <c r="AJ37" s="549">
        <f t="shared" si="36"/>
        <v>0</v>
      </c>
      <c r="AK37" s="549">
        <f t="shared" si="36"/>
        <v>0</v>
      </c>
      <c r="AL37" s="549">
        <f t="shared" si="36"/>
        <v>0</v>
      </c>
      <c r="AM37" s="549">
        <f t="shared" si="36"/>
        <v>0</v>
      </c>
      <c r="AN37" s="549">
        <f t="shared" si="36"/>
        <v>0</v>
      </c>
      <c r="AO37" s="549">
        <f t="shared" si="36"/>
        <v>0</v>
      </c>
      <c r="AP37" s="549">
        <f t="shared" si="36"/>
        <v>0</v>
      </c>
      <c r="AQ37" s="45">
        <f t="shared" si="36"/>
        <v>0</v>
      </c>
      <c r="AR37" s="556">
        <f t="shared" si="36"/>
        <v>6749906</v>
      </c>
      <c r="AS37" s="548">
        <f t="shared" si="36"/>
        <v>4862754</v>
      </c>
      <c r="AT37" s="548">
        <f t="shared" si="36"/>
        <v>52000</v>
      </c>
      <c r="AU37" s="548">
        <f t="shared" si="36"/>
        <v>1661187</v>
      </c>
      <c r="AV37" s="548">
        <f t="shared" si="36"/>
        <v>97255</v>
      </c>
      <c r="AW37" s="548">
        <f t="shared" si="36"/>
        <v>76710</v>
      </c>
      <c r="AX37" s="549">
        <f t="shared" si="36"/>
        <v>10.895800000000001</v>
      </c>
      <c r="AY37" s="549">
        <f t="shared" si="36"/>
        <v>6.7504999999999997</v>
      </c>
      <c r="AZ37" s="45">
        <f t="shared" si="36"/>
        <v>4.1452999999999998</v>
      </c>
    </row>
    <row r="38" spans="1:52" x14ac:dyDescent="0.2">
      <c r="A38" s="220">
        <v>7</v>
      </c>
      <c r="B38" s="221">
        <v>3404</v>
      </c>
      <c r="C38" s="221">
        <v>650023021</v>
      </c>
      <c r="D38" s="221">
        <v>70982597</v>
      </c>
      <c r="E38" s="219" t="s">
        <v>97</v>
      </c>
      <c r="F38" s="221">
        <v>3111</v>
      </c>
      <c r="G38" s="222" t="s">
        <v>312</v>
      </c>
      <c r="H38" s="223" t="s">
        <v>278</v>
      </c>
      <c r="I38" s="494">
        <v>6281171</v>
      </c>
      <c r="J38" s="489">
        <v>4585329</v>
      </c>
      <c r="K38" s="489">
        <v>13000</v>
      </c>
      <c r="L38" s="489">
        <v>1554235</v>
      </c>
      <c r="M38" s="489">
        <v>91707</v>
      </c>
      <c r="N38" s="489">
        <v>36900</v>
      </c>
      <c r="O38" s="490">
        <v>9.9405000000000001</v>
      </c>
      <c r="P38" s="491">
        <v>8.0968</v>
      </c>
      <c r="Q38" s="500">
        <v>1.8436999999999999</v>
      </c>
      <c r="R38" s="502">
        <f t="shared" si="2"/>
        <v>0</v>
      </c>
      <c r="S38" s="492">
        <v>0</v>
      </c>
      <c r="T38" s="492">
        <v>0</v>
      </c>
      <c r="U38" s="492">
        <v>0</v>
      </c>
      <c r="V38" s="492">
        <f t="shared" si="3"/>
        <v>0</v>
      </c>
      <c r="W38" s="492">
        <v>0</v>
      </c>
      <c r="X38" s="492">
        <v>0</v>
      </c>
      <c r="Y38" s="492">
        <v>0</v>
      </c>
      <c r="Z38" s="492">
        <f t="shared" si="4"/>
        <v>0</v>
      </c>
      <c r="AA38" s="492">
        <f t="shared" si="5"/>
        <v>0</v>
      </c>
      <c r="AB38" s="74">
        <f t="shared" si="6"/>
        <v>0</v>
      </c>
      <c r="AC38" s="74">
        <f t="shared" si="7"/>
        <v>0</v>
      </c>
      <c r="AD38" s="492">
        <v>0</v>
      </c>
      <c r="AE38" s="492">
        <v>0</v>
      </c>
      <c r="AF38" s="492">
        <f t="shared" si="8"/>
        <v>0</v>
      </c>
      <c r="AG38" s="492">
        <f t="shared" si="9"/>
        <v>0</v>
      </c>
      <c r="AH38" s="493">
        <v>0</v>
      </c>
      <c r="AI38" s="493">
        <v>0</v>
      </c>
      <c r="AJ38" s="493">
        <v>0</v>
      </c>
      <c r="AK38" s="493">
        <v>0</v>
      </c>
      <c r="AL38" s="493">
        <v>0</v>
      </c>
      <c r="AM38" s="493">
        <v>0</v>
      </c>
      <c r="AN38" s="493">
        <v>0</v>
      </c>
      <c r="AO38" s="493">
        <f t="shared" ref="AO38:AO43" si="37">AH38+AJ38+AM38+AK38</f>
        <v>0</v>
      </c>
      <c r="AP38" s="493">
        <f t="shared" ref="AP38:AP43" si="38">AI38+AN38+AL38</f>
        <v>0</v>
      </c>
      <c r="AQ38" s="495">
        <f t="shared" si="15"/>
        <v>0</v>
      </c>
      <c r="AR38" s="501">
        <f t="shared" si="11"/>
        <v>6281171</v>
      </c>
      <c r="AS38" s="492">
        <f t="shared" si="12"/>
        <v>4585329</v>
      </c>
      <c r="AT38" s="492">
        <f t="shared" ref="AT38:AT43" si="39">K38+Z38</f>
        <v>13000</v>
      </c>
      <c r="AU38" s="492">
        <f t="shared" ref="AU38:AV43" si="40">L38+AB38</f>
        <v>1554235</v>
      </c>
      <c r="AV38" s="492">
        <f t="shared" si="40"/>
        <v>91707</v>
      </c>
      <c r="AW38" s="492">
        <f t="shared" si="13"/>
        <v>36900</v>
      </c>
      <c r="AX38" s="493">
        <f t="shared" si="14"/>
        <v>9.9405000000000001</v>
      </c>
      <c r="AY38" s="493">
        <f t="shared" ref="AY38:AZ43" si="41">P38+AO38</f>
        <v>8.0968</v>
      </c>
      <c r="AZ38" s="495">
        <f t="shared" si="41"/>
        <v>1.8436999999999999</v>
      </c>
    </row>
    <row r="39" spans="1:52" x14ac:dyDescent="0.2">
      <c r="A39" s="220">
        <v>7</v>
      </c>
      <c r="B39" s="221">
        <v>3404</v>
      </c>
      <c r="C39" s="221">
        <v>650023021</v>
      </c>
      <c r="D39" s="221">
        <v>70982597</v>
      </c>
      <c r="E39" s="219" t="s">
        <v>97</v>
      </c>
      <c r="F39" s="221">
        <v>3113</v>
      </c>
      <c r="G39" s="222" t="s">
        <v>315</v>
      </c>
      <c r="H39" s="223" t="s">
        <v>278</v>
      </c>
      <c r="I39" s="494">
        <v>20020383</v>
      </c>
      <c r="J39" s="489">
        <v>14294581</v>
      </c>
      <c r="K39" s="489">
        <v>144800</v>
      </c>
      <c r="L39" s="489">
        <v>4880511</v>
      </c>
      <c r="M39" s="489">
        <v>285891</v>
      </c>
      <c r="N39" s="489">
        <v>414600</v>
      </c>
      <c r="O39" s="490">
        <v>27.722100000000001</v>
      </c>
      <c r="P39" s="491">
        <v>20.502500000000001</v>
      </c>
      <c r="Q39" s="500">
        <v>7.2195999999999998</v>
      </c>
      <c r="R39" s="502">
        <f t="shared" si="2"/>
        <v>0</v>
      </c>
      <c r="S39" s="492">
        <v>0</v>
      </c>
      <c r="T39" s="492">
        <v>0</v>
      </c>
      <c r="U39" s="492">
        <v>0</v>
      </c>
      <c r="V39" s="492">
        <f t="shared" si="3"/>
        <v>0</v>
      </c>
      <c r="W39" s="492">
        <v>0</v>
      </c>
      <c r="X39" s="492">
        <v>0</v>
      </c>
      <c r="Y39" s="492">
        <v>0</v>
      </c>
      <c r="Z39" s="492">
        <f t="shared" si="4"/>
        <v>0</v>
      </c>
      <c r="AA39" s="492">
        <f t="shared" si="5"/>
        <v>0</v>
      </c>
      <c r="AB39" s="74">
        <f t="shared" si="6"/>
        <v>0</v>
      </c>
      <c r="AC39" s="74">
        <f t="shared" si="7"/>
        <v>0</v>
      </c>
      <c r="AD39" s="492">
        <v>0</v>
      </c>
      <c r="AE39" s="492">
        <v>0</v>
      </c>
      <c r="AF39" s="492">
        <f t="shared" si="8"/>
        <v>0</v>
      </c>
      <c r="AG39" s="492">
        <f t="shared" si="9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si="37"/>
        <v>0</v>
      </c>
      <c r="AP39" s="493">
        <f t="shared" si="38"/>
        <v>0</v>
      </c>
      <c r="AQ39" s="495">
        <f t="shared" si="15"/>
        <v>0</v>
      </c>
      <c r="AR39" s="501">
        <f t="shared" si="11"/>
        <v>20020383</v>
      </c>
      <c r="AS39" s="492">
        <f t="shared" si="12"/>
        <v>14294581</v>
      </c>
      <c r="AT39" s="492">
        <f t="shared" si="39"/>
        <v>144800</v>
      </c>
      <c r="AU39" s="492">
        <f t="shared" si="40"/>
        <v>4880511</v>
      </c>
      <c r="AV39" s="492">
        <f t="shared" si="40"/>
        <v>285891</v>
      </c>
      <c r="AW39" s="492">
        <f t="shared" si="13"/>
        <v>414600</v>
      </c>
      <c r="AX39" s="493">
        <f t="shared" si="14"/>
        <v>27.722100000000001</v>
      </c>
      <c r="AY39" s="493">
        <f t="shared" si="41"/>
        <v>20.502500000000001</v>
      </c>
      <c r="AZ39" s="495">
        <f t="shared" si="41"/>
        <v>7.2195999999999998</v>
      </c>
    </row>
    <row r="40" spans="1:52" x14ac:dyDescent="0.2">
      <c r="A40" s="220">
        <v>7</v>
      </c>
      <c r="B40" s="221">
        <v>3404</v>
      </c>
      <c r="C40" s="221">
        <v>650023021</v>
      </c>
      <c r="D40" s="221">
        <v>70982597</v>
      </c>
      <c r="E40" s="219" t="s">
        <v>97</v>
      </c>
      <c r="F40" s="221">
        <v>3113</v>
      </c>
      <c r="G40" s="222" t="s">
        <v>313</v>
      </c>
      <c r="H40" s="223" t="s">
        <v>279</v>
      </c>
      <c r="I40" s="494">
        <v>4252063</v>
      </c>
      <c r="J40" s="489">
        <v>3127624</v>
      </c>
      <c r="K40" s="489">
        <v>0</v>
      </c>
      <c r="L40" s="489">
        <v>1057137</v>
      </c>
      <c r="M40" s="489">
        <v>62552</v>
      </c>
      <c r="N40" s="489">
        <v>4750</v>
      </c>
      <c r="O40" s="490">
        <v>9.0299999999999994</v>
      </c>
      <c r="P40" s="491">
        <v>9.0299999999999994</v>
      </c>
      <c r="Q40" s="500">
        <v>0</v>
      </c>
      <c r="R40" s="502">
        <f t="shared" si="2"/>
        <v>0</v>
      </c>
      <c r="S40" s="492">
        <v>0</v>
      </c>
      <c r="T40" s="492">
        <v>0</v>
      </c>
      <c r="U40" s="492">
        <v>0</v>
      </c>
      <c r="V40" s="492">
        <f t="shared" si="3"/>
        <v>0</v>
      </c>
      <c r="W40" s="492">
        <v>0</v>
      </c>
      <c r="X40" s="492">
        <v>0</v>
      </c>
      <c r="Y40" s="492">
        <v>0</v>
      </c>
      <c r="Z40" s="492">
        <f t="shared" si="4"/>
        <v>0</v>
      </c>
      <c r="AA40" s="492">
        <f t="shared" si="5"/>
        <v>0</v>
      </c>
      <c r="AB40" s="74">
        <f t="shared" si="6"/>
        <v>0</v>
      </c>
      <c r="AC40" s="74">
        <f t="shared" si="7"/>
        <v>0</v>
      </c>
      <c r="AD40" s="492">
        <v>0</v>
      </c>
      <c r="AE40" s="492">
        <v>0</v>
      </c>
      <c r="AF40" s="492">
        <f t="shared" si="8"/>
        <v>0</v>
      </c>
      <c r="AG40" s="492">
        <f t="shared" si="9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37"/>
        <v>0</v>
      </c>
      <c r="AP40" s="493">
        <f t="shared" si="38"/>
        <v>0</v>
      </c>
      <c r="AQ40" s="495">
        <f t="shared" si="15"/>
        <v>0</v>
      </c>
      <c r="AR40" s="501">
        <f t="shared" si="11"/>
        <v>4252063</v>
      </c>
      <c r="AS40" s="492">
        <f t="shared" si="12"/>
        <v>3127624</v>
      </c>
      <c r="AT40" s="492">
        <f t="shared" si="39"/>
        <v>0</v>
      </c>
      <c r="AU40" s="492">
        <f t="shared" si="40"/>
        <v>1057137</v>
      </c>
      <c r="AV40" s="492">
        <f t="shared" si="40"/>
        <v>62552</v>
      </c>
      <c r="AW40" s="492">
        <f t="shared" si="13"/>
        <v>4750</v>
      </c>
      <c r="AX40" s="493">
        <f t="shared" si="14"/>
        <v>9.0299999999999994</v>
      </c>
      <c r="AY40" s="493">
        <f t="shared" si="41"/>
        <v>9.0299999999999994</v>
      </c>
      <c r="AZ40" s="495">
        <f t="shared" si="41"/>
        <v>0</v>
      </c>
    </row>
    <row r="41" spans="1:52" x14ac:dyDescent="0.2">
      <c r="A41" s="220">
        <v>7</v>
      </c>
      <c r="B41" s="221">
        <v>3404</v>
      </c>
      <c r="C41" s="221">
        <v>650023021</v>
      </c>
      <c r="D41" s="221">
        <v>70982597</v>
      </c>
      <c r="E41" s="219" t="s">
        <v>97</v>
      </c>
      <c r="F41" s="221">
        <v>3141</v>
      </c>
      <c r="G41" s="222" t="s">
        <v>316</v>
      </c>
      <c r="H41" s="223" t="s">
        <v>279</v>
      </c>
      <c r="I41" s="494">
        <v>2701757</v>
      </c>
      <c r="J41" s="489">
        <v>1974758</v>
      </c>
      <c r="K41" s="489">
        <v>0</v>
      </c>
      <c r="L41" s="489">
        <v>667468</v>
      </c>
      <c r="M41" s="489">
        <v>39495</v>
      </c>
      <c r="N41" s="489">
        <v>20036</v>
      </c>
      <c r="O41" s="490">
        <v>6.22</v>
      </c>
      <c r="P41" s="491">
        <v>0</v>
      </c>
      <c r="Q41" s="500">
        <v>6.22</v>
      </c>
      <c r="R41" s="502">
        <f t="shared" si="2"/>
        <v>0</v>
      </c>
      <c r="S41" s="492">
        <v>0</v>
      </c>
      <c r="T41" s="492">
        <v>0</v>
      </c>
      <c r="U41" s="492">
        <v>0</v>
      </c>
      <c r="V41" s="492">
        <f t="shared" si="3"/>
        <v>0</v>
      </c>
      <c r="W41" s="492">
        <v>0</v>
      </c>
      <c r="X41" s="492">
        <v>0</v>
      </c>
      <c r="Y41" s="492">
        <v>0</v>
      </c>
      <c r="Z41" s="492">
        <f t="shared" si="4"/>
        <v>0</v>
      </c>
      <c r="AA41" s="492">
        <f t="shared" si="5"/>
        <v>0</v>
      </c>
      <c r="AB41" s="74">
        <f t="shared" si="6"/>
        <v>0</v>
      </c>
      <c r="AC41" s="74">
        <f t="shared" si="7"/>
        <v>0</v>
      </c>
      <c r="AD41" s="492">
        <v>0</v>
      </c>
      <c r="AE41" s="492">
        <v>0</v>
      </c>
      <c r="AF41" s="492">
        <f t="shared" si="8"/>
        <v>0</v>
      </c>
      <c r="AG41" s="492">
        <f t="shared" si="9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37"/>
        <v>0</v>
      </c>
      <c r="AP41" s="493">
        <f t="shared" si="38"/>
        <v>0</v>
      </c>
      <c r="AQ41" s="495">
        <f t="shared" si="15"/>
        <v>0</v>
      </c>
      <c r="AR41" s="501">
        <f t="shared" si="11"/>
        <v>2701757</v>
      </c>
      <c r="AS41" s="492">
        <f t="shared" si="12"/>
        <v>1974758</v>
      </c>
      <c r="AT41" s="492">
        <f t="shared" si="39"/>
        <v>0</v>
      </c>
      <c r="AU41" s="492">
        <f t="shared" si="40"/>
        <v>667468</v>
      </c>
      <c r="AV41" s="492">
        <f t="shared" si="40"/>
        <v>39495</v>
      </c>
      <c r="AW41" s="492">
        <f t="shared" si="13"/>
        <v>20036</v>
      </c>
      <c r="AX41" s="493">
        <f t="shared" si="14"/>
        <v>6.22</v>
      </c>
      <c r="AY41" s="493">
        <f t="shared" si="41"/>
        <v>0</v>
      </c>
      <c r="AZ41" s="495">
        <f t="shared" si="41"/>
        <v>6.22</v>
      </c>
    </row>
    <row r="42" spans="1:52" s="3" customFormat="1" x14ac:dyDescent="0.2">
      <c r="A42" s="220">
        <v>7</v>
      </c>
      <c r="B42" s="221">
        <v>3404</v>
      </c>
      <c r="C42" s="221">
        <v>650023021</v>
      </c>
      <c r="D42" s="221">
        <v>70982597</v>
      </c>
      <c r="E42" s="219" t="s">
        <v>97</v>
      </c>
      <c r="F42" s="221">
        <v>3143</v>
      </c>
      <c r="G42" s="222" t="s">
        <v>629</v>
      </c>
      <c r="H42" s="243" t="s">
        <v>278</v>
      </c>
      <c r="I42" s="494">
        <v>1392147</v>
      </c>
      <c r="J42" s="489">
        <v>1025145</v>
      </c>
      <c r="K42" s="489">
        <v>0</v>
      </c>
      <c r="L42" s="489">
        <v>346499</v>
      </c>
      <c r="M42" s="489">
        <v>20503</v>
      </c>
      <c r="N42" s="489">
        <v>0</v>
      </c>
      <c r="O42" s="490">
        <v>2</v>
      </c>
      <c r="P42" s="491">
        <v>2</v>
      </c>
      <c r="Q42" s="500">
        <v>0</v>
      </c>
      <c r="R42" s="502">
        <f t="shared" si="2"/>
        <v>0</v>
      </c>
      <c r="S42" s="492">
        <v>0</v>
      </c>
      <c r="T42" s="492">
        <v>0</v>
      </c>
      <c r="U42" s="492">
        <v>0</v>
      </c>
      <c r="V42" s="492">
        <f t="shared" si="3"/>
        <v>0</v>
      </c>
      <c r="W42" s="492">
        <v>0</v>
      </c>
      <c r="X42" s="492">
        <v>0</v>
      </c>
      <c r="Y42" s="492">
        <v>0</v>
      </c>
      <c r="Z42" s="492">
        <f t="shared" si="4"/>
        <v>0</v>
      </c>
      <c r="AA42" s="492">
        <f t="shared" si="5"/>
        <v>0</v>
      </c>
      <c r="AB42" s="74">
        <f t="shared" si="6"/>
        <v>0</v>
      </c>
      <c r="AC42" s="74">
        <f t="shared" si="7"/>
        <v>0</v>
      </c>
      <c r="AD42" s="492">
        <v>0</v>
      </c>
      <c r="AE42" s="492">
        <v>0</v>
      </c>
      <c r="AF42" s="492">
        <f t="shared" si="8"/>
        <v>0</v>
      </c>
      <c r="AG42" s="492">
        <f t="shared" si="9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 t="shared" si="37"/>
        <v>0</v>
      </c>
      <c r="AP42" s="493">
        <f t="shared" si="38"/>
        <v>0</v>
      </c>
      <c r="AQ42" s="495">
        <f t="shared" si="15"/>
        <v>0</v>
      </c>
      <c r="AR42" s="501">
        <f t="shared" si="11"/>
        <v>1392147</v>
      </c>
      <c r="AS42" s="492">
        <f t="shared" si="12"/>
        <v>1025145</v>
      </c>
      <c r="AT42" s="492">
        <f t="shared" si="39"/>
        <v>0</v>
      </c>
      <c r="AU42" s="492">
        <f t="shared" si="40"/>
        <v>346499</v>
      </c>
      <c r="AV42" s="492">
        <f t="shared" si="40"/>
        <v>20503</v>
      </c>
      <c r="AW42" s="492">
        <f t="shared" si="13"/>
        <v>0</v>
      </c>
      <c r="AX42" s="493">
        <f t="shared" si="14"/>
        <v>2</v>
      </c>
      <c r="AY42" s="493">
        <f t="shared" si="41"/>
        <v>2</v>
      </c>
      <c r="AZ42" s="495">
        <f t="shared" si="41"/>
        <v>0</v>
      </c>
    </row>
    <row r="43" spans="1:52" s="3" customFormat="1" x14ac:dyDescent="0.2">
      <c r="A43" s="220">
        <v>7</v>
      </c>
      <c r="B43" s="221">
        <v>3404</v>
      </c>
      <c r="C43" s="221">
        <v>650023021</v>
      </c>
      <c r="D43" s="221">
        <v>70982597</v>
      </c>
      <c r="E43" s="219" t="s">
        <v>97</v>
      </c>
      <c r="F43" s="221">
        <v>3143</v>
      </c>
      <c r="G43" s="222" t="s">
        <v>630</v>
      </c>
      <c r="H43" s="243" t="s">
        <v>279</v>
      </c>
      <c r="I43" s="494">
        <v>45361</v>
      </c>
      <c r="J43" s="489">
        <v>32077</v>
      </c>
      <c r="K43" s="489">
        <v>0</v>
      </c>
      <c r="L43" s="489">
        <v>10842</v>
      </c>
      <c r="M43" s="489">
        <v>642</v>
      </c>
      <c r="N43" s="489">
        <v>1800</v>
      </c>
      <c r="O43" s="490">
        <v>0.13</v>
      </c>
      <c r="P43" s="491">
        <v>0</v>
      </c>
      <c r="Q43" s="500">
        <v>0.13</v>
      </c>
      <c r="R43" s="502">
        <f t="shared" si="2"/>
        <v>0</v>
      </c>
      <c r="S43" s="492">
        <v>0</v>
      </c>
      <c r="T43" s="492">
        <v>0</v>
      </c>
      <c r="U43" s="492">
        <v>0</v>
      </c>
      <c r="V43" s="492">
        <f t="shared" si="3"/>
        <v>0</v>
      </c>
      <c r="W43" s="492">
        <v>0</v>
      </c>
      <c r="X43" s="492">
        <v>0</v>
      </c>
      <c r="Y43" s="492">
        <v>0</v>
      </c>
      <c r="Z43" s="492">
        <f t="shared" si="4"/>
        <v>0</v>
      </c>
      <c r="AA43" s="492">
        <f t="shared" si="5"/>
        <v>0</v>
      </c>
      <c r="AB43" s="74">
        <f t="shared" si="6"/>
        <v>0</v>
      </c>
      <c r="AC43" s="74">
        <f t="shared" si="7"/>
        <v>0</v>
      </c>
      <c r="AD43" s="492">
        <v>0</v>
      </c>
      <c r="AE43" s="492">
        <v>0</v>
      </c>
      <c r="AF43" s="492">
        <f t="shared" si="8"/>
        <v>0</v>
      </c>
      <c r="AG43" s="492">
        <f t="shared" si="9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37"/>
        <v>0</v>
      </c>
      <c r="AP43" s="493">
        <f t="shared" si="38"/>
        <v>0</v>
      </c>
      <c r="AQ43" s="495">
        <f t="shared" si="15"/>
        <v>0</v>
      </c>
      <c r="AR43" s="501">
        <f t="shared" si="11"/>
        <v>45361</v>
      </c>
      <c r="AS43" s="492">
        <f t="shared" si="12"/>
        <v>32077</v>
      </c>
      <c r="AT43" s="492">
        <f t="shared" si="39"/>
        <v>0</v>
      </c>
      <c r="AU43" s="492">
        <f t="shared" si="40"/>
        <v>10842</v>
      </c>
      <c r="AV43" s="492">
        <f t="shared" si="40"/>
        <v>642</v>
      </c>
      <c r="AW43" s="492">
        <f t="shared" si="13"/>
        <v>1800</v>
      </c>
      <c r="AX43" s="493">
        <f t="shared" si="14"/>
        <v>0.13</v>
      </c>
      <c r="AY43" s="493">
        <f t="shared" si="41"/>
        <v>0</v>
      </c>
      <c r="AZ43" s="495">
        <f t="shared" si="41"/>
        <v>0.13</v>
      </c>
    </row>
    <row r="44" spans="1:52" x14ac:dyDescent="0.2">
      <c r="A44" s="166">
        <v>7</v>
      </c>
      <c r="B44" s="20">
        <v>3404</v>
      </c>
      <c r="C44" s="20">
        <v>650023021</v>
      </c>
      <c r="D44" s="20">
        <v>70982597</v>
      </c>
      <c r="E44" s="175" t="s">
        <v>98</v>
      </c>
      <c r="F44" s="20"/>
      <c r="G44" s="165"/>
      <c r="H44" s="199"/>
      <c r="I44" s="552">
        <v>34692882</v>
      </c>
      <c r="J44" s="548">
        <v>25039514</v>
      </c>
      <c r="K44" s="548">
        <v>157800</v>
      </c>
      <c r="L44" s="548">
        <v>8516692</v>
      </c>
      <c r="M44" s="548">
        <v>500790</v>
      </c>
      <c r="N44" s="548">
        <v>478086</v>
      </c>
      <c r="O44" s="549">
        <v>55.0426</v>
      </c>
      <c r="P44" s="549">
        <v>39.629300000000001</v>
      </c>
      <c r="Q44" s="554">
        <v>15.413300000000001</v>
      </c>
      <c r="R44" s="552">
        <f t="shared" ref="R44:AZ44" si="42">SUM(R38:R43)</f>
        <v>0</v>
      </c>
      <c r="S44" s="548">
        <f t="shared" si="42"/>
        <v>0</v>
      </c>
      <c r="T44" s="548">
        <f t="shared" si="42"/>
        <v>0</v>
      </c>
      <c r="U44" s="548">
        <f t="shared" si="42"/>
        <v>0</v>
      </c>
      <c r="V44" s="548">
        <f t="shared" si="42"/>
        <v>0</v>
      </c>
      <c r="W44" s="548">
        <f t="shared" si="42"/>
        <v>0</v>
      </c>
      <c r="X44" s="548">
        <f t="shared" si="42"/>
        <v>0</v>
      </c>
      <c r="Y44" s="548">
        <f t="shared" si="42"/>
        <v>0</v>
      </c>
      <c r="Z44" s="548">
        <f t="shared" si="42"/>
        <v>0</v>
      </c>
      <c r="AA44" s="548">
        <f t="shared" si="42"/>
        <v>0</v>
      </c>
      <c r="AB44" s="548">
        <f t="shared" si="42"/>
        <v>0</v>
      </c>
      <c r="AC44" s="548">
        <f t="shared" si="42"/>
        <v>0</v>
      </c>
      <c r="AD44" s="548">
        <f t="shared" si="42"/>
        <v>0</v>
      </c>
      <c r="AE44" s="548">
        <f t="shared" si="42"/>
        <v>0</v>
      </c>
      <c r="AF44" s="548">
        <f t="shared" si="42"/>
        <v>0</v>
      </c>
      <c r="AG44" s="548">
        <f t="shared" si="42"/>
        <v>0</v>
      </c>
      <c r="AH44" s="549">
        <f t="shared" si="42"/>
        <v>0</v>
      </c>
      <c r="AI44" s="549">
        <f t="shared" si="42"/>
        <v>0</v>
      </c>
      <c r="AJ44" s="549">
        <f t="shared" si="42"/>
        <v>0</v>
      </c>
      <c r="AK44" s="549">
        <f t="shared" si="42"/>
        <v>0</v>
      </c>
      <c r="AL44" s="549">
        <f t="shared" si="42"/>
        <v>0</v>
      </c>
      <c r="AM44" s="549">
        <f t="shared" si="42"/>
        <v>0</v>
      </c>
      <c r="AN44" s="549">
        <f t="shared" si="42"/>
        <v>0</v>
      </c>
      <c r="AO44" s="549">
        <f t="shared" si="42"/>
        <v>0</v>
      </c>
      <c r="AP44" s="549">
        <f t="shared" si="42"/>
        <v>0</v>
      </c>
      <c r="AQ44" s="45">
        <f t="shared" si="42"/>
        <v>0</v>
      </c>
      <c r="AR44" s="556">
        <f t="shared" si="42"/>
        <v>34692882</v>
      </c>
      <c r="AS44" s="548">
        <f t="shared" si="42"/>
        <v>25039514</v>
      </c>
      <c r="AT44" s="548">
        <f t="shared" si="42"/>
        <v>157800</v>
      </c>
      <c r="AU44" s="548">
        <f t="shared" si="42"/>
        <v>8516692</v>
      </c>
      <c r="AV44" s="548">
        <f t="shared" si="42"/>
        <v>500790</v>
      </c>
      <c r="AW44" s="548">
        <f t="shared" si="42"/>
        <v>478086</v>
      </c>
      <c r="AX44" s="549">
        <f t="shared" si="42"/>
        <v>55.0426</v>
      </c>
      <c r="AY44" s="549">
        <f t="shared" si="42"/>
        <v>39.629300000000001</v>
      </c>
      <c r="AZ44" s="45">
        <f t="shared" si="42"/>
        <v>15.413300000000001</v>
      </c>
    </row>
    <row r="45" spans="1:52" x14ac:dyDescent="0.2">
      <c r="A45" s="220">
        <v>8</v>
      </c>
      <c r="B45" s="221">
        <v>3477</v>
      </c>
      <c r="C45" s="221">
        <v>600098451</v>
      </c>
      <c r="D45" s="221">
        <v>70695491</v>
      </c>
      <c r="E45" s="219" t="s">
        <v>99</v>
      </c>
      <c r="F45" s="221">
        <v>3111</v>
      </c>
      <c r="G45" s="222" t="s">
        <v>312</v>
      </c>
      <c r="H45" s="223" t="s">
        <v>278</v>
      </c>
      <c r="I45" s="494">
        <v>4075846</v>
      </c>
      <c r="J45" s="489">
        <v>2985454</v>
      </c>
      <c r="K45" s="489">
        <v>0</v>
      </c>
      <c r="L45" s="489">
        <v>1009083</v>
      </c>
      <c r="M45" s="489">
        <v>59709</v>
      </c>
      <c r="N45" s="489">
        <v>21600</v>
      </c>
      <c r="O45" s="490">
        <v>6.9842000000000004</v>
      </c>
      <c r="P45" s="491">
        <v>5</v>
      </c>
      <c r="Q45" s="500">
        <v>1.9842</v>
      </c>
      <c r="R45" s="502">
        <f t="shared" si="2"/>
        <v>0</v>
      </c>
      <c r="S45" s="492">
        <v>0</v>
      </c>
      <c r="T45" s="492">
        <v>0</v>
      </c>
      <c r="U45" s="492">
        <v>0</v>
      </c>
      <c r="V45" s="492">
        <f t="shared" si="3"/>
        <v>0</v>
      </c>
      <c r="W45" s="492">
        <v>0</v>
      </c>
      <c r="X45" s="492">
        <v>0</v>
      </c>
      <c r="Y45" s="492">
        <v>0</v>
      </c>
      <c r="Z45" s="492">
        <f t="shared" si="4"/>
        <v>0</v>
      </c>
      <c r="AA45" s="492">
        <f t="shared" si="5"/>
        <v>0</v>
      </c>
      <c r="AB45" s="74">
        <f t="shared" si="6"/>
        <v>0</v>
      </c>
      <c r="AC45" s="74">
        <f t="shared" si="7"/>
        <v>0</v>
      </c>
      <c r="AD45" s="492">
        <v>0</v>
      </c>
      <c r="AE45" s="492">
        <v>0</v>
      </c>
      <c r="AF45" s="492">
        <f t="shared" si="8"/>
        <v>0</v>
      </c>
      <c r="AG45" s="492">
        <f t="shared" si="9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ref="AO45:AO47" si="43">AH45+AJ45+AM45+AK45</f>
        <v>0</v>
      </c>
      <c r="AP45" s="493">
        <f t="shared" ref="AP45:AP47" si="44">AI45+AN45+AL45</f>
        <v>0</v>
      </c>
      <c r="AQ45" s="495">
        <f t="shared" si="15"/>
        <v>0</v>
      </c>
      <c r="AR45" s="501">
        <f t="shared" si="11"/>
        <v>4075846</v>
      </c>
      <c r="AS45" s="492">
        <f t="shared" si="12"/>
        <v>2985454</v>
      </c>
      <c r="AT45" s="492">
        <f t="shared" ref="AT45:AT47" si="45">K45+Z45</f>
        <v>0</v>
      </c>
      <c r="AU45" s="492">
        <f t="shared" ref="AU45:AV47" si="46">L45+AB45</f>
        <v>1009083</v>
      </c>
      <c r="AV45" s="492">
        <f t="shared" si="46"/>
        <v>59709</v>
      </c>
      <c r="AW45" s="492">
        <f t="shared" si="13"/>
        <v>21600</v>
      </c>
      <c r="AX45" s="493">
        <f t="shared" si="14"/>
        <v>6.9842000000000004</v>
      </c>
      <c r="AY45" s="493">
        <f t="shared" ref="AY45:AZ47" si="47">P45+AO45</f>
        <v>5</v>
      </c>
      <c r="AZ45" s="495">
        <f t="shared" si="47"/>
        <v>1.9842</v>
      </c>
    </row>
    <row r="46" spans="1:52" x14ac:dyDescent="0.2">
      <c r="A46" s="220">
        <v>8</v>
      </c>
      <c r="B46" s="221">
        <v>3477</v>
      </c>
      <c r="C46" s="221">
        <v>600098451</v>
      </c>
      <c r="D46" s="221">
        <v>70695491</v>
      </c>
      <c r="E46" s="219" t="s">
        <v>99</v>
      </c>
      <c r="F46" s="221">
        <v>3111</v>
      </c>
      <c r="G46" s="222" t="s">
        <v>313</v>
      </c>
      <c r="H46" s="223" t="s">
        <v>279</v>
      </c>
      <c r="I46" s="494">
        <v>470470</v>
      </c>
      <c r="J46" s="489">
        <v>346443</v>
      </c>
      <c r="K46" s="489">
        <v>0</v>
      </c>
      <c r="L46" s="489">
        <v>117098</v>
      </c>
      <c r="M46" s="489">
        <v>6929</v>
      </c>
      <c r="N46" s="489">
        <v>0</v>
      </c>
      <c r="O46" s="490">
        <v>1</v>
      </c>
      <c r="P46" s="491">
        <v>1</v>
      </c>
      <c r="Q46" s="500">
        <v>0</v>
      </c>
      <c r="R46" s="502">
        <f t="shared" si="2"/>
        <v>0</v>
      </c>
      <c r="S46" s="492">
        <v>0</v>
      </c>
      <c r="T46" s="492">
        <v>0</v>
      </c>
      <c r="U46" s="492">
        <v>0</v>
      </c>
      <c r="V46" s="492">
        <f t="shared" si="3"/>
        <v>0</v>
      </c>
      <c r="W46" s="492">
        <v>0</v>
      </c>
      <c r="X46" s="492">
        <v>0</v>
      </c>
      <c r="Y46" s="492">
        <v>0</v>
      </c>
      <c r="Z46" s="492">
        <f t="shared" si="4"/>
        <v>0</v>
      </c>
      <c r="AA46" s="492">
        <f t="shared" si="5"/>
        <v>0</v>
      </c>
      <c r="AB46" s="74">
        <f t="shared" si="6"/>
        <v>0</v>
      </c>
      <c r="AC46" s="74">
        <f t="shared" si="7"/>
        <v>0</v>
      </c>
      <c r="AD46" s="492">
        <v>0</v>
      </c>
      <c r="AE46" s="492">
        <v>0</v>
      </c>
      <c r="AF46" s="492">
        <f t="shared" si="8"/>
        <v>0</v>
      </c>
      <c r="AG46" s="492">
        <f t="shared" si="9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43"/>
        <v>0</v>
      </c>
      <c r="AP46" s="493">
        <f t="shared" si="44"/>
        <v>0</v>
      </c>
      <c r="AQ46" s="495">
        <f t="shared" si="15"/>
        <v>0</v>
      </c>
      <c r="AR46" s="501">
        <f t="shared" si="11"/>
        <v>470470</v>
      </c>
      <c r="AS46" s="492">
        <f t="shared" si="12"/>
        <v>346443</v>
      </c>
      <c r="AT46" s="492">
        <f t="shared" si="45"/>
        <v>0</v>
      </c>
      <c r="AU46" s="492">
        <f t="shared" si="46"/>
        <v>117098</v>
      </c>
      <c r="AV46" s="492">
        <f t="shared" si="46"/>
        <v>6929</v>
      </c>
      <c r="AW46" s="492">
        <f t="shared" si="13"/>
        <v>0</v>
      </c>
      <c r="AX46" s="493">
        <f t="shared" si="14"/>
        <v>1</v>
      </c>
      <c r="AY46" s="493">
        <f t="shared" si="47"/>
        <v>1</v>
      </c>
      <c r="AZ46" s="495">
        <f t="shared" si="47"/>
        <v>0</v>
      </c>
    </row>
    <row r="47" spans="1:52" x14ac:dyDescent="0.2">
      <c r="A47" s="220">
        <v>8</v>
      </c>
      <c r="B47" s="221">
        <v>3477</v>
      </c>
      <c r="C47" s="221">
        <v>600098451</v>
      </c>
      <c r="D47" s="221">
        <v>70695491</v>
      </c>
      <c r="E47" s="219" t="s">
        <v>99</v>
      </c>
      <c r="F47" s="221">
        <v>3141</v>
      </c>
      <c r="G47" s="222" t="s">
        <v>316</v>
      </c>
      <c r="H47" s="223" t="s">
        <v>279</v>
      </c>
      <c r="I47" s="494">
        <v>668757</v>
      </c>
      <c r="J47" s="489">
        <v>490407</v>
      </c>
      <c r="K47" s="489">
        <v>0</v>
      </c>
      <c r="L47" s="489">
        <v>165758</v>
      </c>
      <c r="M47" s="489">
        <v>9808</v>
      </c>
      <c r="N47" s="489">
        <v>2784</v>
      </c>
      <c r="O47" s="490">
        <v>1.54</v>
      </c>
      <c r="P47" s="491">
        <v>0</v>
      </c>
      <c r="Q47" s="500">
        <v>1.54</v>
      </c>
      <c r="R47" s="502">
        <f t="shared" si="2"/>
        <v>0</v>
      </c>
      <c r="S47" s="492">
        <v>0</v>
      </c>
      <c r="T47" s="492">
        <v>0</v>
      </c>
      <c r="U47" s="492">
        <v>0</v>
      </c>
      <c r="V47" s="492">
        <f t="shared" si="3"/>
        <v>0</v>
      </c>
      <c r="W47" s="492">
        <v>0</v>
      </c>
      <c r="X47" s="492">
        <v>0</v>
      </c>
      <c r="Y47" s="492">
        <v>0</v>
      </c>
      <c r="Z47" s="492">
        <f t="shared" si="4"/>
        <v>0</v>
      </c>
      <c r="AA47" s="492">
        <f t="shared" si="5"/>
        <v>0</v>
      </c>
      <c r="AB47" s="74">
        <f t="shared" si="6"/>
        <v>0</v>
      </c>
      <c r="AC47" s="74">
        <f t="shared" si="7"/>
        <v>0</v>
      </c>
      <c r="AD47" s="492">
        <v>0</v>
      </c>
      <c r="AE47" s="492">
        <v>0</v>
      </c>
      <c r="AF47" s="492">
        <f t="shared" si="8"/>
        <v>0</v>
      </c>
      <c r="AG47" s="492">
        <f t="shared" si="9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43"/>
        <v>0</v>
      </c>
      <c r="AP47" s="493">
        <f t="shared" si="44"/>
        <v>0</v>
      </c>
      <c r="AQ47" s="495">
        <f t="shared" si="15"/>
        <v>0</v>
      </c>
      <c r="AR47" s="501">
        <f t="shared" si="11"/>
        <v>668757</v>
      </c>
      <c r="AS47" s="492">
        <f t="shared" si="12"/>
        <v>490407</v>
      </c>
      <c r="AT47" s="492">
        <f t="shared" si="45"/>
        <v>0</v>
      </c>
      <c r="AU47" s="492">
        <f t="shared" si="46"/>
        <v>165758</v>
      </c>
      <c r="AV47" s="492">
        <f t="shared" si="46"/>
        <v>9808</v>
      </c>
      <c r="AW47" s="492">
        <f t="shared" si="13"/>
        <v>2784</v>
      </c>
      <c r="AX47" s="493">
        <f t="shared" si="14"/>
        <v>1.54</v>
      </c>
      <c r="AY47" s="493">
        <f t="shared" si="47"/>
        <v>0</v>
      </c>
      <c r="AZ47" s="495">
        <f t="shared" si="47"/>
        <v>1.54</v>
      </c>
    </row>
    <row r="48" spans="1:52" x14ac:dyDescent="0.2">
      <c r="A48" s="166">
        <v>8</v>
      </c>
      <c r="B48" s="20">
        <v>3477</v>
      </c>
      <c r="C48" s="20">
        <v>600098451</v>
      </c>
      <c r="D48" s="20">
        <v>70695491</v>
      </c>
      <c r="E48" s="175" t="s">
        <v>100</v>
      </c>
      <c r="F48" s="20"/>
      <c r="G48" s="165"/>
      <c r="H48" s="199"/>
      <c r="I48" s="553">
        <v>5215073</v>
      </c>
      <c r="J48" s="550">
        <v>3822304</v>
      </c>
      <c r="K48" s="550">
        <v>0</v>
      </c>
      <c r="L48" s="550">
        <v>1291939</v>
      </c>
      <c r="M48" s="550">
        <v>76446</v>
      </c>
      <c r="N48" s="550">
        <v>24384</v>
      </c>
      <c r="O48" s="551">
        <v>9.5242000000000004</v>
      </c>
      <c r="P48" s="551">
        <v>6</v>
      </c>
      <c r="Q48" s="555">
        <v>3.5242</v>
      </c>
      <c r="R48" s="553">
        <f t="shared" ref="R48:AZ48" si="48">SUM(R45:R47)</f>
        <v>0</v>
      </c>
      <c r="S48" s="550">
        <f t="shared" si="48"/>
        <v>0</v>
      </c>
      <c r="T48" s="550">
        <f t="shared" si="48"/>
        <v>0</v>
      </c>
      <c r="U48" s="550">
        <f t="shared" si="48"/>
        <v>0</v>
      </c>
      <c r="V48" s="550">
        <f t="shared" si="48"/>
        <v>0</v>
      </c>
      <c r="W48" s="550">
        <f t="shared" si="48"/>
        <v>0</v>
      </c>
      <c r="X48" s="550">
        <f t="shared" si="48"/>
        <v>0</v>
      </c>
      <c r="Y48" s="550">
        <f t="shared" si="48"/>
        <v>0</v>
      </c>
      <c r="Z48" s="550">
        <f t="shared" si="48"/>
        <v>0</v>
      </c>
      <c r="AA48" s="550">
        <f t="shared" si="48"/>
        <v>0</v>
      </c>
      <c r="AB48" s="550">
        <f t="shared" si="48"/>
        <v>0</v>
      </c>
      <c r="AC48" s="550">
        <f t="shared" si="48"/>
        <v>0</v>
      </c>
      <c r="AD48" s="550">
        <f t="shared" si="48"/>
        <v>0</v>
      </c>
      <c r="AE48" s="550">
        <f t="shared" si="48"/>
        <v>0</v>
      </c>
      <c r="AF48" s="550">
        <f t="shared" si="48"/>
        <v>0</v>
      </c>
      <c r="AG48" s="550">
        <f t="shared" si="48"/>
        <v>0</v>
      </c>
      <c r="AH48" s="551">
        <f t="shared" si="48"/>
        <v>0</v>
      </c>
      <c r="AI48" s="551">
        <f t="shared" si="48"/>
        <v>0</v>
      </c>
      <c r="AJ48" s="551">
        <f t="shared" si="48"/>
        <v>0</v>
      </c>
      <c r="AK48" s="551">
        <f t="shared" si="48"/>
        <v>0</v>
      </c>
      <c r="AL48" s="551">
        <f t="shared" si="48"/>
        <v>0</v>
      </c>
      <c r="AM48" s="551">
        <f t="shared" si="48"/>
        <v>0</v>
      </c>
      <c r="AN48" s="551">
        <f t="shared" si="48"/>
        <v>0</v>
      </c>
      <c r="AO48" s="551">
        <f t="shared" si="48"/>
        <v>0</v>
      </c>
      <c r="AP48" s="551">
        <f t="shared" si="48"/>
        <v>0</v>
      </c>
      <c r="AQ48" s="44">
        <f t="shared" si="48"/>
        <v>0</v>
      </c>
      <c r="AR48" s="557">
        <f t="shared" si="48"/>
        <v>5215073</v>
      </c>
      <c r="AS48" s="550">
        <f t="shared" si="48"/>
        <v>3822304</v>
      </c>
      <c r="AT48" s="550">
        <f t="shared" si="48"/>
        <v>0</v>
      </c>
      <c r="AU48" s="550">
        <f t="shared" si="48"/>
        <v>1291939</v>
      </c>
      <c r="AV48" s="550">
        <f t="shared" si="48"/>
        <v>76446</v>
      </c>
      <c r="AW48" s="550">
        <f t="shared" si="48"/>
        <v>24384</v>
      </c>
      <c r="AX48" s="551">
        <f t="shared" si="48"/>
        <v>9.5242000000000004</v>
      </c>
      <c r="AY48" s="551">
        <f t="shared" si="48"/>
        <v>6</v>
      </c>
      <c r="AZ48" s="44">
        <f t="shared" si="48"/>
        <v>3.5242</v>
      </c>
    </row>
    <row r="49" spans="1:52" x14ac:dyDescent="0.2">
      <c r="A49" s="220">
        <v>9</v>
      </c>
      <c r="B49" s="221">
        <v>3476</v>
      </c>
      <c r="C49" s="221">
        <v>600099164</v>
      </c>
      <c r="D49" s="221">
        <v>854808</v>
      </c>
      <c r="E49" s="219" t="s">
        <v>101</v>
      </c>
      <c r="F49" s="221">
        <v>3113</v>
      </c>
      <c r="G49" s="222" t="s">
        <v>315</v>
      </c>
      <c r="H49" s="223" t="s">
        <v>278</v>
      </c>
      <c r="I49" s="494">
        <v>10892011</v>
      </c>
      <c r="J49" s="489">
        <v>7879846</v>
      </c>
      <c r="K49" s="489">
        <v>0</v>
      </c>
      <c r="L49" s="489">
        <v>2663388</v>
      </c>
      <c r="M49" s="489">
        <v>157597</v>
      </c>
      <c r="N49" s="489">
        <v>191180</v>
      </c>
      <c r="O49" s="490">
        <v>15.2742</v>
      </c>
      <c r="P49" s="491">
        <v>11.545400000000001</v>
      </c>
      <c r="Q49" s="500">
        <v>3.7287999999999997</v>
      </c>
      <c r="R49" s="502">
        <f t="shared" si="2"/>
        <v>0</v>
      </c>
      <c r="S49" s="492">
        <v>0</v>
      </c>
      <c r="T49" s="492">
        <v>0</v>
      </c>
      <c r="U49" s="492">
        <v>0</v>
      </c>
      <c r="V49" s="492">
        <f t="shared" si="3"/>
        <v>0</v>
      </c>
      <c r="W49" s="492">
        <v>0</v>
      </c>
      <c r="X49" s="492">
        <v>0</v>
      </c>
      <c r="Y49" s="492">
        <v>0</v>
      </c>
      <c r="Z49" s="492">
        <f t="shared" si="4"/>
        <v>0</v>
      </c>
      <c r="AA49" s="492">
        <f t="shared" si="5"/>
        <v>0</v>
      </c>
      <c r="AB49" s="74">
        <f t="shared" si="6"/>
        <v>0</v>
      </c>
      <c r="AC49" s="74">
        <f t="shared" si="7"/>
        <v>0</v>
      </c>
      <c r="AD49" s="492">
        <v>0</v>
      </c>
      <c r="AE49" s="492">
        <v>0</v>
      </c>
      <c r="AF49" s="492">
        <f t="shared" si="8"/>
        <v>0</v>
      </c>
      <c r="AG49" s="492">
        <f t="shared" si="9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ref="AO49:AO53" si="49">AH49+AJ49+AM49+AK49</f>
        <v>0</v>
      </c>
      <c r="AP49" s="493">
        <f t="shared" ref="AP49:AP53" si="50">AI49+AN49+AL49</f>
        <v>0</v>
      </c>
      <c r="AQ49" s="495">
        <f t="shared" si="15"/>
        <v>0</v>
      </c>
      <c r="AR49" s="501">
        <f t="shared" si="11"/>
        <v>10892011</v>
      </c>
      <c r="AS49" s="492">
        <f t="shared" si="12"/>
        <v>7879846</v>
      </c>
      <c r="AT49" s="492">
        <f t="shared" ref="AT49:AT53" si="51">K49+Z49</f>
        <v>0</v>
      </c>
      <c r="AU49" s="492">
        <f t="shared" ref="AU49:AV53" si="52">L49+AB49</f>
        <v>2663388</v>
      </c>
      <c r="AV49" s="492">
        <f t="shared" si="52"/>
        <v>157597</v>
      </c>
      <c r="AW49" s="492">
        <f t="shared" si="13"/>
        <v>191180</v>
      </c>
      <c r="AX49" s="493">
        <f t="shared" si="14"/>
        <v>15.2742</v>
      </c>
      <c r="AY49" s="493">
        <f t="shared" ref="AY49:AZ53" si="53">P49+AO49</f>
        <v>11.545400000000001</v>
      </c>
      <c r="AZ49" s="495">
        <f t="shared" si="53"/>
        <v>3.7287999999999997</v>
      </c>
    </row>
    <row r="50" spans="1:52" x14ac:dyDescent="0.2">
      <c r="A50" s="220">
        <v>9</v>
      </c>
      <c r="B50" s="221">
        <v>3476</v>
      </c>
      <c r="C50" s="221">
        <v>600099164</v>
      </c>
      <c r="D50" s="221">
        <v>854808</v>
      </c>
      <c r="E50" s="219" t="s">
        <v>101</v>
      </c>
      <c r="F50" s="221">
        <v>3113</v>
      </c>
      <c r="G50" s="222" t="s">
        <v>313</v>
      </c>
      <c r="H50" s="223" t="s">
        <v>279</v>
      </c>
      <c r="I50" s="494">
        <v>581324</v>
      </c>
      <c r="J50" s="489">
        <v>428074</v>
      </c>
      <c r="K50" s="489">
        <v>0</v>
      </c>
      <c r="L50" s="489">
        <v>144689</v>
      </c>
      <c r="M50" s="489">
        <v>8561</v>
      </c>
      <c r="N50" s="489">
        <v>0</v>
      </c>
      <c r="O50" s="490">
        <v>1.34</v>
      </c>
      <c r="P50" s="491">
        <v>1.34</v>
      </c>
      <c r="Q50" s="500">
        <v>0</v>
      </c>
      <c r="R50" s="502">
        <f t="shared" si="2"/>
        <v>0</v>
      </c>
      <c r="S50" s="492">
        <v>17352</v>
      </c>
      <c r="T50" s="492">
        <v>0</v>
      </c>
      <c r="U50" s="492">
        <v>0</v>
      </c>
      <c r="V50" s="492">
        <f t="shared" si="3"/>
        <v>17352</v>
      </c>
      <c r="W50" s="492">
        <v>0</v>
      </c>
      <c r="X50" s="492">
        <v>0</v>
      </c>
      <c r="Y50" s="492">
        <v>0</v>
      </c>
      <c r="Z50" s="492">
        <f t="shared" si="4"/>
        <v>0</v>
      </c>
      <c r="AA50" s="492">
        <f t="shared" si="5"/>
        <v>17352</v>
      </c>
      <c r="AB50" s="74">
        <f t="shared" si="6"/>
        <v>5865</v>
      </c>
      <c r="AC50" s="74">
        <f t="shared" si="7"/>
        <v>347</v>
      </c>
      <c r="AD50" s="492">
        <v>0</v>
      </c>
      <c r="AE50" s="492">
        <v>0</v>
      </c>
      <c r="AF50" s="492">
        <f t="shared" si="8"/>
        <v>0</v>
      </c>
      <c r="AG50" s="492">
        <f t="shared" si="9"/>
        <v>23564</v>
      </c>
      <c r="AH50" s="493">
        <v>0</v>
      </c>
      <c r="AI50" s="493">
        <v>0</v>
      </c>
      <c r="AJ50" s="493">
        <v>0.04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49"/>
        <v>0.04</v>
      </c>
      <c r="AP50" s="493">
        <f t="shared" si="50"/>
        <v>0</v>
      </c>
      <c r="AQ50" s="495">
        <f t="shared" si="15"/>
        <v>0.04</v>
      </c>
      <c r="AR50" s="501">
        <f t="shared" si="11"/>
        <v>604888</v>
      </c>
      <c r="AS50" s="492">
        <f t="shared" si="12"/>
        <v>445426</v>
      </c>
      <c r="AT50" s="492">
        <f t="shared" si="51"/>
        <v>0</v>
      </c>
      <c r="AU50" s="492">
        <f t="shared" si="52"/>
        <v>150554</v>
      </c>
      <c r="AV50" s="492">
        <f t="shared" si="52"/>
        <v>8908</v>
      </c>
      <c r="AW50" s="492">
        <f t="shared" si="13"/>
        <v>0</v>
      </c>
      <c r="AX50" s="493">
        <f t="shared" si="14"/>
        <v>1.3800000000000001</v>
      </c>
      <c r="AY50" s="493">
        <f t="shared" si="53"/>
        <v>1.3800000000000001</v>
      </c>
      <c r="AZ50" s="495">
        <f t="shared" si="53"/>
        <v>0</v>
      </c>
    </row>
    <row r="51" spans="1:52" x14ac:dyDescent="0.2">
      <c r="A51" s="220">
        <v>9</v>
      </c>
      <c r="B51" s="221">
        <v>3476</v>
      </c>
      <c r="C51" s="221">
        <v>600099164</v>
      </c>
      <c r="D51" s="221">
        <v>854808</v>
      </c>
      <c r="E51" s="219" t="s">
        <v>101</v>
      </c>
      <c r="F51" s="221">
        <v>3141</v>
      </c>
      <c r="G51" s="222" t="s">
        <v>316</v>
      </c>
      <c r="H51" s="223" t="s">
        <v>279</v>
      </c>
      <c r="I51" s="494">
        <v>963247</v>
      </c>
      <c r="J51" s="489">
        <v>704529</v>
      </c>
      <c r="K51" s="489">
        <v>0</v>
      </c>
      <c r="L51" s="489">
        <v>238131</v>
      </c>
      <c r="M51" s="489">
        <v>14091</v>
      </c>
      <c r="N51" s="489">
        <v>6496</v>
      </c>
      <c r="O51" s="490">
        <v>2.2200000000000002</v>
      </c>
      <c r="P51" s="491">
        <v>0</v>
      </c>
      <c r="Q51" s="500">
        <v>2.2200000000000002</v>
      </c>
      <c r="R51" s="502">
        <f t="shared" si="2"/>
        <v>0</v>
      </c>
      <c r="S51" s="492">
        <v>0</v>
      </c>
      <c r="T51" s="492">
        <v>0</v>
      </c>
      <c r="U51" s="492">
        <v>0</v>
      </c>
      <c r="V51" s="492">
        <f t="shared" si="3"/>
        <v>0</v>
      </c>
      <c r="W51" s="492">
        <v>0</v>
      </c>
      <c r="X51" s="492">
        <v>0</v>
      </c>
      <c r="Y51" s="492">
        <v>0</v>
      </c>
      <c r="Z51" s="492">
        <f t="shared" si="4"/>
        <v>0</v>
      </c>
      <c r="AA51" s="492">
        <f t="shared" si="5"/>
        <v>0</v>
      </c>
      <c r="AB51" s="74">
        <f t="shared" si="6"/>
        <v>0</v>
      </c>
      <c r="AC51" s="74">
        <f t="shared" si="7"/>
        <v>0</v>
      </c>
      <c r="AD51" s="492">
        <v>0</v>
      </c>
      <c r="AE51" s="492">
        <v>0</v>
      </c>
      <c r="AF51" s="492">
        <f t="shared" si="8"/>
        <v>0</v>
      </c>
      <c r="AG51" s="492">
        <f t="shared" si="9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49"/>
        <v>0</v>
      </c>
      <c r="AP51" s="493">
        <f t="shared" si="50"/>
        <v>0</v>
      </c>
      <c r="AQ51" s="495">
        <f t="shared" si="15"/>
        <v>0</v>
      </c>
      <c r="AR51" s="501">
        <f t="shared" si="11"/>
        <v>963247</v>
      </c>
      <c r="AS51" s="492">
        <f t="shared" si="12"/>
        <v>704529</v>
      </c>
      <c r="AT51" s="492">
        <f t="shared" si="51"/>
        <v>0</v>
      </c>
      <c r="AU51" s="492">
        <f t="shared" si="52"/>
        <v>238131</v>
      </c>
      <c r="AV51" s="492">
        <f t="shared" si="52"/>
        <v>14091</v>
      </c>
      <c r="AW51" s="492">
        <f t="shared" si="13"/>
        <v>6496</v>
      </c>
      <c r="AX51" s="493">
        <f t="shared" si="14"/>
        <v>2.2200000000000002</v>
      </c>
      <c r="AY51" s="493">
        <f t="shared" si="53"/>
        <v>0</v>
      </c>
      <c r="AZ51" s="495">
        <f t="shared" si="53"/>
        <v>2.2200000000000002</v>
      </c>
    </row>
    <row r="52" spans="1:52" x14ac:dyDescent="0.2">
      <c r="A52" s="220">
        <v>9</v>
      </c>
      <c r="B52" s="221">
        <v>3476</v>
      </c>
      <c r="C52" s="221">
        <v>600099164</v>
      </c>
      <c r="D52" s="221">
        <v>854808</v>
      </c>
      <c r="E52" s="219" t="s">
        <v>101</v>
      </c>
      <c r="F52" s="221">
        <v>3143</v>
      </c>
      <c r="G52" s="222" t="s">
        <v>629</v>
      </c>
      <c r="H52" s="243" t="s">
        <v>278</v>
      </c>
      <c r="I52" s="494">
        <v>601007</v>
      </c>
      <c r="J52" s="489">
        <v>442568</v>
      </c>
      <c r="K52" s="489">
        <v>0</v>
      </c>
      <c r="L52" s="489">
        <v>149588</v>
      </c>
      <c r="M52" s="489">
        <v>8851</v>
      </c>
      <c r="N52" s="489">
        <v>0</v>
      </c>
      <c r="O52" s="490">
        <v>0.89280000000000004</v>
      </c>
      <c r="P52" s="491">
        <v>0.89280000000000004</v>
      </c>
      <c r="Q52" s="500">
        <v>0</v>
      </c>
      <c r="R52" s="502">
        <f t="shared" si="2"/>
        <v>0</v>
      </c>
      <c r="S52" s="492">
        <v>0</v>
      </c>
      <c r="T52" s="492">
        <v>0</v>
      </c>
      <c r="U52" s="492">
        <v>0</v>
      </c>
      <c r="V52" s="492">
        <f t="shared" si="3"/>
        <v>0</v>
      </c>
      <c r="W52" s="492">
        <v>0</v>
      </c>
      <c r="X52" s="492">
        <v>0</v>
      </c>
      <c r="Y52" s="492">
        <v>0</v>
      </c>
      <c r="Z52" s="492">
        <f t="shared" si="4"/>
        <v>0</v>
      </c>
      <c r="AA52" s="492">
        <f t="shared" si="5"/>
        <v>0</v>
      </c>
      <c r="AB52" s="74">
        <f t="shared" si="6"/>
        <v>0</v>
      </c>
      <c r="AC52" s="74">
        <f t="shared" si="7"/>
        <v>0</v>
      </c>
      <c r="AD52" s="492">
        <v>0</v>
      </c>
      <c r="AE52" s="492">
        <v>0</v>
      </c>
      <c r="AF52" s="492">
        <f t="shared" si="8"/>
        <v>0</v>
      </c>
      <c r="AG52" s="492">
        <f t="shared" si="9"/>
        <v>0</v>
      </c>
      <c r="AH52" s="493">
        <v>0</v>
      </c>
      <c r="AI52" s="493">
        <v>0</v>
      </c>
      <c r="AJ52" s="493">
        <v>0</v>
      </c>
      <c r="AK52" s="493">
        <v>0</v>
      </c>
      <c r="AL52" s="493">
        <v>0</v>
      </c>
      <c r="AM52" s="493">
        <v>0</v>
      </c>
      <c r="AN52" s="493">
        <v>0</v>
      </c>
      <c r="AO52" s="493">
        <f t="shared" si="49"/>
        <v>0</v>
      </c>
      <c r="AP52" s="493">
        <f t="shared" si="50"/>
        <v>0</v>
      </c>
      <c r="AQ52" s="495">
        <f t="shared" si="15"/>
        <v>0</v>
      </c>
      <c r="AR52" s="501">
        <f t="shared" si="11"/>
        <v>601007</v>
      </c>
      <c r="AS52" s="492">
        <f t="shared" si="12"/>
        <v>442568</v>
      </c>
      <c r="AT52" s="492">
        <f t="shared" si="51"/>
        <v>0</v>
      </c>
      <c r="AU52" s="492">
        <f t="shared" si="52"/>
        <v>149588</v>
      </c>
      <c r="AV52" s="492">
        <f t="shared" si="52"/>
        <v>8851</v>
      </c>
      <c r="AW52" s="492">
        <f t="shared" si="13"/>
        <v>0</v>
      </c>
      <c r="AX52" s="493">
        <f t="shared" si="14"/>
        <v>0.89280000000000004</v>
      </c>
      <c r="AY52" s="493">
        <f t="shared" si="53"/>
        <v>0.89280000000000004</v>
      </c>
      <c r="AZ52" s="495">
        <f t="shared" si="53"/>
        <v>0</v>
      </c>
    </row>
    <row r="53" spans="1:52" x14ac:dyDescent="0.2">
      <c r="A53" s="220">
        <v>9</v>
      </c>
      <c r="B53" s="221">
        <v>3476</v>
      </c>
      <c r="C53" s="221">
        <v>600099164</v>
      </c>
      <c r="D53" s="221">
        <v>854808</v>
      </c>
      <c r="E53" s="219" t="s">
        <v>101</v>
      </c>
      <c r="F53" s="221">
        <v>3143</v>
      </c>
      <c r="G53" s="222" t="s">
        <v>630</v>
      </c>
      <c r="H53" s="243" t="s">
        <v>279</v>
      </c>
      <c r="I53" s="494">
        <v>21924</v>
      </c>
      <c r="J53" s="489">
        <v>15504</v>
      </c>
      <c r="K53" s="489">
        <v>0</v>
      </c>
      <c r="L53" s="489">
        <v>5240</v>
      </c>
      <c r="M53" s="489">
        <v>310</v>
      </c>
      <c r="N53" s="489">
        <v>870</v>
      </c>
      <c r="O53" s="490">
        <v>0.06</v>
      </c>
      <c r="P53" s="491">
        <v>0</v>
      </c>
      <c r="Q53" s="500">
        <v>0.06</v>
      </c>
      <c r="R53" s="502">
        <f t="shared" si="2"/>
        <v>0</v>
      </c>
      <c r="S53" s="492">
        <v>0</v>
      </c>
      <c r="T53" s="492">
        <v>0</v>
      </c>
      <c r="U53" s="492">
        <v>0</v>
      </c>
      <c r="V53" s="492">
        <f t="shared" si="3"/>
        <v>0</v>
      </c>
      <c r="W53" s="492">
        <v>0</v>
      </c>
      <c r="X53" s="492">
        <v>0</v>
      </c>
      <c r="Y53" s="492">
        <v>0</v>
      </c>
      <c r="Z53" s="492">
        <f t="shared" si="4"/>
        <v>0</v>
      </c>
      <c r="AA53" s="492">
        <f t="shared" si="5"/>
        <v>0</v>
      </c>
      <c r="AB53" s="74">
        <f t="shared" si="6"/>
        <v>0</v>
      </c>
      <c r="AC53" s="74">
        <f t="shared" si="7"/>
        <v>0</v>
      </c>
      <c r="AD53" s="492">
        <v>0</v>
      </c>
      <c r="AE53" s="492">
        <v>0</v>
      </c>
      <c r="AF53" s="492">
        <f t="shared" si="8"/>
        <v>0</v>
      </c>
      <c r="AG53" s="492">
        <f t="shared" si="9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si="49"/>
        <v>0</v>
      </c>
      <c r="AP53" s="493">
        <f t="shared" si="50"/>
        <v>0</v>
      </c>
      <c r="AQ53" s="495">
        <f t="shared" si="15"/>
        <v>0</v>
      </c>
      <c r="AR53" s="501">
        <f t="shared" si="11"/>
        <v>21924</v>
      </c>
      <c r="AS53" s="492">
        <f t="shared" si="12"/>
        <v>15504</v>
      </c>
      <c r="AT53" s="492">
        <f t="shared" si="51"/>
        <v>0</v>
      </c>
      <c r="AU53" s="492">
        <f t="shared" si="52"/>
        <v>5240</v>
      </c>
      <c r="AV53" s="492">
        <f t="shared" si="52"/>
        <v>310</v>
      </c>
      <c r="AW53" s="492">
        <f t="shared" si="13"/>
        <v>870</v>
      </c>
      <c r="AX53" s="493">
        <f t="shared" si="14"/>
        <v>0.06</v>
      </c>
      <c r="AY53" s="493">
        <f t="shared" si="53"/>
        <v>0</v>
      </c>
      <c r="AZ53" s="495">
        <f t="shared" si="53"/>
        <v>0.06</v>
      </c>
    </row>
    <row r="54" spans="1:52" x14ac:dyDescent="0.2">
      <c r="A54" s="166">
        <v>9</v>
      </c>
      <c r="B54" s="20">
        <v>3476</v>
      </c>
      <c r="C54" s="20">
        <v>600099164</v>
      </c>
      <c r="D54" s="20">
        <v>854808</v>
      </c>
      <c r="E54" s="175" t="s">
        <v>102</v>
      </c>
      <c r="F54" s="20"/>
      <c r="G54" s="165"/>
      <c r="H54" s="199"/>
      <c r="I54" s="552">
        <v>13059513</v>
      </c>
      <c r="J54" s="548">
        <v>9470521</v>
      </c>
      <c r="K54" s="548">
        <v>0</v>
      </c>
      <c r="L54" s="548">
        <v>3201036</v>
      </c>
      <c r="M54" s="548">
        <v>189410</v>
      </c>
      <c r="N54" s="548">
        <v>198546</v>
      </c>
      <c r="O54" s="549">
        <v>19.786999999999999</v>
      </c>
      <c r="P54" s="549">
        <v>13.7782</v>
      </c>
      <c r="Q54" s="554">
        <v>6.0087999999999999</v>
      </c>
      <c r="R54" s="552">
        <f t="shared" ref="R54:AZ54" si="54">SUM(R49:R53)</f>
        <v>0</v>
      </c>
      <c r="S54" s="548">
        <f t="shared" si="54"/>
        <v>17352</v>
      </c>
      <c r="T54" s="548">
        <f t="shared" si="54"/>
        <v>0</v>
      </c>
      <c r="U54" s="548">
        <f t="shared" si="54"/>
        <v>0</v>
      </c>
      <c r="V54" s="548">
        <f t="shared" si="54"/>
        <v>17352</v>
      </c>
      <c r="W54" s="548">
        <f t="shared" si="54"/>
        <v>0</v>
      </c>
      <c r="X54" s="548">
        <f t="shared" si="54"/>
        <v>0</v>
      </c>
      <c r="Y54" s="548">
        <f t="shared" si="54"/>
        <v>0</v>
      </c>
      <c r="Z54" s="548">
        <f t="shared" si="54"/>
        <v>0</v>
      </c>
      <c r="AA54" s="548">
        <f t="shared" si="54"/>
        <v>17352</v>
      </c>
      <c r="AB54" s="548">
        <f t="shared" si="54"/>
        <v>5865</v>
      </c>
      <c r="AC54" s="548">
        <f t="shared" si="54"/>
        <v>347</v>
      </c>
      <c r="AD54" s="548">
        <f t="shared" si="54"/>
        <v>0</v>
      </c>
      <c r="AE54" s="548">
        <f t="shared" si="54"/>
        <v>0</v>
      </c>
      <c r="AF54" s="548">
        <f t="shared" si="54"/>
        <v>0</v>
      </c>
      <c r="AG54" s="548">
        <f t="shared" si="54"/>
        <v>23564</v>
      </c>
      <c r="AH54" s="549">
        <f t="shared" si="54"/>
        <v>0</v>
      </c>
      <c r="AI54" s="549">
        <f t="shared" si="54"/>
        <v>0</v>
      </c>
      <c r="AJ54" s="549">
        <f t="shared" si="54"/>
        <v>0.04</v>
      </c>
      <c r="AK54" s="549">
        <f t="shared" si="54"/>
        <v>0</v>
      </c>
      <c r="AL54" s="549">
        <f t="shared" si="54"/>
        <v>0</v>
      </c>
      <c r="AM54" s="549">
        <f t="shared" si="54"/>
        <v>0</v>
      </c>
      <c r="AN54" s="549">
        <f t="shared" si="54"/>
        <v>0</v>
      </c>
      <c r="AO54" s="549">
        <f t="shared" si="54"/>
        <v>0.04</v>
      </c>
      <c r="AP54" s="549">
        <f t="shared" si="54"/>
        <v>0</v>
      </c>
      <c r="AQ54" s="45">
        <f t="shared" si="54"/>
        <v>0.04</v>
      </c>
      <c r="AR54" s="556">
        <f t="shared" si="54"/>
        <v>13083077</v>
      </c>
      <c r="AS54" s="548">
        <f t="shared" si="54"/>
        <v>9487873</v>
      </c>
      <c r="AT54" s="548">
        <f t="shared" si="54"/>
        <v>0</v>
      </c>
      <c r="AU54" s="548">
        <f t="shared" si="54"/>
        <v>3206901</v>
      </c>
      <c r="AV54" s="548">
        <f t="shared" si="54"/>
        <v>189757</v>
      </c>
      <c r="AW54" s="548">
        <f t="shared" si="54"/>
        <v>198546</v>
      </c>
      <c r="AX54" s="549">
        <f t="shared" si="54"/>
        <v>19.826999999999998</v>
      </c>
      <c r="AY54" s="549">
        <f t="shared" si="54"/>
        <v>13.818200000000001</v>
      </c>
      <c r="AZ54" s="45">
        <f t="shared" si="54"/>
        <v>6.0087999999999999</v>
      </c>
    </row>
    <row r="55" spans="1:52" x14ac:dyDescent="0.2">
      <c r="A55" s="220">
        <v>10</v>
      </c>
      <c r="B55" s="221">
        <v>3424</v>
      </c>
      <c r="C55" s="221">
        <v>650040384</v>
      </c>
      <c r="D55" s="221">
        <v>72744561</v>
      </c>
      <c r="E55" s="219" t="s">
        <v>103</v>
      </c>
      <c r="F55" s="221">
        <v>3111</v>
      </c>
      <c r="G55" s="222" t="s">
        <v>312</v>
      </c>
      <c r="H55" s="223" t="s">
        <v>278</v>
      </c>
      <c r="I55" s="494">
        <v>1429774</v>
      </c>
      <c r="J55" s="489">
        <v>1046225</v>
      </c>
      <c r="K55" s="489">
        <v>0</v>
      </c>
      <c r="L55" s="489">
        <v>353624</v>
      </c>
      <c r="M55" s="489">
        <v>20925</v>
      </c>
      <c r="N55" s="489">
        <v>9000</v>
      </c>
      <c r="O55" s="490">
        <v>2.4609000000000001</v>
      </c>
      <c r="P55" s="491">
        <v>2</v>
      </c>
      <c r="Q55" s="500">
        <v>0.46089999999999998</v>
      </c>
      <c r="R55" s="502">
        <f t="shared" si="2"/>
        <v>0</v>
      </c>
      <c r="S55" s="492">
        <v>0</v>
      </c>
      <c r="T55" s="492">
        <v>0</v>
      </c>
      <c r="U55" s="492">
        <v>0</v>
      </c>
      <c r="V55" s="492">
        <f t="shared" si="3"/>
        <v>0</v>
      </c>
      <c r="W55" s="492">
        <v>0</v>
      </c>
      <c r="X55" s="492">
        <v>0</v>
      </c>
      <c r="Y55" s="492">
        <v>0</v>
      </c>
      <c r="Z55" s="492">
        <f t="shared" si="4"/>
        <v>0</v>
      </c>
      <c r="AA55" s="492">
        <f t="shared" si="5"/>
        <v>0</v>
      </c>
      <c r="AB55" s="74">
        <f t="shared" si="6"/>
        <v>0</v>
      </c>
      <c r="AC55" s="74">
        <f t="shared" si="7"/>
        <v>0</v>
      </c>
      <c r="AD55" s="492">
        <v>0</v>
      </c>
      <c r="AE55" s="492">
        <v>0</v>
      </c>
      <c r="AF55" s="492">
        <f t="shared" si="8"/>
        <v>0</v>
      </c>
      <c r="AG55" s="492">
        <f t="shared" si="9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ref="AO55:AO60" si="55">AH55+AJ55+AM55+AK55</f>
        <v>0</v>
      </c>
      <c r="AP55" s="493">
        <f t="shared" ref="AP55:AP60" si="56">AI55+AN55+AL55</f>
        <v>0</v>
      </c>
      <c r="AQ55" s="495">
        <f t="shared" si="15"/>
        <v>0</v>
      </c>
      <c r="AR55" s="501">
        <f t="shared" si="11"/>
        <v>1429774</v>
      </c>
      <c r="AS55" s="492">
        <f t="shared" si="12"/>
        <v>1046225</v>
      </c>
      <c r="AT55" s="492">
        <f t="shared" ref="AT55:AT60" si="57">K55+Z55</f>
        <v>0</v>
      </c>
      <c r="AU55" s="492">
        <f t="shared" ref="AU55:AV60" si="58">L55+AB55</f>
        <v>353624</v>
      </c>
      <c r="AV55" s="492">
        <f t="shared" si="58"/>
        <v>20925</v>
      </c>
      <c r="AW55" s="492">
        <f t="shared" si="13"/>
        <v>9000</v>
      </c>
      <c r="AX55" s="493">
        <f t="shared" si="14"/>
        <v>2.4609000000000001</v>
      </c>
      <c r="AY55" s="493">
        <f t="shared" ref="AY55:AZ60" si="59">P55+AO55</f>
        <v>2</v>
      </c>
      <c r="AZ55" s="495">
        <f t="shared" si="59"/>
        <v>0.46089999999999998</v>
      </c>
    </row>
    <row r="56" spans="1:52" x14ac:dyDescent="0.2">
      <c r="A56" s="220">
        <v>10</v>
      </c>
      <c r="B56" s="221">
        <v>3424</v>
      </c>
      <c r="C56" s="221">
        <v>650040384</v>
      </c>
      <c r="D56" s="221">
        <v>72744561</v>
      </c>
      <c r="E56" s="219" t="s">
        <v>103</v>
      </c>
      <c r="F56" s="221">
        <v>3117</v>
      </c>
      <c r="G56" s="222" t="s">
        <v>315</v>
      </c>
      <c r="H56" s="223" t="s">
        <v>278</v>
      </c>
      <c r="I56" s="494">
        <v>2923701</v>
      </c>
      <c r="J56" s="489">
        <v>2091388</v>
      </c>
      <c r="K56" s="489">
        <v>29250</v>
      </c>
      <c r="L56" s="489">
        <v>716776</v>
      </c>
      <c r="M56" s="489">
        <v>41827</v>
      </c>
      <c r="N56" s="489">
        <v>44460</v>
      </c>
      <c r="O56" s="490">
        <v>4.1051000000000002</v>
      </c>
      <c r="P56" s="491">
        <v>2.7726999999999999</v>
      </c>
      <c r="Q56" s="500">
        <v>1.3323999999999998</v>
      </c>
      <c r="R56" s="502">
        <f t="shared" si="2"/>
        <v>0</v>
      </c>
      <c r="S56" s="492">
        <v>0</v>
      </c>
      <c r="T56" s="492">
        <v>0</v>
      </c>
      <c r="U56" s="492">
        <v>0</v>
      </c>
      <c r="V56" s="492">
        <f t="shared" si="3"/>
        <v>0</v>
      </c>
      <c r="W56" s="492">
        <v>0</v>
      </c>
      <c r="X56" s="492">
        <v>0</v>
      </c>
      <c r="Y56" s="492">
        <v>0</v>
      </c>
      <c r="Z56" s="492">
        <f t="shared" si="4"/>
        <v>0</v>
      </c>
      <c r="AA56" s="492">
        <f t="shared" si="5"/>
        <v>0</v>
      </c>
      <c r="AB56" s="74">
        <f t="shared" si="6"/>
        <v>0</v>
      </c>
      <c r="AC56" s="74">
        <f t="shared" si="7"/>
        <v>0</v>
      </c>
      <c r="AD56" s="492">
        <v>0</v>
      </c>
      <c r="AE56" s="492">
        <v>0</v>
      </c>
      <c r="AF56" s="492">
        <f t="shared" si="8"/>
        <v>0</v>
      </c>
      <c r="AG56" s="492">
        <f t="shared" si="9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55"/>
        <v>0</v>
      </c>
      <c r="AP56" s="493">
        <f t="shared" si="56"/>
        <v>0</v>
      </c>
      <c r="AQ56" s="495">
        <f t="shared" si="15"/>
        <v>0</v>
      </c>
      <c r="AR56" s="501">
        <f t="shared" si="11"/>
        <v>2923701</v>
      </c>
      <c r="AS56" s="492">
        <f t="shared" si="12"/>
        <v>2091388</v>
      </c>
      <c r="AT56" s="492">
        <f t="shared" si="57"/>
        <v>29250</v>
      </c>
      <c r="AU56" s="492">
        <f t="shared" si="58"/>
        <v>716776</v>
      </c>
      <c r="AV56" s="492">
        <f t="shared" si="58"/>
        <v>41827</v>
      </c>
      <c r="AW56" s="492">
        <f t="shared" si="13"/>
        <v>44460</v>
      </c>
      <c r="AX56" s="493">
        <f t="shared" si="14"/>
        <v>4.1051000000000002</v>
      </c>
      <c r="AY56" s="493">
        <f t="shared" si="59"/>
        <v>2.7726999999999999</v>
      </c>
      <c r="AZ56" s="495">
        <f t="shared" si="59"/>
        <v>1.3323999999999998</v>
      </c>
    </row>
    <row r="57" spans="1:52" x14ac:dyDescent="0.2">
      <c r="A57" s="220">
        <v>10</v>
      </c>
      <c r="B57" s="221">
        <v>3424</v>
      </c>
      <c r="C57" s="221">
        <v>650040384</v>
      </c>
      <c r="D57" s="221">
        <v>72744561</v>
      </c>
      <c r="E57" s="219" t="s">
        <v>103</v>
      </c>
      <c r="F57" s="221">
        <v>3117</v>
      </c>
      <c r="G57" s="222" t="s">
        <v>313</v>
      </c>
      <c r="H57" s="223" t="s">
        <v>279</v>
      </c>
      <c r="I57" s="494">
        <v>235235</v>
      </c>
      <c r="J57" s="489">
        <v>173222</v>
      </c>
      <c r="K57" s="489">
        <v>0</v>
      </c>
      <c r="L57" s="489">
        <v>58549</v>
      </c>
      <c r="M57" s="489">
        <v>3464</v>
      </c>
      <c r="N57" s="489">
        <v>0</v>
      </c>
      <c r="O57" s="490">
        <v>0.5</v>
      </c>
      <c r="P57" s="491">
        <v>0.5</v>
      </c>
      <c r="Q57" s="500">
        <v>0</v>
      </c>
      <c r="R57" s="502">
        <f t="shared" si="2"/>
        <v>0</v>
      </c>
      <c r="S57" s="492">
        <v>0</v>
      </c>
      <c r="T57" s="492">
        <v>0</v>
      </c>
      <c r="U57" s="492">
        <v>0</v>
      </c>
      <c r="V57" s="492">
        <f t="shared" si="3"/>
        <v>0</v>
      </c>
      <c r="W57" s="492">
        <v>0</v>
      </c>
      <c r="X57" s="492">
        <v>0</v>
      </c>
      <c r="Y57" s="492">
        <v>0</v>
      </c>
      <c r="Z57" s="492">
        <f t="shared" si="4"/>
        <v>0</v>
      </c>
      <c r="AA57" s="492">
        <f t="shared" si="5"/>
        <v>0</v>
      </c>
      <c r="AB57" s="74">
        <f t="shared" si="6"/>
        <v>0</v>
      </c>
      <c r="AC57" s="74">
        <f t="shared" si="7"/>
        <v>0</v>
      </c>
      <c r="AD57" s="492">
        <v>0</v>
      </c>
      <c r="AE57" s="492">
        <v>0</v>
      </c>
      <c r="AF57" s="492">
        <f t="shared" si="8"/>
        <v>0</v>
      </c>
      <c r="AG57" s="492">
        <f t="shared" si="9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55"/>
        <v>0</v>
      </c>
      <c r="AP57" s="493">
        <f t="shared" si="56"/>
        <v>0</v>
      </c>
      <c r="AQ57" s="495">
        <f t="shared" si="15"/>
        <v>0</v>
      </c>
      <c r="AR57" s="501">
        <f t="shared" si="11"/>
        <v>235235</v>
      </c>
      <c r="AS57" s="492">
        <f t="shared" si="12"/>
        <v>173222</v>
      </c>
      <c r="AT57" s="492">
        <f t="shared" si="57"/>
        <v>0</v>
      </c>
      <c r="AU57" s="492">
        <f t="shared" si="58"/>
        <v>58549</v>
      </c>
      <c r="AV57" s="492">
        <f t="shared" si="58"/>
        <v>3464</v>
      </c>
      <c r="AW57" s="492">
        <f t="shared" si="13"/>
        <v>0</v>
      </c>
      <c r="AX57" s="493">
        <f t="shared" si="14"/>
        <v>0.5</v>
      </c>
      <c r="AY57" s="493">
        <f t="shared" si="59"/>
        <v>0.5</v>
      </c>
      <c r="AZ57" s="495">
        <f t="shared" si="59"/>
        <v>0</v>
      </c>
    </row>
    <row r="58" spans="1:52" x14ac:dyDescent="0.2">
      <c r="A58" s="220">
        <v>10</v>
      </c>
      <c r="B58" s="221">
        <v>3424</v>
      </c>
      <c r="C58" s="221">
        <v>650040384</v>
      </c>
      <c r="D58" s="221">
        <v>72744561</v>
      </c>
      <c r="E58" s="219" t="s">
        <v>103</v>
      </c>
      <c r="F58" s="221">
        <v>3141</v>
      </c>
      <c r="G58" s="222" t="s">
        <v>316</v>
      </c>
      <c r="H58" s="223" t="s">
        <v>279</v>
      </c>
      <c r="I58" s="494">
        <v>680093</v>
      </c>
      <c r="J58" s="489">
        <v>498453</v>
      </c>
      <c r="K58" s="489">
        <v>0</v>
      </c>
      <c r="L58" s="489">
        <v>168477</v>
      </c>
      <c r="M58" s="489">
        <v>9969</v>
      </c>
      <c r="N58" s="489">
        <v>3194</v>
      </c>
      <c r="O58" s="490">
        <v>1.57</v>
      </c>
      <c r="P58" s="491">
        <v>0</v>
      </c>
      <c r="Q58" s="500">
        <v>1.57</v>
      </c>
      <c r="R58" s="502">
        <f t="shared" si="2"/>
        <v>0</v>
      </c>
      <c r="S58" s="492">
        <v>0</v>
      </c>
      <c r="T58" s="492">
        <v>0</v>
      </c>
      <c r="U58" s="492">
        <v>0</v>
      </c>
      <c r="V58" s="492">
        <f t="shared" si="3"/>
        <v>0</v>
      </c>
      <c r="W58" s="492">
        <v>0</v>
      </c>
      <c r="X58" s="492">
        <v>0</v>
      </c>
      <c r="Y58" s="492">
        <v>0</v>
      </c>
      <c r="Z58" s="492">
        <f t="shared" si="4"/>
        <v>0</v>
      </c>
      <c r="AA58" s="492">
        <f t="shared" si="5"/>
        <v>0</v>
      </c>
      <c r="AB58" s="74">
        <f t="shared" si="6"/>
        <v>0</v>
      </c>
      <c r="AC58" s="74">
        <f t="shared" si="7"/>
        <v>0</v>
      </c>
      <c r="AD58" s="492">
        <v>0</v>
      </c>
      <c r="AE58" s="492">
        <v>0</v>
      </c>
      <c r="AF58" s="492">
        <f t="shared" si="8"/>
        <v>0</v>
      </c>
      <c r="AG58" s="492">
        <f t="shared" si="9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55"/>
        <v>0</v>
      </c>
      <c r="AP58" s="493">
        <f t="shared" si="56"/>
        <v>0</v>
      </c>
      <c r="AQ58" s="495">
        <f t="shared" si="15"/>
        <v>0</v>
      </c>
      <c r="AR58" s="501">
        <f t="shared" si="11"/>
        <v>680093</v>
      </c>
      <c r="AS58" s="492">
        <f t="shared" si="12"/>
        <v>498453</v>
      </c>
      <c r="AT58" s="492">
        <f t="shared" si="57"/>
        <v>0</v>
      </c>
      <c r="AU58" s="492">
        <f t="shared" si="58"/>
        <v>168477</v>
      </c>
      <c r="AV58" s="492">
        <f t="shared" si="58"/>
        <v>9969</v>
      </c>
      <c r="AW58" s="492">
        <f t="shared" si="13"/>
        <v>3194</v>
      </c>
      <c r="AX58" s="493">
        <f t="shared" si="14"/>
        <v>1.57</v>
      </c>
      <c r="AY58" s="493">
        <f t="shared" si="59"/>
        <v>0</v>
      </c>
      <c r="AZ58" s="495">
        <f t="shared" si="59"/>
        <v>1.57</v>
      </c>
    </row>
    <row r="59" spans="1:52" x14ac:dyDescent="0.2">
      <c r="A59" s="220">
        <v>10</v>
      </c>
      <c r="B59" s="221">
        <v>3424</v>
      </c>
      <c r="C59" s="221">
        <v>650040384</v>
      </c>
      <c r="D59" s="221">
        <v>72744561</v>
      </c>
      <c r="E59" s="219" t="s">
        <v>103</v>
      </c>
      <c r="F59" s="221">
        <v>3143</v>
      </c>
      <c r="G59" s="222" t="s">
        <v>629</v>
      </c>
      <c r="H59" s="243" t="s">
        <v>278</v>
      </c>
      <c r="I59" s="494">
        <v>595149</v>
      </c>
      <c r="J59" s="489">
        <v>438254</v>
      </c>
      <c r="K59" s="489">
        <v>0</v>
      </c>
      <c r="L59" s="489">
        <v>148130</v>
      </c>
      <c r="M59" s="489">
        <v>8765</v>
      </c>
      <c r="N59" s="489">
        <v>0</v>
      </c>
      <c r="O59" s="490">
        <v>0.86199999999999999</v>
      </c>
      <c r="P59" s="491">
        <v>0.86199999999999999</v>
      </c>
      <c r="Q59" s="500">
        <v>0</v>
      </c>
      <c r="R59" s="502">
        <f t="shared" si="2"/>
        <v>0</v>
      </c>
      <c r="S59" s="492">
        <v>0</v>
      </c>
      <c r="T59" s="492">
        <v>0</v>
      </c>
      <c r="U59" s="492">
        <v>0</v>
      </c>
      <c r="V59" s="492">
        <f t="shared" si="3"/>
        <v>0</v>
      </c>
      <c r="W59" s="492">
        <v>0</v>
      </c>
      <c r="X59" s="492">
        <v>0</v>
      </c>
      <c r="Y59" s="492">
        <v>0</v>
      </c>
      <c r="Z59" s="492">
        <f t="shared" si="4"/>
        <v>0</v>
      </c>
      <c r="AA59" s="492">
        <f t="shared" si="5"/>
        <v>0</v>
      </c>
      <c r="AB59" s="74">
        <f t="shared" si="6"/>
        <v>0</v>
      </c>
      <c r="AC59" s="74">
        <f t="shared" si="7"/>
        <v>0</v>
      </c>
      <c r="AD59" s="492">
        <v>0</v>
      </c>
      <c r="AE59" s="492">
        <v>0</v>
      </c>
      <c r="AF59" s="492">
        <f t="shared" si="8"/>
        <v>0</v>
      </c>
      <c r="AG59" s="492">
        <f t="shared" si="9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55"/>
        <v>0</v>
      </c>
      <c r="AP59" s="493">
        <f t="shared" si="56"/>
        <v>0</v>
      </c>
      <c r="AQ59" s="495">
        <f t="shared" si="15"/>
        <v>0</v>
      </c>
      <c r="AR59" s="501">
        <f t="shared" si="11"/>
        <v>595149</v>
      </c>
      <c r="AS59" s="492">
        <f t="shared" si="12"/>
        <v>438254</v>
      </c>
      <c r="AT59" s="492">
        <f t="shared" si="57"/>
        <v>0</v>
      </c>
      <c r="AU59" s="492">
        <f t="shared" si="58"/>
        <v>148130</v>
      </c>
      <c r="AV59" s="492">
        <f t="shared" si="58"/>
        <v>8765</v>
      </c>
      <c r="AW59" s="492">
        <f t="shared" si="13"/>
        <v>0</v>
      </c>
      <c r="AX59" s="493">
        <f t="shared" si="14"/>
        <v>0.86199999999999999</v>
      </c>
      <c r="AY59" s="493">
        <f t="shared" si="59"/>
        <v>0.86199999999999999</v>
      </c>
      <c r="AZ59" s="495">
        <f t="shared" si="59"/>
        <v>0</v>
      </c>
    </row>
    <row r="60" spans="1:52" x14ac:dyDescent="0.2">
      <c r="A60" s="220">
        <v>10</v>
      </c>
      <c r="B60" s="221">
        <v>3424</v>
      </c>
      <c r="C60" s="221">
        <v>650040384</v>
      </c>
      <c r="D60" s="221">
        <v>72744561</v>
      </c>
      <c r="E60" s="219" t="s">
        <v>103</v>
      </c>
      <c r="F60" s="221">
        <v>3143</v>
      </c>
      <c r="G60" s="222" t="s">
        <v>630</v>
      </c>
      <c r="H60" s="243" t="s">
        <v>279</v>
      </c>
      <c r="I60" s="494">
        <v>17388</v>
      </c>
      <c r="J60" s="489">
        <v>12296</v>
      </c>
      <c r="K60" s="489">
        <v>0</v>
      </c>
      <c r="L60" s="489">
        <v>4156</v>
      </c>
      <c r="M60" s="489">
        <v>246</v>
      </c>
      <c r="N60" s="489">
        <v>690</v>
      </c>
      <c r="O60" s="490">
        <v>0.05</v>
      </c>
      <c r="P60" s="491">
        <v>0</v>
      </c>
      <c r="Q60" s="500">
        <v>0.05</v>
      </c>
      <c r="R60" s="502">
        <f t="shared" si="2"/>
        <v>0</v>
      </c>
      <c r="S60" s="492">
        <v>0</v>
      </c>
      <c r="T60" s="492">
        <v>0</v>
      </c>
      <c r="U60" s="492">
        <v>0</v>
      </c>
      <c r="V60" s="492">
        <f t="shared" si="3"/>
        <v>0</v>
      </c>
      <c r="W60" s="492">
        <v>0</v>
      </c>
      <c r="X60" s="492">
        <v>0</v>
      </c>
      <c r="Y60" s="492">
        <v>0</v>
      </c>
      <c r="Z60" s="492">
        <f t="shared" si="4"/>
        <v>0</v>
      </c>
      <c r="AA60" s="492">
        <f t="shared" si="5"/>
        <v>0</v>
      </c>
      <c r="AB60" s="74">
        <f t="shared" si="6"/>
        <v>0</v>
      </c>
      <c r="AC60" s="74">
        <f t="shared" si="7"/>
        <v>0</v>
      </c>
      <c r="AD60" s="492">
        <v>0</v>
      </c>
      <c r="AE60" s="492">
        <v>0</v>
      </c>
      <c r="AF60" s="492">
        <f t="shared" si="8"/>
        <v>0</v>
      </c>
      <c r="AG60" s="492">
        <f t="shared" si="9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55"/>
        <v>0</v>
      </c>
      <c r="AP60" s="493">
        <f t="shared" si="56"/>
        <v>0</v>
      </c>
      <c r="AQ60" s="495">
        <f t="shared" si="15"/>
        <v>0</v>
      </c>
      <c r="AR60" s="501">
        <f t="shared" si="11"/>
        <v>17388</v>
      </c>
      <c r="AS60" s="492">
        <f t="shared" si="12"/>
        <v>12296</v>
      </c>
      <c r="AT60" s="492">
        <f t="shared" si="57"/>
        <v>0</v>
      </c>
      <c r="AU60" s="492">
        <f t="shared" si="58"/>
        <v>4156</v>
      </c>
      <c r="AV60" s="492">
        <f t="shared" si="58"/>
        <v>246</v>
      </c>
      <c r="AW60" s="492">
        <f t="shared" si="13"/>
        <v>690</v>
      </c>
      <c r="AX60" s="493">
        <f t="shared" si="14"/>
        <v>0.05</v>
      </c>
      <c r="AY60" s="493">
        <f t="shared" si="59"/>
        <v>0</v>
      </c>
      <c r="AZ60" s="495">
        <f t="shared" si="59"/>
        <v>0.05</v>
      </c>
    </row>
    <row r="61" spans="1:52" x14ac:dyDescent="0.2">
      <c r="A61" s="166">
        <v>10</v>
      </c>
      <c r="B61" s="20">
        <v>3424</v>
      </c>
      <c r="C61" s="20">
        <v>650040384</v>
      </c>
      <c r="D61" s="20">
        <v>72744561</v>
      </c>
      <c r="E61" s="175" t="s">
        <v>104</v>
      </c>
      <c r="F61" s="20"/>
      <c r="G61" s="165"/>
      <c r="H61" s="199"/>
      <c r="I61" s="552">
        <v>5881340</v>
      </c>
      <c r="J61" s="548">
        <v>4259838</v>
      </c>
      <c r="K61" s="548">
        <v>29250</v>
      </c>
      <c r="L61" s="548">
        <v>1449712</v>
      </c>
      <c r="M61" s="548">
        <v>85196</v>
      </c>
      <c r="N61" s="548">
        <v>57344</v>
      </c>
      <c r="O61" s="549">
        <v>9.5480000000000018</v>
      </c>
      <c r="P61" s="549">
        <v>6.1347000000000005</v>
      </c>
      <c r="Q61" s="554">
        <v>3.4132999999999996</v>
      </c>
      <c r="R61" s="552">
        <f t="shared" ref="R61:AZ61" si="60">SUM(R55:R60)</f>
        <v>0</v>
      </c>
      <c r="S61" s="548">
        <f t="shared" si="60"/>
        <v>0</v>
      </c>
      <c r="T61" s="548">
        <f t="shared" si="60"/>
        <v>0</v>
      </c>
      <c r="U61" s="548">
        <f t="shared" si="60"/>
        <v>0</v>
      </c>
      <c r="V61" s="548">
        <f t="shared" si="60"/>
        <v>0</v>
      </c>
      <c r="W61" s="548">
        <f t="shared" si="60"/>
        <v>0</v>
      </c>
      <c r="X61" s="548">
        <f t="shared" si="60"/>
        <v>0</v>
      </c>
      <c r="Y61" s="548">
        <f t="shared" si="60"/>
        <v>0</v>
      </c>
      <c r="Z61" s="548">
        <f t="shared" si="60"/>
        <v>0</v>
      </c>
      <c r="AA61" s="548">
        <f t="shared" si="60"/>
        <v>0</v>
      </c>
      <c r="AB61" s="548">
        <f t="shared" si="60"/>
        <v>0</v>
      </c>
      <c r="AC61" s="548">
        <f t="shared" si="60"/>
        <v>0</v>
      </c>
      <c r="AD61" s="548">
        <f t="shared" si="60"/>
        <v>0</v>
      </c>
      <c r="AE61" s="548">
        <f t="shared" si="60"/>
        <v>0</v>
      </c>
      <c r="AF61" s="548">
        <f t="shared" si="60"/>
        <v>0</v>
      </c>
      <c r="AG61" s="548">
        <f t="shared" si="60"/>
        <v>0</v>
      </c>
      <c r="AH61" s="549">
        <f t="shared" si="60"/>
        <v>0</v>
      </c>
      <c r="AI61" s="549">
        <f t="shared" si="60"/>
        <v>0</v>
      </c>
      <c r="AJ61" s="549">
        <f t="shared" si="60"/>
        <v>0</v>
      </c>
      <c r="AK61" s="549">
        <f t="shared" si="60"/>
        <v>0</v>
      </c>
      <c r="AL61" s="549">
        <f t="shared" si="60"/>
        <v>0</v>
      </c>
      <c r="AM61" s="549">
        <f t="shared" si="60"/>
        <v>0</v>
      </c>
      <c r="AN61" s="549">
        <f t="shared" si="60"/>
        <v>0</v>
      </c>
      <c r="AO61" s="549">
        <f t="shared" si="60"/>
        <v>0</v>
      </c>
      <c r="AP61" s="549">
        <f t="shared" si="60"/>
        <v>0</v>
      </c>
      <c r="AQ61" s="45">
        <f t="shared" si="60"/>
        <v>0</v>
      </c>
      <c r="AR61" s="556">
        <f t="shared" si="60"/>
        <v>5881340</v>
      </c>
      <c r="AS61" s="548">
        <f t="shared" si="60"/>
        <v>4259838</v>
      </c>
      <c r="AT61" s="548">
        <f t="shared" si="60"/>
        <v>29250</v>
      </c>
      <c r="AU61" s="548">
        <f t="shared" si="60"/>
        <v>1449712</v>
      </c>
      <c r="AV61" s="548">
        <f t="shared" si="60"/>
        <v>85196</v>
      </c>
      <c r="AW61" s="548">
        <f t="shared" si="60"/>
        <v>57344</v>
      </c>
      <c r="AX61" s="549">
        <f t="shared" si="60"/>
        <v>9.5480000000000018</v>
      </c>
      <c r="AY61" s="549">
        <f t="shared" si="60"/>
        <v>6.1347000000000005</v>
      </c>
      <c r="AZ61" s="45">
        <f t="shared" si="60"/>
        <v>3.4132999999999996</v>
      </c>
    </row>
    <row r="62" spans="1:52" x14ac:dyDescent="0.2">
      <c r="A62" s="220">
        <v>11</v>
      </c>
      <c r="B62" s="221">
        <v>3430</v>
      </c>
      <c r="C62" s="221">
        <v>600078183</v>
      </c>
      <c r="D62" s="221">
        <v>72744405</v>
      </c>
      <c r="E62" s="219" t="s">
        <v>105</v>
      </c>
      <c r="F62" s="221">
        <v>3111</v>
      </c>
      <c r="G62" s="222" t="s">
        <v>312</v>
      </c>
      <c r="H62" s="223" t="s">
        <v>278</v>
      </c>
      <c r="I62" s="494">
        <v>3638972</v>
      </c>
      <c r="J62" s="489">
        <v>2650610</v>
      </c>
      <c r="K62" s="489">
        <v>13000</v>
      </c>
      <c r="L62" s="489">
        <v>900300</v>
      </c>
      <c r="M62" s="489">
        <v>53012</v>
      </c>
      <c r="N62" s="489">
        <v>22050</v>
      </c>
      <c r="O62" s="490">
        <v>5.4298000000000002</v>
      </c>
      <c r="P62" s="491">
        <v>4</v>
      </c>
      <c r="Q62" s="500">
        <v>1.4298</v>
      </c>
      <c r="R62" s="502">
        <f t="shared" si="2"/>
        <v>0</v>
      </c>
      <c r="S62" s="492">
        <v>0</v>
      </c>
      <c r="T62" s="492">
        <v>0</v>
      </c>
      <c r="U62" s="492">
        <v>0</v>
      </c>
      <c r="V62" s="492">
        <f t="shared" si="3"/>
        <v>0</v>
      </c>
      <c r="W62" s="492">
        <v>0</v>
      </c>
      <c r="X62" s="492">
        <v>0</v>
      </c>
      <c r="Y62" s="492">
        <v>0</v>
      </c>
      <c r="Z62" s="492">
        <f t="shared" si="4"/>
        <v>0</v>
      </c>
      <c r="AA62" s="492">
        <f t="shared" si="5"/>
        <v>0</v>
      </c>
      <c r="AB62" s="74">
        <f t="shared" si="6"/>
        <v>0</v>
      </c>
      <c r="AC62" s="74">
        <f t="shared" si="7"/>
        <v>0</v>
      </c>
      <c r="AD62" s="492">
        <v>0</v>
      </c>
      <c r="AE62" s="492">
        <v>0</v>
      </c>
      <c r="AF62" s="492">
        <f t="shared" si="8"/>
        <v>0</v>
      </c>
      <c r="AG62" s="492">
        <f t="shared" si="9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ref="AO62:AO64" si="61">AH62+AJ62+AM62+AK62</f>
        <v>0</v>
      </c>
      <c r="AP62" s="493">
        <f t="shared" ref="AP62:AP64" si="62">AI62+AN62+AL62</f>
        <v>0</v>
      </c>
      <c r="AQ62" s="495">
        <f t="shared" si="15"/>
        <v>0</v>
      </c>
      <c r="AR62" s="501">
        <f t="shared" si="11"/>
        <v>3638972</v>
      </c>
      <c r="AS62" s="492">
        <f t="shared" si="12"/>
        <v>2650610</v>
      </c>
      <c r="AT62" s="492">
        <f t="shared" ref="AT62:AT64" si="63">K62+Z62</f>
        <v>13000</v>
      </c>
      <c r="AU62" s="492">
        <f t="shared" ref="AU62:AV64" si="64">L62+AB62</f>
        <v>900300</v>
      </c>
      <c r="AV62" s="492">
        <f t="shared" si="64"/>
        <v>53012</v>
      </c>
      <c r="AW62" s="492">
        <f t="shared" si="13"/>
        <v>22050</v>
      </c>
      <c r="AX62" s="493">
        <f t="shared" si="14"/>
        <v>5.4298000000000002</v>
      </c>
      <c r="AY62" s="493">
        <f t="shared" ref="AY62:AZ64" si="65">P62+AO62</f>
        <v>4</v>
      </c>
      <c r="AZ62" s="495">
        <f t="shared" si="65"/>
        <v>1.4298</v>
      </c>
    </row>
    <row r="63" spans="1:52" x14ac:dyDescent="0.2">
      <c r="A63" s="220">
        <v>11</v>
      </c>
      <c r="B63" s="221">
        <v>3430</v>
      </c>
      <c r="C63" s="221">
        <v>600078183</v>
      </c>
      <c r="D63" s="221">
        <v>72744405</v>
      </c>
      <c r="E63" s="219" t="s">
        <v>105</v>
      </c>
      <c r="F63" s="221">
        <v>3111</v>
      </c>
      <c r="G63" s="222" t="s">
        <v>313</v>
      </c>
      <c r="H63" s="223" t="s">
        <v>279</v>
      </c>
      <c r="I63" s="494">
        <v>470471</v>
      </c>
      <c r="J63" s="489">
        <v>346444</v>
      </c>
      <c r="K63" s="489">
        <v>0</v>
      </c>
      <c r="L63" s="489">
        <v>117098</v>
      </c>
      <c r="M63" s="489">
        <v>6929</v>
      </c>
      <c r="N63" s="489">
        <v>0</v>
      </c>
      <c r="O63" s="490">
        <v>1</v>
      </c>
      <c r="P63" s="491">
        <v>1</v>
      </c>
      <c r="Q63" s="500">
        <v>0</v>
      </c>
      <c r="R63" s="502">
        <f t="shared" si="2"/>
        <v>0</v>
      </c>
      <c r="S63" s="492">
        <v>0</v>
      </c>
      <c r="T63" s="492">
        <v>0</v>
      </c>
      <c r="U63" s="492">
        <v>0</v>
      </c>
      <c r="V63" s="492">
        <f t="shared" si="3"/>
        <v>0</v>
      </c>
      <c r="W63" s="492">
        <v>0</v>
      </c>
      <c r="X63" s="492">
        <v>0</v>
      </c>
      <c r="Y63" s="492">
        <v>0</v>
      </c>
      <c r="Z63" s="492">
        <f t="shared" si="4"/>
        <v>0</v>
      </c>
      <c r="AA63" s="492">
        <f t="shared" si="5"/>
        <v>0</v>
      </c>
      <c r="AB63" s="74">
        <f t="shared" si="6"/>
        <v>0</v>
      </c>
      <c r="AC63" s="74">
        <f t="shared" si="7"/>
        <v>0</v>
      </c>
      <c r="AD63" s="492">
        <v>0</v>
      </c>
      <c r="AE63" s="492">
        <v>0</v>
      </c>
      <c r="AF63" s="492">
        <f t="shared" si="8"/>
        <v>0</v>
      </c>
      <c r="AG63" s="492">
        <f t="shared" si="9"/>
        <v>0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</v>
      </c>
      <c r="AN63" s="493">
        <v>0</v>
      </c>
      <c r="AO63" s="493">
        <f t="shared" si="61"/>
        <v>0</v>
      </c>
      <c r="AP63" s="493">
        <f t="shared" si="62"/>
        <v>0</v>
      </c>
      <c r="AQ63" s="495">
        <f t="shared" si="15"/>
        <v>0</v>
      </c>
      <c r="AR63" s="501">
        <f t="shared" si="11"/>
        <v>470471</v>
      </c>
      <c r="AS63" s="492">
        <f t="shared" si="12"/>
        <v>346444</v>
      </c>
      <c r="AT63" s="492">
        <f t="shared" si="63"/>
        <v>0</v>
      </c>
      <c r="AU63" s="492">
        <f t="shared" si="64"/>
        <v>117098</v>
      </c>
      <c r="AV63" s="492">
        <f t="shared" si="64"/>
        <v>6929</v>
      </c>
      <c r="AW63" s="492">
        <f t="shared" si="13"/>
        <v>0</v>
      </c>
      <c r="AX63" s="493">
        <f t="shared" si="14"/>
        <v>1</v>
      </c>
      <c r="AY63" s="493">
        <f t="shared" si="65"/>
        <v>1</v>
      </c>
      <c r="AZ63" s="495">
        <f t="shared" si="65"/>
        <v>0</v>
      </c>
    </row>
    <row r="64" spans="1:52" x14ac:dyDescent="0.2">
      <c r="A64" s="220">
        <v>11</v>
      </c>
      <c r="B64" s="221">
        <v>3430</v>
      </c>
      <c r="C64" s="221">
        <v>600078183</v>
      </c>
      <c r="D64" s="221">
        <v>72744405</v>
      </c>
      <c r="E64" s="219" t="s">
        <v>105</v>
      </c>
      <c r="F64" s="221">
        <v>3141</v>
      </c>
      <c r="G64" s="222" t="s">
        <v>316</v>
      </c>
      <c r="H64" s="223" t="s">
        <v>279</v>
      </c>
      <c r="I64" s="494">
        <v>678279</v>
      </c>
      <c r="J64" s="489">
        <v>497376</v>
      </c>
      <c r="K64" s="489">
        <v>0</v>
      </c>
      <c r="L64" s="489">
        <v>168113</v>
      </c>
      <c r="M64" s="489">
        <v>9948</v>
      </c>
      <c r="N64" s="489">
        <v>2842</v>
      </c>
      <c r="O64" s="490">
        <v>1.57</v>
      </c>
      <c r="P64" s="491">
        <v>0</v>
      </c>
      <c r="Q64" s="500">
        <v>1.57</v>
      </c>
      <c r="R64" s="502">
        <f t="shared" si="2"/>
        <v>0</v>
      </c>
      <c r="S64" s="492">
        <v>0</v>
      </c>
      <c r="T64" s="492">
        <v>0</v>
      </c>
      <c r="U64" s="492">
        <v>0</v>
      </c>
      <c r="V64" s="492">
        <f t="shared" si="3"/>
        <v>0</v>
      </c>
      <c r="W64" s="492">
        <v>0</v>
      </c>
      <c r="X64" s="492">
        <v>0</v>
      </c>
      <c r="Y64" s="492">
        <v>0</v>
      </c>
      <c r="Z64" s="492">
        <f t="shared" si="4"/>
        <v>0</v>
      </c>
      <c r="AA64" s="492">
        <f t="shared" si="5"/>
        <v>0</v>
      </c>
      <c r="AB64" s="74">
        <f t="shared" si="6"/>
        <v>0</v>
      </c>
      <c r="AC64" s="74">
        <f t="shared" si="7"/>
        <v>0</v>
      </c>
      <c r="AD64" s="492">
        <v>0</v>
      </c>
      <c r="AE64" s="492">
        <v>0</v>
      </c>
      <c r="AF64" s="492">
        <f t="shared" si="8"/>
        <v>0</v>
      </c>
      <c r="AG64" s="492">
        <f t="shared" si="9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si="61"/>
        <v>0</v>
      </c>
      <c r="AP64" s="493">
        <f t="shared" si="62"/>
        <v>0</v>
      </c>
      <c r="AQ64" s="495">
        <f t="shared" si="15"/>
        <v>0</v>
      </c>
      <c r="AR64" s="501">
        <f t="shared" si="11"/>
        <v>678279</v>
      </c>
      <c r="AS64" s="492">
        <f t="shared" si="12"/>
        <v>497376</v>
      </c>
      <c r="AT64" s="492">
        <f t="shared" si="63"/>
        <v>0</v>
      </c>
      <c r="AU64" s="492">
        <f t="shared" si="64"/>
        <v>168113</v>
      </c>
      <c r="AV64" s="492">
        <f t="shared" si="64"/>
        <v>9948</v>
      </c>
      <c r="AW64" s="492">
        <f t="shared" si="13"/>
        <v>2842</v>
      </c>
      <c r="AX64" s="493">
        <f t="shared" si="14"/>
        <v>1.57</v>
      </c>
      <c r="AY64" s="493">
        <f t="shared" si="65"/>
        <v>0</v>
      </c>
      <c r="AZ64" s="495">
        <f t="shared" si="65"/>
        <v>1.57</v>
      </c>
    </row>
    <row r="65" spans="1:52" x14ac:dyDescent="0.2">
      <c r="A65" s="166">
        <v>11</v>
      </c>
      <c r="B65" s="20">
        <v>3430</v>
      </c>
      <c r="C65" s="20">
        <v>600078183</v>
      </c>
      <c r="D65" s="20">
        <v>72744405</v>
      </c>
      <c r="E65" s="175" t="s">
        <v>106</v>
      </c>
      <c r="F65" s="20"/>
      <c r="G65" s="165"/>
      <c r="H65" s="199"/>
      <c r="I65" s="552">
        <v>4787722</v>
      </c>
      <c r="J65" s="548">
        <v>3494430</v>
      </c>
      <c r="K65" s="548">
        <v>13000</v>
      </c>
      <c r="L65" s="548">
        <v>1185511</v>
      </c>
      <c r="M65" s="548">
        <v>69889</v>
      </c>
      <c r="N65" s="548">
        <v>24892</v>
      </c>
      <c r="O65" s="549">
        <v>7.9998000000000005</v>
      </c>
      <c r="P65" s="549">
        <v>5</v>
      </c>
      <c r="Q65" s="554">
        <v>2.9998</v>
      </c>
      <c r="R65" s="552">
        <f t="shared" ref="R65:AZ65" si="66">SUM(R62:R64)</f>
        <v>0</v>
      </c>
      <c r="S65" s="548">
        <f t="shared" si="66"/>
        <v>0</v>
      </c>
      <c r="T65" s="548">
        <f t="shared" si="66"/>
        <v>0</v>
      </c>
      <c r="U65" s="548">
        <f t="shared" si="66"/>
        <v>0</v>
      </c>
      <c r="V65" s="548">
        <f t="shared" si="66"/>
        <v>0</v>
      </c>
      <c r="W65" s="548">
        <f t="shared" si="66"/>
        <v>0</v>
      </c>
      <c r="X65" s="548">
        <f t="shared" si="66"/>
        <v>0</v>
      </c>
      <c r="Y65" s="548">
        <f t="shared" si="66"/>
        <v>0</v>
      </c>
      <c r="Z65" s="548">
        <f t="shared" si="66"/>
        <v>0</v>
      </c>
      <c r="AA65" s="548">
        <f t="shared" si="66"/>
        <v>0</v>
      </c>
      <c r="AB65" s="548">
        <f t="shared" si="66"/>
        <v>0</v>
      </c>
      <c r="AC65" s="548">
        <f t="shared" si="66"/>
        <v>0</v>
      </c>
      <c r="AD65" s="548">
        <f t="shared" si="66"/>
        <v>0</v>
      </c>
      <c r="AE65" s="548">
        <f t="shared" si="66"/>
        <v>0</v>
      </c>
      <c r="AF65" s="548">
        <f t="shared" si="66"/>
        <v>0</v>
      </c>
      <c r="AG65" s="548">
        <f t="shared" si="66"/>
        <v>0</v>
      </c>
      <c r="AH65" s="549">
        <f t="shared" si="66"/>
        <v>0</v>
      </c>
      <c r="AI65" s="549">
        <f t="shared" si="66"/>
        <v>0</v>
      </c>
      <c r="AJ65" s="549">
        <f t="shared" si="66"/>
        <v>0</v>
      </c>
      <c r="AK65" s="549">
        <f t="shared" si="66"/>
        <v>0</v>
      </c>
      <c r="AL65" s="549">
        <f t="shared" si="66"/>
        <v>0</v>
      </c>
      <c r="AM65" s="549">
        <f t="shared" si="66"/>
        <v>0</v>
      </c>
      <c r="AN65" s="549">
        <f t="shared" si="66"/>
        <v>0</v>
      </c>
      <c r="AO65" s="549">
        <f t="shared" si="66"/>
        <v>0</v>
      </c>
      <c r="AP65" s="549">
        <f t="shared" si="66"/>
        <v>0</v>
      </c>
      <c r="AQ65" s="45">
        <f t="shared" si="66"/>
        <v>0</v>
      </c>
      <c r="AR65" s="556">
        <f t="shared" si="66"/>
        <v>4787722</v>
      </c>
      <c r="AS65" s="548">
        <f t="shared" si="66"/>
        <v>3494430</v>
      </c>
      <c r="AT65" s="548">
        <f t="shared" si="66"/>
        <v>13000</v>
      </c>
      <c r="AU65" s="548">
        <f t="shared" si="66"/>
        <v>1185511</v>
      </c>
      <c r="AV65" s="548">
        <f t="shared" si="66"/>
        <v>69889</v>
      </c>
      <c r="AW65" s="548">
        <f t="shared" si="66"/>
        <v>24892</v>
      </c>
      <c r="AX65" s="549">
        <f t="shared" si="66"/>
        <v>7.9998000000000005</v>
      </c>
      <c r="AY65" s="549">
        <f t="shared" si="66"/>
        <v>5</v>
      </c>
      <c r="AZ65" s="45">
        <f t="shared" si="66"/>
        <v>2.9998</v>
      </c>
    </row>
    <row r="66" spans="1:52" x14ac:dyDescent="0.2">
      <c r="A66" s="220">
        <v>12</v>
      </c>
      <c r="B66" s="221">
        <v>3431</v>
      </c>
      <c r="C66" s="221">
        <v>600078370</v>
      </c>
      <c r="D66" s="221">
        <v>72744162</v>
      </c>
      <c r="E66" s="219" t="s">
        <v>107</v>
      </c>
      <c r="F66" s="221">
        <v>3117</v>
      </c>
      <c r="G66" s="222" t="s">
        <v>315</v>
      </c>
      <c r="H66" s="223" t="s">
        <v>278</v>
      </c>
      <c r="I66" s="494">
        <v>3953189</v>
      </c>
      <c r="J66" s="489">
        <v>2789072</v>
      </c>
      <c r="K66" s="489">
        <v>65000</v>
      </c>
      <c r="L66" s="489">
        <v>964676</v>
      </c>
      <c r="M66" s="489">
        <v>55781</v>
      </c>
      <c r="N66" s="489">
        <v>78660</v>
      </c>
      <c r="O66" s="490">
        <v>5.0834000000000001</v>
      </c>
      <c r="P66" s="491">
        <v>3.8891</v>
      </c>
      <c r="Q66" s="500">
        <v>1.1942999999999999</v>
      </c>
      <c r="R66" s="502">
        <f t="shared" si="2"/>
        <v>0</v>
      </c>
      <c r="S66" s="492">
        <v>0</v>
      </c>
      <c r="T66" s="492">
        <v>0</v>
      </c>
      <c r="U66" s="492">
        <v>0</v>
      </c>
      <c r="V66" s="492">
        <f t="shared" si="3"/>
        <v>0</v>
      </c>
      <c r="W66" s="492">
        <v>0</v>
      </c>
      <c r="X66" s="492">
        <v>0</v>
      </c>
      <c r="Y66" s="492">
        <v>0</v>
      </c>
      <c r="Z66" s="492">
        <f t="shared" si="4"/>
        <v>0</v>
      </c>
      <c r="AA66" s="492">
        <f t="shared" si="5"/>
        <v>0</v>
      </c>
      <c r="AB66" s="74">
        <f t="shared" si="6"/>
        <v>0</v>
      </c>
      <c r="AC66" s="74">
        <f t="shared" si="7"/>
        <v>0</v>
      </c>
      <c r="AD66" s="492">
        <v>0</v>
      </c>
      <c r="AE66" s="492">
        <v>0</v>
      </c>
      <c r="AF66" s="492">
        <f t="shared" si="8"/>
        <v>0</v>
      </c>
      <c r="AG66" s="492">
        <f t="shared" si="9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ref="AO66:AO70" si="67">AH66+AJ66+AM66+AK66</f>
        <v>0</v>
      </c>
      <c r="AP66" s="493">
        <f t="shared" ref="AP66:AP70" si="68">AI66+AN66+AL66</f>
        <v>0</v>
      </c>
      <c r="AQ66" s="495">
        <f t="shared" si="15"/>
        <v>0</v>
      </c>
      <c r="AR66" s="501">
        <f t="shared" si="11"/>
        <v>3953189</v>
      </c>
      <c r="AS66" s="492">
        <f t="shared" si="12"/>
        <v>2789072</v>
      </c>
      <c r="AT66" s="492">
        <f t="shared" ref="AT66:AT70" si="69">K66+Z66</f>
        <v>65000</v>
      </c>
      <c r="AU66" s="492">
        <f t="shared" ref="AU66:AV70" si="70">L66+AB66</f>
        <v>964676</v>
      </c>
      <c r="AV66" s="492">
        <f t="shared" si="70"/>
        <v>55781</v>
      </c>
      <c r="AW66" s="492">
        <f t="shared" si="13"/>
        <v>78660</v>
      </c>
      <c r="AX66" s="493">
        <f t="shared" si="14"/>
        <v>5.0834000000000001</v>
      </c>
      <c r="AY66" s="493">
        <f t="shared" ref="AY66:AZ70" si="71">P66+AO66</f>
        <v>3.8891</v>
      </c>
      <c r="AZ66" s="495">
        <f t="shared" si="71"/>
        <v>1.1942999999999999</v>
      </c>
    </row>
    <row r="67" spans="1:52" x14ac:dyDescent="0.2">
      <c r="A67" s="220">
        <v>12</v>
      </c>
      <c r="B67" s="221">
        <v>3431</v>
      </c>
      <c r="C67" s="221">
        <v>600078370</v>
      </c>
      <c r="D67" s="221">
        <v>72744162</v>
      </c>
      <c r="E67" s="219" t="s">
        <v>107</v>
      </c>
      <c r="F67" s="221">
        <v>3117</v>
      </c>
      <c r="G67" s="222" t="s">
        <v>313</v>
      </c>
      <c r="H67" s="223" t="s">
        <v>279</v>
      </c>
      <c r="I67" s="494">
        <v>653437</v>
      </c>
      <c r="J67" s="489">
        <v>481176</v>
      </c>
      <c r="K67" s="489">
        <v>0</v>
      </c>
      <c r="L67" s="489">
        <v>162637</v>
      </c>
      <c r="M67" s="489">
        <v>9624</v>
      </c>
      <c r="N67" s="489">
        <v>0</v>
      </c>
      <c r="O67" s="490">
        <v>1.39</v>
      </c>
      <c r="P67" s="491">
        <v>1.39</v>
      </c>
      <c r="Q67" s="500">
        <v>0</v>
      </c>
      <c r="R67" s="502">
        <f t="shared" si="2"/>
        <v>0</v>
      </c>
      <c r="S67" s="492">
        <v>0</v>
      </c>
      <c r="T67" s="492">
        <v>0</v>
      </c>
      <c r="U67" s="492">
        <v>0</v>
      </c>
      <c r="V67" s="492">
        <f t="shared" si="3"/>
        <v>0</v>
      </c>
      <c r="W67" s="492">
        <v>0</v>
      </c>
      <c r="X67" s="492">
        <v>0</v>
      </c>
      <c r="Y67" s="492">
        <v>0</v>
      </c>
      <c r="Z67" s="492">
        <f t="shared" si="4"/>
        <v>0</v>
      </c>
      <c r="AA67" s="492">
        <f t="shared" si="5"/>
        <v>0</v>
      </c>
      <c r="AB67" s="74">
        <f t="shared" si="6"/>
        <v>0</v>
      </c>
      <c r="AC67" s="74">
        <f t="shared" si="7"/>
        <v>0</v>
      </c>
      <c r="AD67" s="492">
        <v>0</v>
      </c>
      <c r="AE67" s="492">
        <v>0</v>
      </c>
      <c r="AF67" s="492">
        <f t="shared" si="8"/>
        <v>0</v>
      </c>
      <c r="AG67" s="492">
        <f t="shared" si="9"/>
        <v>0</v>
      </c>
      <c r="AH67" s="493">
        <v>0</v>
      </c>
      <c r="AI67" s="493">
        <v>0</v>
      </c>
      <c r="AJ67" s="493">
        <v>0</v>
      </c>
      <c r="AK67" s="493">
        <v>0</v>
      </c>
      <c r="AL67" s="493">
        <v>0</v>
      </c>
      <c r="AM67" s="493">
        <v>0</v>
      </c>
      <c r="AN67" s="493">
        <v>0</v>
      </c>
      <c r="AO67" s="493">
        <f t="shared" si="67"/>
        <v>0</v>
      </c>
      <c r="AP67" s="493">
        <f t="shared" si="68"/>
        <v>0</v>
      </c>
      <c r="AQ67" s="495">
        <f t="shared" si="15"/>
        <v>0</v>
      </c>
      <c r="AR67" s="501">
        <f t="shared" si="11"/>
        <v>653437</v>
      </c>
      <c r="AS67" s="492">
        <f t="shared" si="12"/>
        <v>481176</v>
      </c>
      <c r="AT67" s="492">
        <f t="shared" si="69"/>
        <v>0</v>
      </c>
      <c r="AU67" s="492">
        <f t="shared" si="70"/>
        <v>162637</v>
      </c>
      <c r="AV67" s="492">
        <f t="shared" si="70"/>
        <v>9624</v>
      </c>
      <c r="AW67" s="492">
        <f t="shared" si="13"/>
        <v>0</v>
      </c>
      <c r="AX67" s="493">
        <f t="shared" si="14"/>
        <v>1.39</v>
      </c>
      <c r="AY67" s="493">
        <f t="shared" si="71"/>
        <v>1.39</v>
      </c>
      <c r="AZ67" s="495">
        <f t="shared" si="71"/>
        <v>0</v>
      </c>
    </row>
    <row r="68" spans="1:52" x14ac:dyDescent="0.2">
      <c r="A68" s="220">
        <v>12</v>
      </c>
      <c r="B68" s="221">
        <v>3431</v>
      </c>
      <c r="C68" s="221">
        <v>600078370</v>
      </c>
      <c r="D68" s="221">
        <v>72744162</v>
      </c>
      <c r="E68" s="219" t="s">
        <v>107</v>
      </c>
      <c r="F68" s="221">
        <v>3141</v>
      </c>
      <c r="G68" s="222" t="s">
        <v>316</v>
      </c>
      <c r="H68" s="223" t="s">
        <v>279</v>
      </c>
      <c r="I68" s="494">
        <v>479929</v>
      </c>
      <c r="J68" s="489">
        <v>351529</v>
      </c>
      <c r="K68" s="489">
        <v>0</v>
      </c>
      <c r="L68" s="489">
        <v>118817</v>
      </c>
      <c r="M68" s="489">
        <v>7031</v>
      </c>
      <c r="N68" s="489">
        <v>2552</v>
      </c>
      <c r="O68" s="490">
        <v>1.1100000000000001</v>
      </c>
      <c r="P68" s="491">
        <v>0</v>
      </c>
      <c r="Q68" s="500">
        <v>1.1100000000000001</v>
      </c>
      <c r="R68" s="502">
        <f t="shared" si="2"/>
        <v>0</v>
      </c>
      <c r="S68" s="492">
        <v>0</v>
      </c>
      <c r="T68" s="492">
        <v>0</v>
      </c>
      <c r="U68" s="492">
        <v>0</v>
      </c>
      <c r="V68" s="492">
        <f t="shared" si="3"/>
        <v>0</v>
      </c>
      <c r="W68" s="492">
        <v>0</v>
      </c>
      <c r="X68" s="492">
        <v>0</v>
      </c>
      <c r="Y68" s="492">
        <v>0</v>
      </c>
      <c r="Z68" s="492">
        <f t="shared" si="4"/>
        <v>0</v>
      </c>
      <c r="AA68" s="492">
        <f t="shared" si="5"/>
        <v>0</v>
      </c>
      <c r="AB68" s="74">
        <f t="shared" si="6"/>
        <v>0</v>
      </c>
      <c r="AC68" s="74">
        <f t="shared" si="7"/>
        <v>0</v>
      </c>
      <c r="AD68" s="492">
        <v>0</v>
      </c>
      <c r="AE68" s="492">
        <v>0</v>
      </c>
      <c r="AF68" s="492">
        <f t="shared" si="8"/>
        <v>0</v>
      </c>
      <c r="AG68" s="492">
        <f t="shared" si="9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si="67"/>
        <v>0</v>
      </c>
      <c r="AP68" s="493">
        <f t="shared" si="68"/>
        <v>0</v>
      </c>
      <c r="AQ68" s="495">
        <f t="shared" si="15"/>
        <v>0</v>
      </c>
      <c r="AR68" s="501">
        <f t="shared" si="11"/>
        <v>479929</v>
      </c>
      <c r="AS68" s="492">
        <f t="shared" si="12"/>
        <v>351529</v>
      </c>
      <c r="AT68" s="492">
        <f t="shared" si="69"/>
        <v>0</v>
      </c>
      <c r="AU68" s="492">
        <f t="shared" si="70"/>
        <v>118817</v>
      </c>
      <c r="AV68" s="492">
        <f t="shared" si="70"/>
        <v>7031</v>
      </c>
      <c r="AW68" s="492">
        <f t="shared" si="13"/>
        <v>2552</v>
      </c>
      <c r="AX68" s="493">
        <f t="shared" si="14"/>
        <v>1.1100000000000001</v>
      </c>
      <c r="AY68" s="493">
        <f t="shared" si="71"/>
        <v>0</v>
      </c>
      <c r="AZ68" s="495">
        <f t="shared" si="71"/>
        <v>1.1100000000000001</v>
      </c>
    </row>
    <row r="69" spans="1:52" x14ac:dyDescent="0.2">
      <c r="A69" s="220">
        <v>12</v>
      </c>
      <c r="B69" s="221">
        <v>3431</v>
      </c>
      <c r="C69" s="221">
        <v>600078370</v>
      </c>
      <c r="D69" s="221">
        <v>72744162</v>
      </c>
      <c r="E69" s="219" t="s">
        <v>107</v>
      </c>
      <c r="F69" s="221">
        <v>3143</v>
      </c>
      <c r="G69" s="222" t="s">
        <v>629</v>
      </c>
      <c r="H69" s="243" t="s">
        <v>278</v>
      </c>
      <c r="I69" s="494">
        <v>648621</v>
      </c>
      <c r="J69" s="489">
        <v>477629</v>
      </c>
      <c r="K69" s="489">
        <v>0</v>
      </c>
      <c r="L69" s="489">
        <v>161439</v>
      </c>
      <c r="M69" s="489">
        <v>9553</v>
      </c>
      <c r="N69" s="489">
        <v>0</v>
      </c>
      <c r="O69" s="490">
        <v>1</v>
      </c>
      <c r="P69" s="491">
        <v>1</v>
      </c>
      <c r="Q69" s="500">
        <v>0</v>
      </c>
      <c r="R69" s="502">
        <f t="shared" si="2"/>
        <v>0</v>
      </c>
      <c r="S69" s="492">
        <v>0</v>
      </c>
      <c r="T69" s="492">
        <v>0</v>
      </c>
      <c r="U69" s="492">
        <v>0</v>
      </c>
      <c r="V69" s="492">
        <f t="shared" si="3"/>
        <v>0</v>
      </c>
      <c r="W69" s="492">
        <v>0</v>
      </c>
      <c r="X69" s="492">
        <v>0</v>
      </c>
      <c r="Y69" s="492">
        <v>0</v>
      </c>
      <c r="Z69" s="492">
        <f t="shared" si="4"/>
        <v>0</v>
      </c>
      <c r="AA69" s="492">
        <f t="shared" si="5"/>
        <v>0</v>
      </c>
      <c r="AB69" s="74">
        <f t="shared" si="6"/>
        <v>0</v>
      </c>
      <c r="AC69" s="74">
        <f t="shared" si="7"/>
        <v>0</v>
      </c>
      <c r="AD69" s="492">
        <v>0</v>
      </c>
      <c r="AE69" s="492">
        <v>0</v>
      </c>
      <c r="AF69" s="492">
        <f t="shared" si="8"/>
        <v>0</v>
      </c>
      <c r="AG69" s="492">
        <f t="shared" si="9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67"/>
        <v>0</v>
      </c>
      <c r="AP69" s="493">
        <f t="shared" si="68"/>
        <v>0</v>
      </c>
      <c r="AQ69" s="495">
        <f t="shared" si="15"/>
        <v>0</v>
      </c>
      <c r="AR69" s="501">
        <f t="shared" si="11"/>
        <v>648621</v>
      </c>
      <c r="AS69" s="492">
        <f t="shared" si="12"/>
        <v>477629</v>
      </c>
      <c r="AT69" s="492">
        <f t="shared" si="69"/>
        <v>0</v>
      </c>
      <c r="AU69" s="492">
        <f t="shared" si="70"/>
        <v>161439</v>
      </c>
      <c r="AV69" s="492">
        <f t="shared" si="70"/>
        <v>9553</v>
      </c>
      <c r="AW69" s="492">
        <f t="shared" si="13"/>
        <v>0</v>
      </c>
      <c r="AX69" s="493">
        <f t="shared" si="14"/>
        <v>1</v>
      </c>
      <c r="AY69" s="493">
        <f t="shared" si="71"/>
        <v>1</v>
      </c>
      <c r="AZ69" s="495">
        <f t="shared" si="71"/>
        <v>0</v>
      </c>
    </row>
    <row r="70" spans="1:52" x14ac:dyDescent="0.2">
      <c r="A70" s="220">
        <v>12</v>
      </c>
      <c r="B70" s="221">
        <v>3431</v>
      </c>
      <c r="C70" s="221">
        <v>600078370</v>
      </c>
      <c r="D70" s="221">
        <v>72744162</v>
      </c>
      <c r="E70" s="219" t="s">
        <v>107</v>
      </c>
      <c r="F70" s="221">
        <v>3143</v>
      </c>
      <c r="G70" s="222" t="s">
        <v>630</v>
      </c>
      <c r="H70" s="243" t="s">
        <v>279</v>
      </c>
      <c r="I70" s="494">
        <v>20412</v>
      </c>
      <c r="J70" s="489">
        <v>14434</v>
      </c>
      <c r="K70" s="489">
        <v>0</v>
      </c>
      <c r="L70" s="489">
        <v>4879</v>
      </c>
      <c r="M70" s="489">
        <v>289</v>
      </c>
      <c r="N70" s="489">
        <v>810</v>
      </c>
      <c r="O70" s="490">
        <v>0.06</v>
      </c>
      <c r="P70" s="491">
        <v>0</v>
      </c>
      <c r="Q70" s="500">
        <v>0.06</v>
      </c>
      <c r="R70" s="502">
        <f t="shared" si="2"/>
        <v>0</v>
      </c>
      <c r="S70" s="492">
        <v>0</v>
      </c>
      <c r="T70" s="492">
        <v>0</v>
      </c>
      <c r="U70" s="492">
        <v>0</v>
      </c>
      <c r="V70" s="492">
        <f t="shared" si="3"/>
        <v>0</v>
      </c>
      <c r="W70" s="492">
        <v>0</v>
      </c>
      <c r="X70" s="492">
        <v>0</v>
      </c>
      <c r="Y70" s="492">
        <v>0</v>
      </c>
      <c r="Z70" s="492">
        <f t="shared" si="4"/>
        <v>0</v>
      </c>
      <c r="AA70" s="492">
        <f t="shared" si="5"/>
        <v>0</v>
      </c>
      <c r="AB70" s="74">
        <f t="shared" si="6"/>
        <v>0</v>
      </c>
      <c r="AC70" s="74">
        <f t="shared" si="7"/>
        <v>0</v>
      </c>
      <c r="AD70" s="492">
        <v>0</v>
      </c>
      <c r="AE70" s="492">
        <v>0</v>
      </c>
      <c r="AF70" s="492">
        <f t="shared" si="8"/>
        <v>0</v>
      </c>
      <c r="AG70" s="492">
        <f t="shared" si="9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67"/>
        <v>0</v>
      </c>
      <c r="AP70" s="493">
        <f t="shared" si="68"/>
        <v>0</v>
      </c>
      <c r="AQ70" s="495">
        <f t="shared" si="15"/>
        <v>0</v>
      </c>
      <c r="AR70" s="501">
        <f t="shared" si="11"/>
        <v>20412</v>
      </c>
      <c r="AS70" s="492">
        <f t="shared" si="12"/>
        <v>14434</v>
      </c>
      <c r="AT70" s="492">
        <f t="shared" si="69"/>
        <v>0</v>
      </c>
      <c r="AU70" s="492">
        <f t="shared" si="70"/>
        <v>4879</v>
      </c>
      <c r="AV70" s="492">
        <f t="shared" si="70"/>
        <v>289</v>
      </c>
      <c r="AW70" s="492">
        <f t="shared" si="13"/>
        <v>810</v>
      </c>
      <c r="AX70" s="493">
        <f t="shared" si="14"/>
        <v>0.06</v>
      </c>
      <c r="AY70" s="493">
        <f t="shared" si="71"/>
        <v>0</v>
      </c>
      <c r="AZ70" s="495">
        <f t="shared" si="71"/>
        <v>0.06</v>
      </c>
    </row>
    <row r="71" spans="1:52" x14ac:dyDescent="0.2">
      <c r="A71" s="166">
        <v>12</v>
      </c>
      <c r="B71" s="20">
        <v>3431</v>
      </c>
      <c r="C71" s="20">
        <v>600078370</v>
      </c>
      <c r="D71" s="20">
        <v>72744162</v>
      </c>
      <c r="E71" s="175" t="s">
        <v>108</v>
      </c>
      <c r="F71" s="20"/>
      <c r="G71" s="165"/>
      <c r="H71" s="199"/>
      <c r="I71" s="552">
        <v>5755588</v>
      </c>
      <c r="J71" s="548">
        <v>4113840</v>
      </c>
      <c r="K71" s="548">
        <v>65000</v>
      </c>
      <c r="L71" s="548">
        <v>1412448</v>
      </c>
      <c r="M71" s="548">
        <v>82278</v>
      </c>
      <c r="N71" s="548">
        <v>82022</v>
      </c>
      <c r="O71" s="549">
        <v>8.6434000000000015</v>
      </c>
      <c r="P71" s="549">
        <v>6.2790999999999997</v>
      </c>
      <c r="Q71" s="554">
        <v>2.3643000000000001</v>
      </c>
      <c r="R71" s="552">
        <f t="shared" ref="R71:AZ71" si="72">SUM(R66:R70)</f>
        <v>0</v>
      </c>
      <c r="S71" s="548">
        <f t="shared" si="72"/>
        <v>0</v>
      </c>
      <c r="T71" s="548">
        <f t="shared" si="72"/>
        <v>0</v>
      </c>
      <c r="U71" s="548">
        <f t="shared" si="72"/>
        <v>0</v>
      </c>
      <c r="V71" s="548">
        <f t="shared" si="72"/>
        <v>0</v>
      </c>
      <c r="W71" s="548">
        <f t="shared" si="72"/>
        <v>0</v>
      </c>
      <c r="X71" s="548">
        <f t="shared" si="72"/>
        <v>0</v>
      </c>
      <c r="Y71" s="548">
        <f t="shared" si="72"/>
        <v>0</v>
      </c>
      <c r="Z71" s="548">
        <f t="shared" si="72"/>
        <v>0</v>
      </c>
      <c r="AA71" s="548">
        <f t="shared" si="72"/>
        <v>0</v>
      </c>
      <c r="AB71" s="548">
        <f t="shared" si="72"/>
        <v>0</v>
      </c>
      <c r="AC71" s="548">
        <f t="shared" si="72"/>
        <v>0</v>
      </c>
      <c r="AD71" s="548">
        <f t="shared" si="72"/>
        <v>0</v>
      </c>
      <c r="AE71" s="548">
        <f t="shared" si="72"/>
        <v>0</v>
      </c>
      <c r="AF71" s="548">
        <f t="shared" si="72"/>
        <v>0</v>
      </c>
      <c r="AG71" s="548">
        <f t="shared" si="72"/>
        <v>0</v>
      </c>
      <c r="AH71" s="549">
        <f t="shared" si="72"/>
        <v>0</v>
      </c>
      <c r="AI71" s="549">
        <f t="shared" si="72"/>
        <v>0</v>
      </c>
      <c r="AJ71" s="549">
        <f t="shared" si="72"/>
        <v>0</v>
      </c>
      <c r="AK71" s="549">
        <f t="shared" si="72"/>
        <v>0</v>
      </c>
      <c r="AL71" s="549">
        <f t="shared" si="72"/>
        <v>0</v>
      </c>
      <c r="AM71" s="549">
        <f t="shared" si="72"/>
        <v>0</v>
      </c>
      <c r="AN71" s="549">
        <f t="shared" si="72"/>
        <v>0</v>
      </c>
      <c r="AO71" s="549">
        <f t="shared" si="72"/>
        <v>0</v>
      </c>
      <c r="AP71" s="549">
        <f t="shared" si="72"/>
        <v>0</v>
      </c>
      <c r="AQ71" s="45">
        <f t="shared" si="72"/>
        <v>0</v>
      </c>
      <c r="AR71" s="556">
        <f t="shared" si="72"/>
        <v>5755588</v>
      </c>
      <c r="AS71" s="548">
        <f t="shared" si="72"/>
        <v>4113840</v>
      </c>
      <c r="AT71" s="548">
        <f t="shared" si="72"/>
        <v>65000</v>
      </c>
      <c r="AU71" s="548">
        <f t="shared" si="72"/>
        <v>1412448</v>
      </c>
      <c r="AV71" s="548">
        <f t="shared" si="72"/>
        <v>82278</v>
      </c>
      <c r="AW71" s="548">
        <f t="shared" si="72"/>
        <v>82022</v>
      </c>
      <c r="AX71" s="549">
        <f t="shared" si="72"/>
        <v>8.6434000000000015</v>
      </c>
      <c r="AY71" s="549">
        <f t="shared" si="72"/>
        <v>6.2790999999999997</v>
      </c>
      <c r="AZ71" s="45">
        <f t="shared" si="72"/>
        <v>2.3643000000000001</v>
      </c>
    </row>
    <row r="72" spans="1:52" x14ac:dyDescent="0.2">
      <c r="A72" s="220">
        <v>13</v>
      </c>
      <c r="B72" s="221">
        <v>3437</v>
      </c>
      <c r="C72" s="221">
        <v>600078051</v>
      </c>
      <c r="D72" s="221">
        <v>70695377</v>
      </c>
      <c r="E72" s="219" t="s">
        <v>109</v>
      </c>
      <c r="F72" s="221">
        <v>3111</v>
      </c>
      <c r="G72" s="222" t="s">
        <v>312</v>
      </c>
      <c r="H72" s="223" t="s">
        <v>278</v>
      </c>
      <c r="I72" s="494">
        <v>10335881</v>
      </c>
      <c r="J72" s="489">
        <v>7565376</v>
      </c>
      <c r="K72" s="489">
        <v>0</v>
      </c>
      <c r="L72" s="489">
        <v>2557097</v>
      </c>
      <c r="M72" s="489">
        <v>151308</v>
      </c>
      <c r="N72" s="489">
        <v>62100</v>
      </c>
      <c r="O72" s="490">
        <v>16.604500000000002</v>
      </c>
      <c r="P72" s="491">
        <v>12</v>
      </c>
      <c r="Q72" s="500">
        <v>4.6044999999999998</v>
      </c>
      <c r="R72" s="502">
        <f t="shared" si="2"/>
        <v>0</v>
      </c>
      <c r="S72" s="492">
        <v>0</v>
      </c>
      <c r="T72" s="492">
        <v>0</v>
      </c>
      <c r="U72" s="492">
        <v>-36819</v>
      </c>
      <c r="V72" s="492">
        <f t="shared" si="3"/>
        <v>-36819</v>
      </c>
      <c r="W72" s="492">
        <v>0</v>
      </c>
      <c r="X72" s="492">
        <v>0</v>
      </c>
      <c r="Y72" s="492">
        <v>0</v>
      </c>
      <c r="Z72" s="492">
        <f t="shared" si="4"/>
        <v>0</v>
      </c>
      <c r="AA72" s="492">
        <f t="shared" si="5"/>
        <v>-36819</v>
      </c>
      <c r="AB72" s="74">
        <f t="shared" si="6"/>
        <v>-12445</v>
      </c>
      <c r="AC72" s="74">
        <f t="shared" si="7"/>
        <v>-736</v>
      </c>
      <c r="AD72" s="492">
        <v>0</v>
      </c>
      <c r="AE72" s="492">
        <v>50000</v>
      </c>
      <c r="AF72" s="492">
        <f t="shared" si="8"/>
        <v>50000</v>
      </c>
      <c r="AG72" s="492">
        <f t="shared" si="9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ref="AO72:AO74" si="73">AH72+AJ72+AM72+AK72</f>
        <v>0</v>
      </c>
      <c r="AP72" s="493">
        <f t="shared" ref="AP72:AP74" si="74">AI72+AN72+AL72</f>
        <v>0</v>
      </c>
      <c r="AQ72" s="495">
        <f t="shared" si="15"/>
        <v>0</v>
      </c>
      <c r="AR72" s="501">
        <f t="shared" si="11"/>
        <v>10335881</v>
      </c>
      <c r="AS72" s="492">
        <f t="shared" si="12"/>
        <v>7528557</v>
      </c>
      <c r="AT72" s="492">
        <f t="shared" ref="AT72:AT74" si="75">K72+Z72</f>
        <v>0</v>
      </c>
      <c r="AU72" s="492">
        <f t="shared" ref="AU72:AV74" si="76">L72+AB72</f>
        <v>2544652</v>
      </c>
      <c r="AV72" s="492">
        <f t="shared" si="76"/>
        <v>150572</v>
      </c>
      <c r="AW72" s="492">
        <f t="shared" si="13"/>
        <v>112100</v>
      </c>
      <c r="AX72" s="493">
        <f t="shared" si="14"/>
        <v>16.604500000000002</v>
      </c>
      <c r="AY72" s="493">
        <f t="shared" ref="AY72:AZ74" si="77">P72+AO72</f>
        <v>12</v>
      </c>
      <c r="AZ72" s="495">
        <f t="shared" si="77"/>
        <v>4.6044999999999998</v>
      </c>
    </row>
    <row r="73" spans="1:52" x14ac:dyDescent="0.2">
      <c r="A73" s="220">
        <v>13</v>
      </c>
      <c r="B73" s="221">
        <v>3437</v>
      </c>
      <c r="C73" s="221">
        <v>600078051</v>
      </c>
      <c r="D73" s="221">
        <v>70695377</v>
      </c>
      <c r="E73" s="219" t="s">
        <v>109</v>
      </c>
      <c r="F73" s="221">
        <v>3111</v>
      </c>
      <c r="G73" s="222" t="s">
        <v>313</v>
      </c>
      <c r="H73" s="223" t="s">
        <v>279</v>
      </c>
      <c r="I73" s="494">
        <v>258743</v>
      </c>
      <c r="J73" s="489">
        <v>190532</v>
      </c>
      <c r="K73" s="489">
        <v>0</v>
      </c>
      <c r="L73" s="489">
        <v>64400</v>
      </c>
      <c r="M73" s="489">
        <v>3811</v>
      </c>
      <c r="N73" s="489">
        <v>0</v>
      </c>
      <c r="O73" s="490">
        <v>0.75</v>
      </c>
      <c r="P73" s="491">
        <v>0.75</v>
      </c>
      <c r="Q73" s="500">
        <v>0</v>
      </c>
      <c r="R73" s="502">
        <f t="shared" si="2"/>
        <v>0</v>
      </c>
      <c r="S73" s="492">
        <v>0</v>
      </c>
      <c r="T73" s="492">
        <v>0</v>
      </c>
      <c r="U73" s="492">
        <v>0</v>
      </c>
      <c r="V73" s="492">
        <f t="shared" si="3"/>
        <v>0</v>
      </c>
      <c r="W73" s="492">
        <v>0</v>
      </c>
      <c r="X73" s="492">
        <v>0</v>
      </c>
      <c r="Y73" s="492">
        <v>0</v>
      </c>
      <c r="Z73" s="492">
        <f t="shared" si="4"/>
        <v>0</v>
      </c>
      <c r="AA73" s="492">
        <f t="shared" si="5"/>
        <v>0</v>
      </c>
      <c r="AB73" s="74">
        <f t="shared" si="6"/>
        <v>0</v>
      </c>
      <c r="AC73" s="74">
        <f t="shared" si="7"/>
        <v>0</v>
      </c>
      <c r="AD73" s="492">
        <v>0</v>
      </c>
      <c r="AE73" s="492">
        <v>0</v>
      </c>
      <c r="AF73" s="492">
        <f t="shared" si="8"/>
        <v>0</v>
      </c>
      <c r="AG73" s="492">
        <f t="shared" si="9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73"/>
        <v>0</v>
      </c>
      <c r="AP73" s="493">
        <f t="shared" si="74"/>
        <v>0</v>
      </c>
      <c r="AQ73" s="495">
        <f t="shared" si="15"/>
        <v>0</v>
      </c>
      <c r="AR73" s="501">
        <f t="shared" si="11"/>
        <v>258743</v>
      </c>
      <c r="AS73" s="492">
        <f t="shared" si="12"/>
        <v>190532</v>
      </c>
      <c r="AT73" s="492">
        <f t="shared" si="75"/>
        <v>0</v>
      </c>
      <c r="AU73" s="492">
        <f t="shared" si="76"/>
        <v>64400</v>
      </c>
      <c r="AV73" s="492">
        <f t="shared" si="76"/>
        <v>3811</v>
      </c>
      <c r="AW73" s="492">
        <f t="shared" si="13"/>
        <v>0</v>
      </c>
      <c r="AX73" s="493">
        <f t="shared" si="14"/>
        <v>0.75</v>
      </c>
      <c r="AY73" s="493">
        <f t="shared" si="77"/>
        <v>0.75</v>
      </c>
      <c r="AZ73" s="495">
        <f t="shared" si="77"/>
        <v>0</v>
      </c>
    </row>
    <row r="74" spans="1:52" x14ac:dyDescent="0.2">
      <c r="A74" s="220">
        <v>13</v>
      </c>
      <c r="B74" s="221">
        <v>3437</v>
      </c>
      <c r="C74" s="221">
        <v>600078051</v>
      </c>
      <c r="D74" s="221">
        <v>70695377</v>
      </c>
      <c r="E74" s="219" t="s">
        <v>109</v>
      </c>
      <c r="F74" s="221">
        <v>3141</v>
      </c>
      <c r="G74" s="222" t="s">
        <v>316</v>
      </c>
      <c r="H74" s="223" t="s">
        <v>279</v>
      </c>
      <c r="I74" s="494">
        <v>1041844</v>
      </c>
      <c r="J74" s="489">
        <v>763261</v>
      </c>
      <c r="K74" s="489">
        <v>0</v>
      </c>
      <c r="L74" s="489">
        <v>257982</v>
      </c>
      <c r="M74" s="489">
        <v>15265</v>
      </c>
      <c r="N74" s="489">
        <v>5336</v>
      </c>
      <c r="O74" s="490">
        <v>2.4</v>
      </c>
      <c r="P74" s="491">
        <v>0</v>
      </c>
      <c r="Q74" s="500">
        <v>2.4</v>
      </c>
      <c r="R74" s="502">
        <f t="shared" si="2"/>
        <v>0</v>
      </c>
      <c r="S74" s="492">
        <v>0</v>
      </c>
      <c r="T74" s="492">
        <v>0</v>
      </c>
      <c r="U74" s="492">
        <v>0</v>
      </c>
      <c r="V74" s="492">
        <f t="shared" si="3"/>
        <v>0</v>
      </c>
      <c r="W74" s="492">
        <v>0</v>
      </c>
      <c r="X74" s="492">
        <v>0</v>
      </c>
      <c r="Y74" s="492">
        <v>0</v>
      </c>
      <c r="Z74" s="492">
        <f t="shared" si="4"/>
        <v>0</v>
      </c>
      <c r="AA74" s="492">
        <f t="shared" si="5"/>
        <v>0</v>
      </c>
      <c r="AB74" s="74">
        <f t="shared" si="6"/>
        <v>0</v>
      </c>
      <c r="AC74" s="74">
        <f t="shared" si="7"/>
        <v>0</v>
      </c>
      <c r="AD74" s="492">
        <v>0</v>
      </c>
      <c r="AE74" s="492">
        <v>0</v>
      </c>
      <c r="AF74" s="492">
        <f t="shared" si="8"/>
        <v>0</v>
      </c>
      <c r="AG74" s="492">
        <f t="shared" si="9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73"/>
        <v>0</v>
      </c>
      <c r="AP74" s="493">
        <f t="shared" si="74"/>
        <v>0</v>
      </c>
      <c r="AQ74" s="495">
        <f t="shared" si="15"/>
        <v>0</v>
      </c>
      <c r="AR74" s="501">
        <f t="shared" si="11"/>
        <v>1041844</v>
      </c>
      <c r="AS74" s="492">
        <f t="shared" si="12"/>
        <v>763261</v>
      </c>
      <c r="AT74" s="492">
        <f t="shared" si="75"/>
        <v>0</v>
      </c>
      <c r="AU74" s="492">
        <f t="shared" si="76"/>
        <v>257982</v>
      </c>
      <c r="AV74" s="492">
        <f t="shared" si="76"/>
        <v>15265</v>
      </c>
      <c r="AW74" s="492">
        <f t="shared" si="13"/>
        <v>5336</v>
      </c>
      <c r="AX74" s="493">
        <f t="shared" si="14"/>
        <v>2.4</v>
      </c>
      <c r="AY74" s="493">
        <f t="shared" si="77"/>
        <v>0</v>
      </c>
      <c r="AZ74" s="495">
        <f t="shared" si="77"/>
        <v>2.4</v>
      </c>
    </row>
    <row r="75" spans="1:52" x14ac:dyDescent="0.2">
      <c r="A75" s="166">
        <v>13</v>
      </c>
      <c r="B75" s="20">
        <v>3437</v>
      </c>
      <c r="C75" s="20">
        <v>600078051</v>
      </c>
      <c r="D75" s="20">
        <v>70695377</v>
      </c>
      <c r="E75" s="175" t="s">
        <v>110</v>
      </c>
      <c r="F75" s="20"/>
      <c r="G75" s="165"/>
      <c r="H75" s="199"/>
      <c r="I75" s="553">
        <v>11636468</v>
      </c>
      <c r="J75" s="550">
        <v>8519169</v>
      </c>
      <c r="K75" s="550">
        <v>0</v>
      </c>
      <c r="L75" s="550">
        <v>2879479</v>
      </c>
      <c r="M75" s="550">
        <v>170384</v>
      </c>
      <c r="N75" s="550">
        <v>67436</v>
      </c>
      <c r="O75" s="551">
        <v>19.7545</v>
      </c>
      <c r="P75" s="551">
        <v>12.75</v>
      </c>
      <c r="Q75" s="555">
        <v>7.0045000000000002</v>
      </c>
      <c r="R75" s="553">
        <f t="shared" ref="R75:AZ75" si="78">SUM(R72:R74)</f>
        <v>0</v>
      </c>
      <c r="S75" s="550">
        <f t="shared" si="78"/>
        <v>0</v>
      </c>
      <c r="T75" s="550">
        <f t="shared" si="78"/>
        <v>0</v>
      </c>
      <c r="U75" s="550">
        <f t="shared" si="78"/>
        <v>-36819</v>
      </c>
      <c r="V75" s="550">
        <f t="shared" si="78"/>
        <v>-36819</v>
      </c>
      <c r="W75" s="550">
        <f t="shared" si="78"/>
        <v>0</v>
      </c>
      <c r="X75" s="550">
        <f t="shared" si="78"/>
        <v>0</v>
      </c>
      <c r="Y75" s="550">
        <f t="shared" si="78"/>
        <v>0</v>
      </c>
      <c r="Z75" s="550">
        <f t="shared" si="78"/>
        <v>0</v>
      </c>
      <c r="AA75" s="550">
        <f t="shared" si="78"/>
        <v>-36819</v>
      </c>
      <c r="AB75" s="550">
        <f t="shared" si="78"/>
        <v>-12445</v>
      </c>
      <c r="AC75" s="550">
        <f t="shared" si="78"/>
        <v>-736</v>
      </c>
      <c r="AD75" s="550">
        <f t="shared" si="78"/>
        <v>0</v>
      </c>
      <c r="AE75" s="550">
        <f t="shared" si="78"/>
        <v>50000</v>
      </c>
      <c r="AF75" s="550">
        <f t="shared" si="78"/>
        <v>50000</v>
      </c>
      <c r="AG75" s="550">
        <f t="shared" si="78"/>
        <v>0</v>
      </c>
      <c r="AH75" s="551">
        <f t="shared" si="78"/>
        <v>0</v>
      </c>
      <c r="AI75" s="551">
        <f t="shared" si="78"/>
        <v>0</v>
      </c>
      <c r="AJ75" s="551">
        <f t="shared" si="78"/>
        <v>0</v>
      </c>
      <c r="AK75" s="551">
        <f t="shared" si="78"/>
        <v>0</v>
      </c>
      <c r="AL75" s="551">
        <f t="shared" si="78"/>
        <v>0</v>
      </c>
      <c r="AM75" s="551">
        <f t="shared" si="78"/>
        <v>0</v>
      </c>
      <c r="AN75" s="551">
        <f t="shared" si="78"/>
        <v>0</v>
      </c>
      <c r="AO75" s="551">
        <f t="shared" si="78"/>
        <v>0</v>
      </c>
      <c r="AP75" s="551">
        <f t="shared" si="78"/>
        <v>0</v>
      </c>
      <c r="AQ75" s="44">
        <f t="shared" si="78"/>
        <v>0</v>
      </c>
      <c r="AR75" s="557">
        <f t="shared" si="78"/>
        <v>11636468</v>
      </c>
      <c r="AS75" s="550">
        <f t="shared" si="78"/>
        <v>8482350</v>
      </c>
      <c r="AT75" s="550">
        <f t="shared" si="78"/>
        <v>0</v>
      </c>
      <c r="AU75" s="550">
        <f t="shared" si="78"/>
        <v>2867034</v>
      </c>
      <c r="AV75" s="550">
        <f t="shared" si="78"/>
        <v>169648</v>
      </c>
      <c r="AW75" s="550">
        <f t="shared" si="78"/>
        <v>117436</v>
      </c>
      <c r="AX75" s="551">
        <f t="shared" si="78"/>
        <v>19.7545</v>
      </c>
      <c r="AY75" s="551">
        <f t="shared" si="78"/>
        <v>12.75</v>
      </c>
      <c r="AZ75" s="44">
        <f t="shared" si="78"/>
        <v>7.0045000000000002</v>
      </c>
    </row>
    <row r="76" spans="1:52" x14ac:dyDescent="0.2">
      <c r="A76" s="220">
        <v>14</v>
      </c>
      <c r="B76" s="221">
        <v>3436</v>
      </c>
      <c r="C76" s="221">
        <v>600078485</v>
      </c>
      <c r="D76" s="221">
        <v>70695385</v>
      </c>
      <c r="E76" s="219" t="s">
        <v>111</v>
      </c>
      <c r="F76" s="221">
        <v>3113</v>
      </c>
      <c r="G76" s="222" t="s">
        <v>315</v>
      </c>
      <c r="H76" s="223" t="s">
        <v>278</v>
      </c>
      <c r="I76" s="494">
        <v>23597252</v>
      </c>
      <c r="J76" s="489">
        <v>16952675</v>
      </c>
      <c r="K76" s="489">
        <v>0</v>
      </c>
      <c r="L76" s="489">
        <v>5730004</v>
      </c>
      <c r="M76" s="489">
        <v>339053</v>
      </c>
      <c r="N76" s="489">
        <v>575520</v>
      </c>
      <c r="O76" s="490">
        <v>31.809899999999999</v>
      </c>
      <c r="P76" s="491">
        <v>24.2273</v>
      </c>
      <c r="Q76" s="500">
        <v>7.5826000000000002</v>
      </c>
      <c r="R76" s="502">
        <f t="shared" si="2"/>
        <v>0</v>
      </c>
      <c r="S76" s="492">
        <v>0</v>
      </c>
      <c r="T76" s="492">
        <v>0</v>
      </c>
      <c r="U76" s="492">
        <v>0</v>
      </c>
      <c r="V76" s="492">
        <f t="shared" si="3"/>
        <v>0</v>
      </c>
      <c r="W76" s="492">
        <v>0</v>
      </c>
      <c r="X76" s="492">
        <v>0</v>
      </c>
      <c r="Y76" s="492">
        <v>0</v>
      </c>
      <c r="Z76" s="492">
        <f t="shared" si="4"/>
        <v>0</v>
      </c>
      <c r="AA76" s="492">
        <f t="shared" si="5"/>
        <v>0</v>
      </c>
      <c r="AB76" s="74">
        <f t="shared" si="6"/>
        <v>0</v>
      </c>
      <c r="AC76" s="74">
        <f t="shared" si="7"/>
        <v>0</v>
      </c>
      <c r="AD76" s="492">
        <v>0</v>
      </c>
      <c r="AE76" s="492">
        <v>0</v>
      </c>
      <c r="AF76" s="492">
        <f t="shared" si="8"/>
        <v>0</v>
      </c>
      <c r="AG76" s="492">
        <f t="shared" si="9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ref="AO76:AO80" si="79">AH76+AJ76+AM76+AK76</f>
        <v>0</v>
      </c>
      <c r="AP76" s="493">
        <f t="shared" ref="AP76:AP80" si="80">AI76+AN76+AL76</f>
        <v>0</v>
      </c>
      <c r="AQ76" s="495">
        <f t="shared" si="15"/>
        <v>0</v>
      </c>
      <c r="AR76" s="501">
        <f t="shared" si="11"/>
        <v>23597252</v>
      </c>
      <c r="AS76" s="492">
        <f t="shared" si="12"/>
        <v>16952675</v>
      </c>
      <c r="AT76" s="492">
        <f t="shared" ref="AT76:AT80" si="81">K76+Z76</f>
        <v>0</v>
      </c>
      <c r="AU76" s="492">
        <f t="shared" ref="AU76:AV80" si="82">L76+AB76</f>
        <v>5730004</v>
      </c>
      <c r="AV76" s="492">
        <f t="shared" si="82"/>
        <v>339053</v>
      </c>
      <c r="AW76" s="492">
        <f t="shared" si="13"/>
        <v>575520</v>
      </c>
      <c r="AX76" s="493">
        <f t="shared" si="14"/>
        <v>31.809899999999999</v>
      </c>
      <c r="AY76" s="493">
        <f t="shared" ref="AY76:AZ80" si="83">P76+AO76</f>
        <v>24.2273</v>
      </c>
      <c r="AZ76" s="495">
        <f t="shared" si="83"/>
        <v>7.5826000000000002</v>
      </c>
    </row>
    <row r="77" spans="1:52" x14ac:dyDescent="0.2">
      <c r="A77" s="220">
        <v>14</v>
      </c>
      <c r="B77" s="221">
        <v>3436</v>
      </c>
      <c r="C77" s="221">
        <v>600078485</v>
      </c>
      <c r="D77" s="221">
        <v>70695385</v>
      </c>
      <c r="E77" s="219" t="s">
        <v>111</v>
      </c>
      <c r="F77" s="221">
        <v>3113</v>
      </c>
      <c r="G77" s="222" t="s">
        <v>313</v>
      </c>
      <c r="H77" s="223" t="s">
        <v>279</v>
      </c>
      <c r="I77" s="494">
        <v>2783631</v>
      </c>
      <c r="J77" s="489">
        <v>2049802</v>
      </c>
      <c r="K77" s="489">
        <v>0</v>
      </c>
      <c r="L77" s="489">
        <v>692833</v>
      </c>
      <c r="M77" s="489">
        <v>40996</v>
      </c>
      <c r="N77" s="489">
        <v>0</v>
      </c>
      <c r="O77" s="490">
        <v>5.92</v>
      </c>
      <c r="P77" s="491">
        <v>5.92</v>
      </c>
      <c r="Q77" s="500">
        <v>0</v>
      </c>
      <c r="R77" s="502">
        <f t="shared" ref="R77:R98" si="84">W77*-1</f>
        <v>0</v>
      </c>
      <c r="S77" s="492">
        <v>0</v>
      </c>
      <c r="T77" s="492">
        <v>0</v>
      </c>
      <c r="U77" s="492">
        <v>0</v>
      </c>
      <c r="V77" s="492">
        <f t="shared" ref="V77:V98" si="85">SUM(R77:U77)</f>
        <v>0</v>
      </c>
      <c r="W77" s="492">
        <v>0</v>
      </c>
      <c r="X77" s="492">
        <v>0</v>
      </c>
      <c r="Y77" s="492">
        <v>0</v>
      </c>
      <c r="Z77" s="492">
        <f t="shared" ref="Z77:Z98" si="86">SUM(W77:Y77)</f>
        <v>0</v>
      </c>
      <c r="AA77" s="492">
        <f t="shared" ref="AA77:AA98" si="87">V77+Z77</f>
        <v>0</v>
      </c>
      <c r="AB77" s="74">
        <f t="shared" ref="AB77:AB98" si="88">ROUND((V77+W77+X77)*33.8%,0)</f>
        <v>0</v>
      </c>
      <c r="AC77" s="74">
        <f t="shared" ref="AC77:AC98" si="89">ROUND(V77*2%,0)</f>
        <v>0</v>
      </c>
      <c r="AD77" s="492">
        <v>0</v>
      </c>
      <c r="AE77" s="492">
        <v>0</v>
      </c>
      <c r="AF77" s="492">
        <f t="shared" ref="AF77:AF98" si="90">SUM(AD77:AE77)</f>
        <v>0</v>
      </c>
      <c r="AG77" s="492">
        <f t="shared" ref="AG77:AG98" si="91">AA77+AB77+AC77+AF77</f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si="79"/>
        <v>0</v>
      </c>
      <c r="AP77" s="493">
        <f t="shared" si="80"/>
        <v>0</v>
      </c>
      <c r="AQ77" s="495">
        <f t="shared" ref="AQ77:AQ98" si="92">SUM(AO77:AP77)</f>
        <v>0</v>
      </c>
      <c r="AR77" s="501">
        <f t="shared" ref="AR77:AR98" si="93">I77+AG77</f>
        <v>2783631</v>
      </c>
      <c r="AS77" s="492">
        <f t="shared" ref="AS77:AS98" si="94">J77+V77</f>
        <v>2049802</v>
      </c>
      <c r="AT77" s="492">
        <f t="shared" si="81"/>
        <v>0</v>
      </c>
      <c r="AU77" s="492">
        <f t="shared" si="82"/>
        <v>692833</v>
      </c>
      <c r="AV77" s="492">
        <f t="shared" si="82"/>
        <v>40996</v>
      </c>
      <c r="AW77" s="492">
        <f t="shared" ref="AW77:AW98" si="95">N77+AF77</f>
        <v>0</v>
      </c>
      <c r="AX77" s="493">
        <f t="shared" ref="AX77:AX98" si="96">O77+AQ77</f>
        <v>5.92</v>
      </c>
      <c r="AY77" s="493">
        <f t="shared" si="83"/>
        <v>5.92</v>
      </c>
      <c r="AZ77" s="495">
        <f t="shared" si="83"/>
        <v>0</v>
      </c>
    </row>
    <row r="78" spans="1:52" x14ac:dyDescent="0.2">
      <c r="A78" s="220">
        <v>14</v>
      </c>
      <c r="B78" s="221">
        <v>3436</v>
      </c>
      <c r="C78" s="221">
        <v>600078485</v>
      </c>
      <c r="D78" s="221">
        <v>70695385</v>
      </c>
      <c r="E78" s="219" t="s">
        <v>111</v>
      </c>
      <c r="F78" s="221">
        <v>3141</v>
      </c>
      <c r="G78" s="222" t="s">
        <v>316</v>
      </c>
      <c r="H78" s="223" t="s">
        <v>279</v>
      </c>
      <c r="I78" s="494">
        <v>2941673</v>
      </c>
      <c r="J78" s="489">
        <v>2149737</v>
      </c>
      <c r="K78" s="489">
        <v>0</v>
      </c>
      <c r="L78" s="489">
        <v>726611</v>
      </c>
      <c r="M78" s="489">
        <v>42995</v>
      </c>
      <c r="N78" s="489">
        <v>22330</v>
      </c>
      <c r="O78" s="490">
        <v>6.77</v>
      </c>
      <c r="P78" s="491">
        <v>0</v>
      </c>
      <c r="Q78" s="500">
        <v>6.77</v>
      </c>
      <c r="R78" s="502">
        <f t="shared" si="84"/>
        <v>0</v>
      </c>
      <c r="S78" s="492">
        <v>0</v>
      </c>
      <c r="T78" s="492">
        <v>0</v>
      </c>
      <c r="U78" s="492">
        <v>0</v>
      </c>
      <c r="V78" s="492">
        <f t="shared" si="85"/>
        <v>0</v>
      </c>
      <c r="W78" s="492">
        <v>0</v>
      </c>
      <c r="X78" s="492">
        <v>0</v>
      </c>
      <c r="Y78" s="492">
        <v>0</v>
      </c>
      <c r="Z78" s="492">
        <f t="shared" si="86"/>
        <v>0</v>
      </c>
      <c r="AA78" s="492">
        <f t="shared" si="87"/>
        <v>0</v>
      </c>
      <c r="AB78" s="74">
        <f t="shared" si="88"/>
        <v>0</v>
      </c>
      <c r="AC78" s="74">
        <f t="shared" si="89"/>
        <v>0</v>
      </c>
      <c r="AD78" s="492">
        <v>0</v>
      </c>
      <c r="AE78" s="492">
        <v>0</v>
      </c>
      <c r="AF78" s="492">
        <f t="shared" si="90"/>
        <v>0</v>
      </c>
      <c r="AG78" s="492">
        <f t="shared" si="91"/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79"/>
        <v>0</v>
      </c>
      <c r="AP78" s="493">
        <f t="shared" si="80"/>
        <v>0</v>
      </c>
      <c r="AQ78" s="495">
        <f t="shared" si="92"/>
        <v>0</v>
      </c>
      <c r="AR78" s="501">
        <f t="shared" si="93"/>
        <v>2941673</v>
      </c>
      <c r="AS78" s="492">
        <f t="shared" si="94"/>
        <v>2149737</v>
      </c>
      <c r="AT78" s="492">
        <f t="shared" si="81"/>
        <v>0</v>
      </c>
      <c r="AU78" s="492">
        <f t="shared" si="82"/>
        <v>726611</v>
      </c>
      <c r="AV78" s="492">
        <f t="shared" si="82"/>
        <v>42995</v>
      </c>
      <c r="AW78" s="492">
        <f t="shared" si="95"/>
        <v>22330</v>
      </c>
      <c r="AX78" s="493">
        <f t="shared" si="96"/>
        <v>6.77</v>
      </c>
      <c r="AY78" s="493">
        <f t="shared" si="83"/>
        <v>0</v>
      </c>
      <c r="AZ78" s="495">
        <f t="shared" si="83"/>
        <v>6.77</v>
      </c>
    </row>
    <row r="79" spans="1:52" x14ac:dyDescent="0.2">
      <c r="A79" s="220">
        <v>14</v>
      </c>
      <c r="B79" s="221">
        <v>3436</v>
      </c>
      <c r="C79" s="221">
        <v>600078485</v>
      </c>
      <c r="D79" s="221">
        <v>70695385</v>
      </c>
      <c r="E79" s="219" t="s">
        <v>111</v>
      </c>
      <c r="F79" s="221">
        <v>3143</v>
      </c>
      <c r="G79" s="222" t="s">
        <v>629</v>
      </c>
      <c r="H79" s="243" t="s">
        <v>278</v>
      </c>
      <c r="I79" s="494">
        <v>2075079</v>
      </c>
      <c r="J79" s="489">
        <v>1528040</v>
      </c>
      <c r="K79" s="489">
        <v>0</v>
      </c>
      <c r="L79" s="489">
        <v>516478</v>
      </c>
      <c r="M79" s="489">
        <v>30561</v>
      </c>
      <c r="N79" s="489">
        <v>0</v>
      </c>
      <c r="O79" s="490">
        <v>2.9910999999999999</v>
      </c>
      <c r="P79" s="491">
        <v>2.9910999999999999</v>
      </c>
      <c r="Q79" s="500">
        <v>0</v>
      </c>
      <c r="R79" s="502">
        <f t="shared" si="84"/>
        <v>0</v>
      </c>
      <c r="S79" s="492">
        <v>0</v>
      </c>
      <c r="T79" s="492">
        <v>0</v>
      </c>
      <c r="U79" s="492">
        <v>0</v>
      </c>
      <c r="V79" s="492">
        <f t="shared" si="85"/>
        <v>0</v>
      </c>
      <c r="W79" s="492">
        <v>0</v>
      </c>
      <c r="X79" s="492">
        <v>0</v>
      </c>
      <c r="Y79" s="492">
        <v>0</v>
      </c>
      <c r="Z79" s="492">
        <f t="shared" si="86"/>
        <v>0</v>
      </c>
      <c r="AA79" s="492">
        <f t="shared" si="87"/>
        <v>0</v>
      </c>
      <c r="AB79" s="74">
        <f t="shared" si="88"/>
        <v>0</v>
      </c>
      <c r="AC79" s="74">
        <f t="shared" si="89"/>
        <v>0</v>
      </c>
      <c r="AD79" s="492">
        <v>0</v>
      </c>
      <c r="AE79" s="492">
        <v>0</v>
      </c>
      <c r="AF79" s="492">
        <f t="shared" si="90"/>
        <v>0</v>
      </c>
      <c r="AG79" s="492">
        <f t="shared" si="91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79"/>
        <v>0</v>
      </c>
      <c r="AP79" s="493">
        <f t="shared" si="80"/>
        <v>0</v>
      </c>
      <c r="AQ79" s="495">
        <f t="shared" si="92"/>
        <v>0</v>
      </c>
      <c r="AR79" s="501">
        <f t="shared" si="93"/>
        <v>2075079</v>
      </c>
      <c r="AS79" s="492">
        <f t="shared" si="94"/>
        <v>1528040</v>
      </c>
      <c r="AT79" s="492">
        <f t="shared" si="81"/>
        <v>0</v>
      </c>
      <c r="AU79" s="492">
        <f t="shared" si="82"/>
        <v>516478</v>
      </c>
      <c r="AV79" s="492">
        <f t="shared" si="82"/>
        <v>30561</v>
      </c>
      <c r="AW79" s="492">
        <f t="shared" si="95"/>
        <v>0</v>
      </c>
      <c r="AX79" s="493">
        <f t="shared" si="96"/>
        <v>2.9910999999999999</v>
      </c>
      <c r="AY79" s="493">
        <f t="shared" si="83"/>
        <v>2.9910999999999999</v>
      </c>
      <c r="AZ79" s="495">
        <f t="shared" si="83"/>
        <v>0</v>
      </c>
    </row>
    <row r="80" spans="1:52" x14ac:dyDescent="0.2">
      <c r="A80" s="220">
        <v>14</v>
      </c>
      <c r="B80" s="221">
        <v>3436</v>
      </c>
      <c r="C80" s="221">
        <v>600078485</v>
      </c>
      <c r="D80" s="221">
        <v>70695385</v>
      </c>
      <c r="E80" s="219" t="s">
        <v>111</v>
      </c>
      <c r="F80" s="221">
        <v>3143</v>
      </c>
      <c r="G80" s="222" t="s">
        <v>630</v>
      </c>
      <c r="H80" s="243" t="s">
        <v>279</v>
      </c>
      <c r="I80" s="494">
        <v>82403</v>
      </c>
      <c r="J80" s="489">
        <v>58272</v>
      </c>
      <c r="K80" s="489">
        <v>0</v>
      </c>
      <c r="L80" s="489">
        <v>19696</v>
      </c>
      <c r="M80" s="489">
        <v>1165</v>
      </c>
      <c r="N80" s="489">
        <v>3270</v>
      </c>
      <c r="O80" s="490">
        <v>0.23</v>
      </c>
      <c r="P80" s="491">
        <v>0</v>
      </c>
      <c r="Q80" s="500">
        <v>0.23</v>
      </c>
      <c r="R80" s="502">
        <f t="shared" si="84"/>
        <v>0</v>
      </c>
      <c r="S80" s="492">
        <v>0</v>
      </c>
      <c r="T80" s="492">
        <v>0</v>
      </c>
      <c r="U80" s="492">
        <v>0</v>
      </c>
      <c r="V80" s="492">
        <f t="shared" si="85"/>
        <v>0</v>
      </c>
      <c r="W80" s="492">
        <v>0</v>
      </c>
      <c r="X80" s="492">
        <v>0</v>
      </c>
      <c r="Y80" s="492">
        <v>0</v>
      </c>
      <c r="Z80" s="492">
        <f t="shared" si="86"/>
        <v>0</v>
      </c>
      <c r="AA80" s="492">
        <f t="shared" si="87"/>
        <v>0</v>
      </c>
      <c r="AB80" s="74">
        <f t="shared" si="88"/>
        <v>0</v>
      </c>
      <c r="AC80" s="74">
        <f t="shared" si="89"/>
        <v>0</v>
      </c>
      <c r="AD80" s="492">
        <v>0</v>
      </c>
      <c r="AE80" s="492">
        <v>0</v>
      </c>
      <c r="AF80" s="492">
        <f t="shared" si="90"/>
        <v>0</v>
      </c>
      <c r="AG80" s="492">
        <f t="shared" si="91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79"/>
        <v>0</v>
      </c>
      <c r="AP80" s="493">
        <f t="shared" si="80"/>
        <v>0</v>
      </c>
      <c r="AQ80" s="495">
        <f t="shared" si="92"/>
        <v>0</v>
      </c>
      <c r="AR80" s="501">
        <f t="shared" si="93"/>
        <v>82403</v>
      </c>
      <c r="AS80" s="492">
        <f t="shared" si="94"/>
        <v>58272</v>
      </c>
      <c r="AT80" s="492">
        <f t="shared" si="81"/>
        <v>0</v>
      </c>
      <c r="AU80" s="492">
        <f t="shared" si="82"/>
        <v>19696</v>
      </c>
      <c r="AV80" s="492">
        <f t="shared" si="82"/>
        <v>1165</v>
      </c>
      <c r="AW80" s="492">
        <f t="shared" si="95"/>
        <v>3270</v>
      </c>
      <c r="AX80" s="493">
        <f t="shared" si="96"/>
        <v>0.23</v>
      </c>
      <c r="AY80" s="493">
        <f t="shared" si="83"/>
        <v>0</v>
      </c>
      <c r="AZ80" s="495">
        <f t="shared" si="83"/>
        <v>0.23</v>
      </c>
    </row>
    <row r="81" spans="1:52" x14ac:dyDescent="0.2">
      <c r="A81" s="166">
        <v>14</v>
      </c>
      <c r="B81" s="20">
        <v>3436</v>
      </c>
      <c r="C81" s="20">
        <v>600078485</v>
      </c>
      <c r="D81" s="20">
        <v>70695385</v>
      </c>
      <c r="E81" s="175" t="s">
        <v>112</v>
      </c>
      <c r="F81" s="20"/>
      <c r="G81" s="165"/>
      <c r="H81" s="199"/>
      <c r="I81" s="552">
        <v>31480038</v>
      </c>
      <c r="J81" s="548">
        <v>22738526</v>
      </c>
      <c r="K81" s="548">
        <v>0</v>
      </c>
      <c r="L81" s="548">
        <v>7685622</v>
      </c>
      <c r="M81" s="548">
        <v>454770</v>
      </c>
      <c r="N81" s="548">
        <v>601120</v>
      </c>
      <c r="O81" s="549">
        <v>47.720999999999997</v>
      </c>
      <c r="P81" s="549">
        <v>33.138400000000004</v>
      </c>
      <c r="Q81" s="554">
        <v>14.582599999999999</v>
      </c>
      <c r="R81" s="552">
        <f t="shared" ref="R81:AZ81" si="97">SUM(R76:R80)</f>
        <v>0</v>
      </c>
      <c r="S81" s="548">
        <f t="shared" si="97"/>
        <v>0</v>
      </c>
      <c r="T81" s="548">
        <f t="shared" si="97"/>
        <v>0</v>
      </c>
      <c r="U81" s="548">
        <f t="shared" si="97"/>
        <v>0</v>
      </c>
      <c r="V81" s="548">
        <f t="shared" si="97"/>
        <v>0</v>
      </c>
      <c r="W81" s="548">
        <f t="shared" si="97"/>
        <v>0</v>
      </c>
      <c r="X81" s="548">
        <f t="shared" si="97"/>
        <v>0</v>
      </c>
      <c r="Y81" s="548">
        <f t="shared" si="97"/>
        <v>0</v>
      </c>
      <c r="Z81" s="548">
        <f t="shared" si="97"/>
        <v>0</v>
      </c>
      <c r="AA81" s="548">
        <f t="shared" si="97"/>
        <v>0</v>
      </c>
      <c r="AB81" s="548">
        <f t="shared" si="97"/>
        <v>0</v>
      </c>
      <c r="AC81" s="548">
        <f t="shared" si="97"/>
        <v>0</v>
      </c>
      <c r="AD81" s="548">
        <f t="shared" si="97"/>
        <v>0</v>
      </c>
      <c r="AE81" s="548">
        <f t="shared" si="97"/>
        <v>0</v>
      </c>
      <c r="AF81" s="548">
        <f t="shared" si="97"/>
        <v>0</v>
      </c>
      <c r="AG81" s="548">
        <f t="shared" si="97"/>
        <v>0</v>
      </c>
      <c r="AH81" s="549">
        <f t="shared" si="97"/>
        <v>0</v>
      </c>
      <c r="AI81" s="549">
        <f t="shared" si="97"/>
        <v>0</v>
      </c>
      <c r="AJ81" s="549">
        <f t="shared" si="97"/>
        <v>0</v>
      </c>
      <c r="AK81" s="549">
        <f t="shared" si="97"/>
        <v>0</v>
      </c>
      <c r="AL81" s="549">
        <f t="shared" si="97"/>
        <v>0</v>
      </c>
      <c r="AM81" s="549">
        <f t="shared" si="97"/>
        <v>0</v>
      </c>
      <c r="AN81" s="549">
        <f t="shared" si="97"/>
        <v>0</v>
      </c>
      <c r="AO81" s="549">
        <f t="shared" si="97"/>
        <v>0</v>
      </c>
      <c r="AP81" s="549">
        <f t="shared" si="97"/>
        <v>0</v>
      </c>
      <c r="AQ81" s="45">
        <f t="shared" si="97"/>
        <v>0</v>
      </c>
      <c r="AR81" s="556">
        <f t="shared" si="97"/>
        <v>31480038</v>
      </c>
      <c r="AS81" s="548">
        <f t="shared" si="97"/>
        <v>22738526</v>
      </c>
      <c r="AT81" s="548">
        <f t="shared" si="97"/>
        <v>0</v>
      </c>
      <c r="AU81" s="548">
        <f t="shared" si="97"/>
        <v>7685622</v>
      </c>
      <c r="AV81" s="548">
        <f t="shared" si="97"/>
        <v>454770</v>
      </c>
      <c r="AW81" s="548">
        <f t="shared" si="97"/>
        <v>601120</v>
      </c>
      <c r="AX81" s="549">
        <f t="shared" si="97"/>
        <v>47.720999999999997</v>
      </c>
      <c r="AY81" s="549">
        <f t="shared" si="97"/>
        <v>33.138400000000004</v>
      </c>
      <c r="AZ81" s="45">
        <f t="shared" si="97"/>
        <v>14.582599999999999</v>
      </c>
    </row>
    <row r="82" spans="1:52" x14ac:dyDescent="0.2">
      <c r="A82" s="220">
        <v>15</v>
      </c>
      <c r="B82" s="221">
        <v>3442</v>
      </c>
      <c r="C82" s="221">
        <v>600078205</v>
      </c>
      <c r="D82" s="221">
        <v>72743638</v>
      </c>
      <c r="E82" s="219" t="s">
        <v>113</v>
      </c>
      <c r="F82" s="221">
        <v>3111</v>
      </c>
      <c r="G82" s="222" t="s">
        <v>312</v>
      </c>
      <c r="H82" s="223" t="s">
        <v>278</v>
      </c>
      <c r="I82" s="494">
        <v>5868397</v>
      </c>
      <c r="J82" s="489">
        <v>4293849</v>
      </c>
      <c r="K82" s="489">
        <v>0</v>
      </c>
      <c r="L82" s="489">
        <v>1451321</v>
      </c>
      <c r="M82" s="489">
        <v>85877</v>
      </c>
      <c r="N82" s="489">
        <v>37350</v>
      </c>
      <c r="O82" s="490">
        <v>9.6682000000000006</v>
      </c>
      <c r="P82" s="491">
        <v>7</v>
      </c>
      <c r="Q82" s="500">
        <v>2.6682000000000001</v>
      </c>
      <c r="R82" s="502">
        <f t="shared" si="84"/>
        <v>0</v>
      </c>
      <c r="S82" s="492">
        <v>0</v>
      </c>
      <c r="T82" s="492">
        <v>0</v>
      </c>
      <c r="U82" s="492">
        <v>0</v>
      </c>
      <c r="V82" s="492">
        <f t="shared" si="85"/>
        <v>0</v>
      </c>
      <c r="W82" s="492">
        <v>0</v>
      </c>
      <c r="X82" s="492">
        <v>0</v>
      </c>
      <c r="Y82" s="492">
        <v>0</v>
      </c>
      <c r="Z82" s="492">
        <f t="shared" si="86"/>
        <v>0</v>
      </c>
      <c r="AA82" s="492">
        <f t="shared" si="87"/>
        <v>0</v>
      </c>
      <c r="AB82" s="74">
        <f t="shared" si="88"/>
        <v>0</v>
      </c>
      <c r="AC82" s="74">
        <f t="shared" si="89"/>
        <v>0</v>
      </c>
      <c r="AD82" s="492">
        <v>0</v>
      </c>
      <c r="AE82" s="492">
        <v>0</v>
      </c>
      <c r="AF82" s="492">
        <f t="shared" si="90"/>
        <v>0</v>
      </c>
      <c r="AG82" s="492">
        <f t="shared" si="91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ref="AO82:AO84" si="98">AH82+AJ82+AM82+AK82</f>
        <v>0</v>
      </c>
      <c r="AP82" s="493">
        <f t="shared" ref="AP82:AP84" si="99">AI82+AN82+AL82</f>
        <v>0</v>
      </c>
      <c r="AQ82" s="495">
        <f t="shared" si="92"/>
        <v>0</v>
      </c>
      <c r="AR82" s="501">
        <f t="shared" si="93"/>
        <v>5868397</v>
      </c>
      <c r="AS82" s="492">
        <f t="shared" si="94"/>
        <v>4293849</v>
      </c>
      <c r="AT82" s="492">
        <f t="shared" ref="AT82:AT84" si="100">K82+Z82</f>
        <v>0</v>
      </c>
      <c r="AU82" s="492">
        <f t="shared" ref="AU82:AV84" si="101">L82+AB82</f>
        <v>1451321</v>
      </c>
      <c r="AV82" s="492">
        <f t="shared" si="101"/>
        <v>85877</v>
      </c>
      <c r="AW82" s="492">
        <f t="shared" si="95"/>
        <v>37350</v>
      </c>
      <c r="AX82" s="493">
        <f t="shared" si="96"/>
        <v>9.6682000000000006</v>
      </c>
      <c r="AY82" s="493">
        <f t="shared" ref="AY82:AZ84" si="102">P82+AO82</f>
        <v>7</v>
      </c>
      <c r="AZ82" s="495">
        <f t="shared" si="102"/>
        <v>2.6682000000000001</v>
      </c>
    </row>
    <row r="83" spans="1:52" x14ac:dyDescent="0.2">
      <c r="A83" s="220">
        <v>15</v>
      </c>
      <c r="B83" s="221">
        <v>3442</v>
      </c>
      <c r="C83" s="221">
        <v>600078205</v>
      </c>
      <c r="D83" s="221">
        <v>72743638</v>
      </c>
      <c r="E83" s="219" t="s">
        <v>113</v>
      </c>
      <c r="F83" s="221">
        <v>3111</v>
      </c>
      <c r="G83" s="222" t="s">
        <v>313</v>
      </c>
      <c r="H83" s="223" t="s">
        <v>279</v>
      </c>
      <c r="I83" s="494">
        <v>1529028</v>
      </c>
      <c r="J83" s="489">
        <v>1125941</v>
      </c>
      <c r="K83" s="489">
        <v>0</v>
      </c>
      <c r="L83" s="489">
        <v>380568</v>
      </c>
      <c r="M83" s="489">
        <v>22519</v>
      </c>
      <c r="N83" s="489">
        <v>0</v>
      </c>
      <c r="O83" s="490">
        <v>3.25</v>
      </c>
      <c r="P83" s="491">
        <v>3.25</v>
      </c>
      <c r="Q83" s="500">
        <v>0</v>
      </c>
      <c r="R83" s="502">
        <f t="shared" si="84"/>
        <v>0</v>
      </c>
      <c r="S83" s="492">
        <v>0</v>
      </c>
      <c r="T83" s="492">
        <v>0</v>
      </c>
      <c r="U83" s="492">
        <v>0</v>
      </c>
      <c r="V83" s="492">
        <f t="shared" si="85"/>
        <v>0</v>
      </c>
      <c r="W83" s="492">
        <v>0</v>
      </c>
      <c r="X83" s="492">
        <v>0</v>
      </c>
      <c r="Y83" s="492">
        <v>0</v>
      </c>
      <c r="Z83" s="492">
        <f t="shared" si="86"/>
        <v>0</v>
      </c>
      <c r="AA83" s="492">
        <f t="shared" si="87"/>
        <v>0</v>
      </c>
      <c r="AB83" s="74">
        <f t="shared" si="88"/>
        <v>0</v>
      </c>
      <c r="AC83" s="74">
        <f t="shared" si="89"/>
        <v>0</v>
      </c>
      <c r="AD83" s="492">
        <v>0</v>
      </c>
      <c r="AE83" s="492">
        <v>0</v>
      </c>
      <c r="AF83" s="492">
        <f t="shared" si="90"/>
        <v>0</v>
      </c>
      <c r="AG83" s="492">
        <f t="shared" si="91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98"/>
        <v>0</v>
      </c>
      <c r="AP83" s="493">
        <f t="shared" si="99"/>
        <v>0</v>
      </c>
      <c r="AQ83" s="495">
        <f t="shared" si="92"/>
        <v>0</v>
      </c>
      <c r="AR83" s="501">
        <f t="shared" si="93"/>
        <v>1529028</v>
      </c>
      <c r="AS83" s="492">
        <f t="shared" si="94"/>
        <v>1125941</v>
      </c>
      <c r="AT83" s="492">
        <f t="shared" si="100"/>
        <v>0</v>
      </c>
      <c r="AU83" s="492">
        <f t="shared" si="101"/>
        <v>380568</v>
      </c>
      <c r="AV83" s="492">
        <f t="shared" si="101"/>
        <v>22519</v>
      </c>
      <c r="AW83" s="492">
        <f t="shared" si="95"/>
        <v>0</v>
      </c>
      <c r="AX83" s="493">
        <f t="shared" si="96"/>
        <v>3.25</v>
      </c>
      <c r="AY83" s="493">
        <f t="shared" si="102"/>
        <v>3.25</v>
      </c>
      <c r="AZ83" s="495">
        <f t="shared" si="102"/>
        <v>0</v>
      </c>
    </row>
    <row r="84" spans="1:52" s="3" customFormat="1" x14ac:dyDescent="0.2">
      <c r="A84" s="220">
        <v>15</v>
      </c>
      <c r="B84" s="221">
        <v>3442</v>
      </c>
      <c r="C84" s="221">
        <v>600078205</v>
      </c>
      <c r="D84" s="221">
        <v>72743638</v>
      </c>
      <c r="E84" s="219" t="s">
        <v>114</v>
      </c>
      <c r="F84" s="221">
        <v>3141</v>
      </c>
      <c r="G84" s="222" t="s">
        <v>316</v>
      </c>
      <c r="H84" s="223" t="s">
        <v>279</v>
      </c>
      <c r="I84" s="494">
        <v>969734</v>
      </c>
      <c r="J84" s="489">
        <v>710545</v>
      </c>
      <c r="K84" s="489">
        <v>0</v>
      </c>
      <c r="L84" s="489">
        <v>240164</v>
      </c>
      <c r="M84" s="489">
        <v>14211</v>
      </c>
      <c r="N84" s="489">
        <v>4814</v>
      </c>
      <c r="O84" s="490">
        <v>2.2400000000000002</v>
      </c>
      <c r="P84" s="491">
        <v>0</v>
      </c>
      <c r="Q84" s="500">
        <v>2.2400000000000002</v>
      </c>
      <c r="R84" s="502">
        <f t="shared" si="84"/>
        <v>0</v>
      </c>
      <c r="S84" s="492">
        <v>0</v>
      </c>
      <c r="T84" s="492">
        <v>0</v>
      </c>
      <c r="U84" s="492">
        <v>0</v>
      </c>
      <c r="V84" s="492">
        <f t="shared" si="85"/>
        <v>0</v>
      </c>
      <c r="W84" s="492">
        <v>0</v>
      </c>
      <c r="X84" s="492">
        <v>0</v>
      </c>
      <c r="Y84" s="492">
        <v>0</v>
      </c>
      <c r="Z84" s="492">
        <f t="shared" si="86"/>
        <v>0</v>
      </c>
      <c r="AA84" s="492">
        <f t="shared" si="87"/>
        <v>0</v>
      </c>
      <c r="AB84" s="74">
        <f t="shared" si="88"/>
        <v>0</v>
      </c>
      <c r="AC84" s="74">
        <f t="shared" si="89"/>
        <v>0</v>
      </c>
      <c r="AD84" s="492">
        <v>0</v>
      </c>
      <c r="AE84" s="492">
        <v>0</v>
      </c>
      <c r="AF84" s="492">
        <f t="shared" si="90"/>
        <v>0</v>
      </c>
      <c r="AG84" s="492">
        <f t="shared" si="91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98"/>
        <v>0</v>
      </c>
      <c r="AP84" s="493">
        <f t="shared" si="99"/>
        <v>0</v>
      </c>
      <c r="AQ84" s="495">
        <f t="shared" si="92"/>
        <v>0</v>
      </c>
      <c r="AR84" s="501">
        <f t="shared" si="93"/>
        <v>969734</v>
      </c>
      <c r="AS84" s="492">
        <f t="shared" si="94"/>
        <v>710545</v>
      </c>
      <c r="AT84" s="492">
        <f t="shared" si="100"/>
        <v>0</v>
      </c>
      <c r="AU84" s="492">
        <f t="shared" si="101"/>
        <v>240164</v>
      </c>
      <c r="AV84" s="492">
        <f t="shared" si="101"/>
        <v>14211</v>
      </c>
      <c r="AW84" s="492">
        <f t="shared" si="95"/>
        <v>4814</v>
      </c>
      <c r="AX84" s="493">
        <f t="shared" si="96"/>
        <v>2.2400000000000002</v>
      </c>
      <c r="AY84" s="493">
        <f t="shared" si="102"/>
        <v>0</v>
      </c>
      <c r="AZ84" s="495">
        <f t="shared" si="102"/>
        <v>2.2400000000000002</v>
      </c>
    </row>
    <row r="85" spans="1:52" x14ac:dyDescent="0.2">
      <c r="A85" s="166">
        <v>15</v>
      </c>
      <c r="B85" s="20">
        <v>3442</v>
      </c>
      <c r="C85" s="20">
        <v>600078205</v>
      </c>
      <c r="D85" s="20">
        <v>72743638</v>
      </c>
      <c r="E85" s="175" t="s">
        <v>115</v>
      </c>
      <c r="F85" s="20"/>
      <c r="G85" s="165"/>
      <c r="H85" s="199"/>
      <c r="I85" s="553">
        <v>8367159</v>
      </c>
      <c r="J85" s="550">
        <v>6130335</v>
      </c>
      <c r="K85" s="550">
        <v>0</v>
      </c>
      <c r="L85" s="550">
        <v>2072053</v>
      </c>
      <c r="M85" s="550">
        <v>122607</v>
      </c>
      <c r="N85" s="550">
        <v>42164</v>
      </c>
      <c r="O85" s="551">
        <v>15.158200000000001</v>
      </c>
      <c r="P85" s="551">
        <v>10.25</v>
      </c>
      <c r="Q85" s="555">
        <v>4.9082000000000008</v>
      </c>
      <c r="R85" s="553">
        <f t="shared" ref="R85:AZ85" si="103">SUM(R82:R84)</f>
        <v>0</v>
      </c>
      <c r="S85" s="550">
        <f t="shared" si="103"/>
        <v>0</v>
      </c>
      <c r="T85" s="550">
        <f t="shared" si="103"/>
        <v>0</v>
      </c>
      <c r="U85" s="550">
        <f t="shared" si="103"/>
        <v>0</v>
      </c>
      <c r="V85" s="550">
        <f t="shared" si="103"/>
        <v>0</v>
      </c>
      <c r="W85" s="550">
        <f t="shared" si="103"/>
        <v>0</v>
      </c>
      <c r="X85" s="550">
        <f t="shared" si="103"/>
        <v>0</v>
      </c>
      <c r="Y85" s="550">
        <f t="shared" si="103"/>
        <v>0</v>
      </c>
      <c r="Z85" s="550">
        <f t="shared" si="103"/>
        <v>0</v>
      </c>
      <c r="AA85" s="550">
        <f t="shared" si="103"/>
        <v>0</v>
      </c>
      <c r="AB85" s="550">
        <f t="shared" si="103"/>
        <v>0</v>
      </c>
      <c r="AC85" s="550">
        <f t="shared" si="103"/>
        <v>0</v>
      </c>
      <c r="AD85" s="550">
        <f t="shared" si="103"/>
        <v>0</v>
      </c>
      <c r="AE85" s="550">
        <f t="shared" si="103"/>
        <v>0</v>
      </c>
      <c r="AF85" s="550">
        <f t="shared" si="103"/>
        <v>0</v>
      </c>
      <c r="AG85" s="550">
        <f t="shared" si="103"/>
        <v>0</v>
      </c>
      <c r="AH85" s="551">
        <f t="shared" si="103"/>
        <v>0</v>
      </c>
      <c r="AI85" s="551">
        <f t="shared" si="103"/>
        <v>0</v>
      </c>
      <c r="AJ85" s="551">
        <f t="shared" si="103"/>
        <v>0</v>
      </c>
      <c r="AK85" s="551">
        <f t="shared" si="103"/>
        <v>0</v>
      </c>
      <c r="AL85" s="551">
        <f t="shared" si="103"/>
        <v>0</v>
      </c>
      <c r="AM85" s="551">
        <f t="shared" si="103"/>
        <v>0</v>
      </c>
      <c r="AN85" s="551">
        <f t="shared" si="103"/>
        <v>0</v>
      </c>
      <c r="AO85" s="551">
        <f t="shared" si="103"/>
        <v>0</v>
      </c>
      <c r="AP85" s="551">
        <f t="shared" si="103"/>
        <v>0</v>
      </c>
      <c r="AQ85" s="44">
        <f t="shared" si="103"/>
        <v>0</v>
      </c>
      <c r="AR85" s="557">
        <f t="shared" si="103"/>
        <v>8367159</v>
      </c>
      <c r="AS85" s="550">
        <f t="shared" si="103"/>
        <v>6130335</v>
      </c>
      <c r="AT85" s="550">
        <f t="shared" si="103"/>
        <v>0</v>
      </c>
      <c r="AU85" s="550">
        <f t="shared" si="103"/>
        <v>2072053</v>
      </c>
      <c r="AV85" s="550">
        <f t="shared" si="103"/>
        <v>122607</v>
      </c>
      <c r="AW85" s="550">
        <f t="shared" si="103"/>
        <v>42164</v>
      </c>
      <c r="AX85" s="551">
        <f t="shared" si="103"/>
        <v>15.158200000000001</v>
      </c>
      <c r="AY85" s="551">
        <f t="shared" si="103"/>
        <v>10.25</v>
      </c>
      <c r="AZ85" s="44">
        <f t="shared" si="103"/>
        <v>4.9082000000000008</v>
      </c>
    </row>
    <row r="86" spans="1:52" s="3" customFormat="1" x14ac:dyDescent="0.2">
      <c r="A86" s="220">
        <v>16</v>
      </c>
      <c r="B86" s="221">
        <v>3452</v>
      </c>
      <c r="C86" s="221">
        <v>600078264</v>
      </c>
      <c r="D86" s="221">
        <v>72743557</v>
      </c>
      <c r="E86" s="219" t="s">
        <v>116</v>
      </c>
      <c r="F86" s="221">
        <v>3111</v>
      </c>
      <c r="G86" s="222" t="s">
        <v>312</v>
      </c>
      <c r="H86" s="223" t="s">
        <v>278</v>
      </c>
      <c r="I86" s="494">
        <v>1394479</v>
      </c>
      <c r="J86" s="489">
        <v>1007426</v>
      </c>
      <c r="K86" s="489">
        <v>13000</v>
      </c>
      <c r="L86" s="489">
        <v>344904</v>
      </c>
      <c r="M86" s="489">
        <v>20149</v>
      </c>
      <c r="N86" s="489">
        <v>9000</v>
      </c>
      <c r="O86" s="490">
        <v>2.3481000000000001</v>
      </c>
      <c r="P86" s="491">
        <v>1.8872</v>
      </c>
      <c r="Q86" s="500">
        <v>0.46089999999999998</v>
      </c>
      <c r="R86" s="502">
        <f t="shared" si="84"/>
        <v>0</v>
      </c>
      <c r="S86" s="492">
        <v>0</v>
      </c>
      <c r="T86" s="492">
        <v>0</v>
      </c>
      <c r="U86" s="492">
        <v>0</v>
      </c>
      <c r="V86" s="492">
        <f t="shared" si="85"/>
        <v>0</v>
      </c>
      <c r="W86" s="492">
        <v>0</v>
      </c>
      <c r="X86" s="492">
        <v>0</v>
      </c>
      <c r="Y86" s="492">
        <v>0</v>
      </c>
      <c r="Z86" s="492">
        <f t="shared" si="86"/>
        <v>0</v>
      </c>
      <c r="AA86" s="492">
        <f t="shared" si="87"/>
        <v>0</v>
      </c>
      <c r="AB86" s="74">
        <f t="shared" si="88"/>
        <v>0</v>
      </c>
      <c r="AC86" s="74">
        <f t="shared" si="89"/>
        <v>0</v>
      </c>
      <c r="AD86" s="492">
        <v>0</v>
      </c>
      <c r="AE86" s="492">
        <v>0</v>
      </c>
      <c r="AF86" s="492">
        <f t="shared" si="90"/>
        <v>0</v>
      </c>
      <c r="AG86" s="492">
        <f t="shared" si="91"/>
        <v>0</v>
      </c>
      <c r="AH86" s="493">
        <v>0</v>
      </c>
      <c r="AI86" s="493">
        <v>0</v>
      </c>
      <c r="AJ86" s="493">
        <v>0</v>
      </c>
      <c r="AK86" s="493">
        <v>0</v>
      </c>
      <c r="AL86" s="493">
        <v>0</v>
      </c>
      <c r="AM86" s="493">
        <v>0</v>
      </c>
      <c r="AN86" s="493">
        <v>0</v>
      </c>
      <c r="AO86" s="493">
        <f t="shared" ref="AO86:AO91" si="104">AH86+AJ86+AM86+AK86</f>
        <v>0</v>
      </c>
      <c r="AP86" s="493">
        <f t="shared" ref="AP86:AP91" si="105">AI86+AN86+AL86</f>
        <v>0</v>
      </c>
      <c r="AQ86" s="495">
        <f t="shared" si="92"/>
        <v>0</v>
      </c>
      <c r="AR86" s="501">
        <f t="shared" si="93"/>
        <v>1394479</v>
      </c>
      <c r="AS86" s="492">
        <f t="shared" si="94"/>
        <v>1007426</v>
      </c>
      <c r="AT86" s="492">
        <f t="shared" ref="AT86:AT91" si="106">K86+Z86</f>
        <v>13000</v>
      </c>
      <c r="AU86" s="492">
        <f t="shared" ref="AU86:AV91" si="107">L86+AB86</f>
        <v>344904</v>
      </c>
      <c r="AV86" s="492">
        <f t="shared" si="107"/>
        <v>20149</v>
      </c>
      <c r="AW86" s="492">
        <f t="shared" si="95"/>
        <v>9000</v>
      </c>
      <c r="AX86" s="493">
        <f t="shared" si="96"/>
        <v>2.3481000000000001</v>
      </c>
      <c r="AY86" s="493">
        <f t="shared" ref="AY86:AZ91" si="108">P86+AO86</f>
        <v>1.8872</v>
      </c>
      <c r="AZ86" s="495">
        <f t="shared" si="108"/>
        <v>0.46089999999999998</v>
      </c>
    </row>
    <row r="87" spans="1:52" x14ac:dyDescent="0.2">
      <c r="A87" s="220">
        <v>16</v>
      </c>
      <c r="B87" s="221">
        <v>3452</v>
      </c>
      <c r="C87" s="221">
        <v>600078264</v>
      </c>
      <c r="D87" s="221">
        <v>72743557</v>
      </c>
      <c r="E87" s="219" t="s">
        <v>116</v>
      </c>
      <c r="F87" s="221">
        <v>3113</v>
      </c>
      <c r="G87" s="222" t="s">
        <v>315</v>
      </c>
      <c r="H87" s="223" t="s">
        <v>278</v>
      </c>
      <c r="I87" s="494">
        <v>23033122</v>
      </c>
      <c r="J87" s="489">
        <v>16627064</v>
      </c>
      <c r="K87" s="489">
        <v>22750</v>
      </c>
      <c r="L87" s="489">
        <v>5627637</v>
      </c>
      <c r="M87" s="489">
        <v>332541</v>
      </c>
      <c r="N87" s="489">
        <v>423130</v>
      </c>
      <c r="O87" s="490">
        <v>32.0657</v>
      </c>
      <c r="P87" s="491">
        <v>24.662099999999999</v>
      </c>
      <c r="Q87" s="500">
        <v>7.4036</v>
      </c>
      <c r="R87" s="502">
        <f t="shared" si="84"/>
        <v>0</v>
      </c>
      <c r="S87" s="492">
        <v>0</v>
      </c>
      <c r="T87" s="492">
        <v>0</v>
      </c>
      <c r="U87" s="492">
        <v>0</v>
      </c>
      <c r="V87" s="492">
        <f t="shared" si="85"/>
        <v>0</v>
      </c>
      <c r="W87" s="492">
        <v>0</v>
      </c>
      <c r="X87" s="492">
        <v>0</v>
      </c>
      <c r="Y87" s="492">
        <v>0</v>
      </c>
      <c r="Z87" s="492">
        <f t="shared" si="86"/>
        <v>0</v>
      </c>
      <c r="AA87" s="492">
        <f t="shared" si="87"/>
        <v>0</v>
      </c>
      <c r="AB87" s="74">
        <f t="shared" si="88"/>
        <v>0</v>
      </c>
      <c r="AC87" s="74">
        <f t="shared" si="89"/>
        <v>0</v>
      </c>
      <c r="AD87" s="492">
        <v>0</v>
      </c>
      <c r="AE87" s="492">
        <v>0</v>
      </c>
      <c r="AF87" s="492">
        <f t="shared" si="90"/>
        <v>0</v>
      </c>
      <c r="AG87" s="492">
        <f t="shared" si="91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104"/>
        <v>0</v>
      </c>
      <c r="AP87" s="493">
        <f t="shared" si="105"/>
        <v>0</v>
      </c>
      <c r="AQ87" s="495">
        <f t="shared" si="92"/>
        <v>0</v>
      </c>
      <c r="AR87" s="501">
        <f t="shared" si="93"/>
        <v>23033122</v>
      </c>
      <c r="AS87" s="492">
        <f t="shared" si="94"/>
        <v>16627064</v>
      </c>
      <c r="AT87" s="492">
        <f t="shared" si="106"/>
        <v>22750</v>
      </c>
      <c r="AU87" s="492">
        <f t="shared" si="107"/>
        <v>5627637</v>
      </c>
      <c r="AV87" s="492">
        <f t="shared" si="107"/>
        <v>332541</v>
      </c>
      <c r="AW87" s="492">
        <f t="shared" si="95"/>
        <v>423130</v>
      </c>
      <c r="AX87" s="493">
        <f t="shared" si="96"/>
        <v>32.0657</v>
      </c>
      <c r="AY87" s="493">
        <f t="shared" si="108"/>
        <v>24.662099999999999</v>
      </c>
      <c r="AZ87" s="495">
        <f t="shared" si="108"/>
        <v>7.4036</v>
      </c>
    </row>
    <row r="88" spans="1:52" x14ac:dyDescent="0.2">
      <c r="A88" s="220">
        <v>16</v>
      </c>
      <c r="B88" s="221">
        <v>3452</v>
      </c>
      <c r="C88" s="221">
        <v>600078264</v>
      </c>
      <c r="D88" s="221">
        <v>72743557</v>
      </c>
      <c r="E88" s="219" t="s">
        <v>116</v>
      </c>
      <c r="F88" s="221">
        <v>3113</v>
      </c>
      <c r="G88" s="222" t="s">
        <v>313</v>
      </c>
      <c r="H88" s="223" t="s">
        <v>279</v>
      </c>
      <c r="I88" s="494">
        <v>3696458</v>
      </c>
      <c r="J88" s="489">
        <v>2719225</v>
      </c>
      <c r="K88" s="489">
        <v>0</v>
      </c>
      <c r="L88" s="489">
        <v>919098</v>
      </c>
      <c r="M88" s="489">
        <v>54385</v>
      </c>
      <c r="N88" s="489">
        <v>3750</v>
      </c>
      <c r="O88" s="490">
        <v>7.62</v>
      </c>
      <c r="P88" s="491">
        <v>7.62</v>
      </c>
      <c r="Q88" s="500">
        <v>0</v>
      </c>
      <c r="R88" s="502">
        <f t="shared" si="84"/>
        <v>0</v>
      </c>
      <c r="S88" s="492">
        <v>0</v>
      </c>
      <c r="T88" s="492">
        <v>0</v>
      </c>
      <c r="U88" s="492">
        <v>0</v>
      </c>
      <c r="V88" s="492">
        <f t="shared" si="85"/>
        <v>0</v>
      </c>
      <c r="W88" s="492">
        <v>0</v>
      </c>
      <c r="X88" s="492">
        <v>0</v>
      </c>
      <c r="Y88" s="492">
        <v>0</v>
      </c>
      <c r="Z88" s="492">
        <f t="shared" si="86"/>
        <v>0</v>
      </c>
      <c r="AA88" s="492">
        <f t="shared" si="87"/>
        <v>0</v>
      </c>
      <c r="AB88" s="74">
        <f t="shared" si="88"/>
        <v>0</v>
      </c>
      <c r="AC88" s="74">
        <f t="shared" si="89"/>
        <v>0</v>
      </c>
      <c r="AD88" s="492">
        <v>0</v>
      </c>
      <c r="AE88" s="492">
        <v>0</v>
      </c>
      <c r="AF88" s="492">
        <f t="shared" si="90"/>
        <v>0</v>
      </c>
      <c r="AG88" s="492">
        <f t="shared" si="91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04"/>
        <v>0</v>
      </c>
      <c r="AP88" s="493">
        <f t="shared" si="105"/>
        <v>0</v>
      </c>
      <c r="AQ88" s="495">
        <f t="shared" si="92"/>
        <v>0</v>
      </c>
      <c r="AR88" s="501">
        <f t="shared" si="93"/>
        <v>3696458</v>
      </c>
      <c r="AS88" s="492">
        <f t="shared" si="94"/>
        <v>2719225</v>
      </c>
      <c r="AT88" s="492">
        <f t="shared" si="106"/>
        <v>0</v>
      </c>
      <c r="AU88" s="492">
        <f t="shared" si="107"/>
        <v>919098</v>
      </c>
      <c r="AV88" s="492">
        <f t="shared" si="107"/>
        <v>54385</v>
      </c>
      <c r="AW88" s="492">
        <f t="shared" si="95"/>
        <v>3750</v>
      </c>
      <c r="AX88" s="493">
        <f t="shared" si="96"/>
        <v>7.62</v>
      </c>
      <c r="AY88" s="493">
        <f t="shared" si="108"/>
        <v>7.62</v>
      </c>
      <c r="AZ88" s="495">
        <f t="shared" si="108"/>
        <v>0</v>
      </c>
    </row>
    <row r="89" spans="1:52" x14ac:dyDescent="0.2">
      <c r="A89" s="220">
        <v>16</v>
      </c>
      <c r="B89" s="221">
        <v>3452</v>
      </c>
      <c r="C89" s="221">
        <v>600078264</v>
      </c>
      <c r="D89" s="221">
        <v>72743557</v>
      </c>
      <c r="E89" s="219" t="s">
        <v>116</v>
      </c>
      <c r="F89" s="221">
        <v>3141</v>
      </c>
      <c r="G89" s="222" t="s">
        <v>316</v>
      </c>
      <c r="H89" s="223" t="s">
        <v>279</v>
      </c>
      <c r="I89" s="494">
        <v>2263227</v>
      </c>
      <c r="J89" s="489">
        <v>1642163</v>
      </c>
      <c r="K89" s="489">
        <v>13000</v>
      </c>
      <c r="L89" s="489">
        <v>559445</v>
      </c>
      <c r="M89" s="489">
        <v>32843</v>
      </c>
      <c r="N89" s="489">
        <v>15776</v>
      </c>
      <c r="O89" s="490">
        <v>5.22</v>
      </c>
      <c r="P89" s="491">
        <v>0</v>
      </c>
      <c r="Q89" s="500">
        <v>5.22</v>
      </c>
      <c r="R89" s="502">
        <f t="shared" si="84"/>
        <v>0</v>
      </c>
      <c r="S89" s="492">
        <v>0</v>
      </c>
      <c r="T89" s="492">
        <v>0</v>
      </c>
      <c r="U89" s="492">
        <v>0</v>
      </c>
      <c r="V89" s="492">
        <f t="shared" si="85"/>
        <v>0</v>
      </c>
      <c r="W89" s="492">
        <v>0</v>
      </c>
      <c r="X89" s="492">
        <v>0</v>
      </c>
      <c r="Y89" s="492">
        <v>0</v>
      </c>
      <c r="Z89" s="492">
        <f t="shared" si="86"/>
        <v>0</v>
      </c>
      <c r="AA89" s="492">
        <f t="shared" si="87"/>
        <v>0</v>
      </c>
      <c r="AB89" s="74">
        <f t="shared" si="88"/>
        <v>0</v>
      </c>
      <c r="AC89" s="74">
        <f t="shared" si="89"/>
        <v>0</v>
      </c>
      <c r="AD89" s="492">
        <v>0</v>
      </c>
      <c r="AE89" s="492">
        <v>0</v>
      </c>
      <c r="AF89" s="492">
        <f t="shared" si="90"/>
        <v>0</v>
      </c>
      <c r="AG89" s="492">
        <f t="shared" si="91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104"/>
        <v>0</v>
      </c>
      <c r="AP89" s="493">
        <f t="shared" si="105"/>
        <v>0</v>
      </c>
      <c r="AQ89" s="495">
        <f t="shared" si="92"/>
        <v>0</v>
      </c>
      <c r="AR89" s="501">
        <f t="shared" si="93"/>
        <v>2263227</v>
      </c>
      <c r="AS89" s="492">
        <f t="shared" si="94"/>
        <v>1642163</v>
      </c>
      <c r="AT89" s="492">
        <f t="shared" si="106"/>
        <v>13000</v>
      </c>
      <c r="AU89" s="492">
        <f t="shared" si="107"/>
        <v>559445</v>
      </c>
      <c r="AV89" s="492">
        <f t="shared" si="107"/>
        <v>32843</v>
      </c>
      <c r="AW89" s="492">
        <f t="shared" si="95"/>
        <v>15776</v>
      </c>
      <c r="AX89" s="493">
        <f t="shared" si="96"/>
        <v>5.22</v>
      </c>
      <c r="AY89" s="493">
        <f t="shared" si="108"/>
        <v>0</v>
      </c>
      <c r="AZ89" s="495">
        <f t="shared" si="108"/>
        <v>5.22</v>
      </c>
    </row>
    <row r="90" spans="1:52" x14ac:dyDescent="0.2">
      <c r="A90" s="220">
        <v>16</v>
      </c>
      <c r="B90" s="221">
        <v>3452</v>
      </c>
      <c r="C90" s="221">
        <v>600078264</v>
      </c>
      <c r="D90" s="221">
        <v>72743557</v>
      </c>
      <c r="E90" s="219" t="s">
        <v>116</v>
      </c>
      <c r="F90" s="221">
        <v>3143</v>
      </c>
      <c r="G90" s="222" t="s">
        <v>629</v>
      </c>
      <c r="H90" s="243" t="s">
        <v>278</v>
      </c>
      <c r="I90" s="494">
        <v>1904737</v>
      </c>
      <c r="J90" s="489">
        <v>1396200</v>
      </c>
      <c r="K90" s="489">
        <v>6500</v>
      </c>
      <c r="L90" s="489">
        <v>474113</v>
      </c>
      <c r="M90" s="489">
        <v>27924</v>
      </c>
      <c r="N90" s="489">
        <v>0</v>
      </c>
      <c r="O90" s="490">
        <v>2.8035000000000001</v>
      </c>
      <c r="P90" s="491">
        <v>2.8035000000000001</v>
      </c>
      <c r="Q90" s="500">
        <v>0</v>
      </c>
      <c r="R90" s="502">
        <f t="shared" si="84"/>
        <v>0</v>
      </c>
      <c r="S90" s="492">
        <v>0</v>
      </c>
      <c r="T90" s="492">
        <v>0</v>
      </c>
      <c r="U90" s="492">
        <v>0</v>
      </c>
      <c r="V90" s="492">
        <f t="shared" si="85"/>
        <v>0</v>
      </c>
      <c r="W90" s="492">
        <v>0</v>
      </c>
      <c r="X90" s="492">
        <v>0</v>
      </c>
      <c r="Y90" s="492">
        <v>0</v>
      </c>
      <c r="Z90" s="492">
        <f t="shared" si="86"/>
        <v>0</v>
      </c>
      <c r="AA90" s="492">
        <f t="shared" si="87"/>
        <v>0</v>
      </c>
      <c r="AB90" s="74">
        <f t="shared" si="88"/>
        <v>0</v>
      </c>
      <c r="AC90" s="74">
        <f t="shared" si="89"/>
        <v>0</v>
      </c>
      <c r="AD90" s="492">
        <v>0</v>
      </c>
      <c r="AE90" s="492">
        <v>0</v>
      </c>
      <c r="AF90" s="492">
        <f t="shared" si="90"/>
        <v>0</v>
      </c>
      <c r="AG90" s="492">
        <f t="shared" si="91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si="104"/>
        <v>0</v>
      </c>
      <c r="AP90" s="493">
        <f t="shared" si="105"/>
        <v>0</v>
      </c>
      <c r="AQ90" s="495">
        <f t="shared" si="92"/>
        <v>0</v>
      </c>
      <c r="AR90" s="501">
        <f t="shared" si="93"/>
        <v>1904737</v>
      </c>
      <c r="AS90" s="492">
        <f t="shared" si="94"/>
        <v>1396200</v>
      </c>
      <c r="AT90" s="492">
        <f t="shared" si="106"/>
        <v>6500</v>
      </c>
      <c r="AU90" s="492">
        <f t="shared" si="107"/>
        <v>474113</v>
      </c>
      <c r="AV90" s="492">
        <f t="shared" si="107"/>
        <v>27924</v>
      </c>
      <c r="AW90" s="492">
        <f t="shared" si="95"/>
        <v>0</v>
      </c>
      <c r="AX90" s="493">
        <f t="shared" si="96"/>
        <v>2.8035000000000001</v>
      </c>
      <c r="AY90" s="493">
        <f t="shared" si="108"/>
        <v>2.8035000000000001</v>
      </c>
      <c r="AZ90" s="495">
        <f t="shared" si="108"/>
        <v>0</v>
      </c>
    </row>
    <row r="91" spans="1:52" x14ac:dyDescent="0.2">
      <c r="A91" s="220">
        <v>16</v>
      </c>
      <c r="B91" s="221">
        <v>3452</v>
      </c>
      <c r="C91" s="221">
        <v>600078264</v>
      </c>
      <c r="D91" s="221">
        <v>72743557</v>
      </c>
      <c r="E91" s="219" t="s">
        <v>116</v>
      </c>
      <c r="F91" s="221">
        <v>3143</v>
      </c>
      <c r="G91" s="222" t="s">
        <v>630</v>
      </c>
      <c r="H91" s="243" t="s">
        <v>279</v>
      </c>
      <c r="I91" s="494">
        <v>55945</v>
      </c>
      <c r="J91" s="489">
        <v>39562</v>
      </c>
      <c r="K91" s="489">
        <v>0</v>
      </c>
      <c r="L91" s="489">
        <v>13372</v>
      </c>
      <c r="M91" s="489">
        <v>791</v>
      </c>
      <c r="N91" s="489">
        <v>2220</v>
      </c>
      <c r="O91" s="490">
        <v>0.16</v>
      </c>
      <c r="P91" s="491">
        <v>0</v>
      </c>
      <c r="Q91" s="500">
        <v>0.16</v>
      </c>
      <c r="R91" s="502">
        <f t="shared" si="84"/>
        <v>0</v>
      </c>
      <c r="S91" s="492">
        <v>0</v>
      </c>
      <c r="T91" s="492">
        <v>0</v>
      </c>
      <c r="U91" s="492">
        <v>0</v>
      </c>
      <c r="V91" s="492">
        <f t="shared" si="85"/>
        <v>0</v>
      </c>
      <c r="W91" s="492">
        <v>0</v>
      </c>
      <c r="X91" s="492">
        <v>0</v>
      </c>
      <c r="Y91" s="492">
        <v>0</v>
      </c>
      <c r="Z91" s="492">
        <f t="shared" si="86"/>
        <v>0</v>
      </c>
      <c r="AA91" s="492">
        <f t="shared" si="87"/>
        <v>0</v>
      </c>
      <c r="AB91" s="74">
        <f t="shared" si="88"/>
        <v>0</v>
      </c>
      <c r="AC91" s="74">
        <f t="shared" si="89"/>
        <v>0</v>
      </c>
      <c r="AD91" s="492">
        <v>0</v>
      </c>
      <c r="AE91" s="492">
        <v>0</v>
      </c>
      <c r="AF91" s="492">
        <f t="shared" si="90"/>
        <v>0</v>
      </c>
      <c r="AG91" s="492">
        <f t="shared" si="91"/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si="104"/>
        <v>0</v>
      </c>
      <c r="AP91" s="493">
        <f t="shared" si="105"/>
        <v>0</v>
      </c>
      <c r="AQ91" s="495">
        <f t="shared" si="92"/>
        <v>0</v>
      </c>
      <c r="AR91" s="501">
        <f t="shared" si="93"/>
        <v>55945</v>
      </c>
      <c r="AS91" s="492">
        <f t="shared" si="94"/>
        <v>39562</v>
      </c>
      <c r="AT91" s="492">
        <f t="shared" si="106"/>
        <v>0</v>
      </c>
      <c r="AU91" s="492">
        <f t="shared" si="107"/>
        <v>13372</v>
      </c>
      <c r="AV91" s="492">
        <f t="shared" si="107"/>
        <v>791</v>
      </c>
      <c r="AW91" s="492">
        <f t="shared" si="95"/>
        <v>2220</v>
      </c>
      <c r="AX91" s="493">
        <f t="shared" si="96"/>
        <v>0.16</v>
      </c>
      <c r="AY91" s="493">
        <f t="shared" si="108"/>
        <v>0</v>
      </c>
      <c r="AZ91" s="495">
        <f t="shared" si="108"/>
        <v>0.16</v>
      </c>
    </row>
    <row r="92" spans="1:52" x14ac:dyDescent="0.2">
      <c r="A92" s="166">
        <v>16</v>
      </c>
      <c r="B92" s="20">
        <v>3452</v>
      </c>
      <c r="C92" s="20">
        <v>600078264</v>
      </c>
      <c r="D92" s="20">
        <v>72743557</v>
      </c>
      <c r="E92" s="175" t="s">
        <v>117</v>
      </c>
      <c r="F92" s="20"/>
      <c r="G92" s="165"/>
      <c r="H92" s="199"/>
      <c r="I92" s="553">
        <v>32347968</v>
      </c>
      <c r="J92" s="550">
        <v>23431640</v>
      </c>
      <c r="K92" s="550">
        <v>55250</v>
      </c>
      <c r="L92" s="550">
        <v>7938569</v>
      </c>
      <c r="M92" s="550">
        <v>468633</v>
      </c>
      <c r="N92" s="550">
        <v>453876</v>
      </c>
      <c r="O92" s="551">
        <v>50.217299999999994</v>
      </c>
      <c r="P92" s="551">
        <v>36.972799999999999</v>
      </c>
      <c r="Q92" s="555">
        <v>13.244499999999999</v>
      </c>
      <c r="R92" s="553">
        <f t="shared" ref="R92:AZ92" si="109">SUM(R86:R91)</f>
        <v>0</v>
      </c>
      <c r="S92" s="550">
        <f t="shared" si="109"/>
        <v>0</v>
      </c>
      <c r="T92" s="550">
        <f t="shared" si="109"/>
        <v>0</v>
      </c>
      <c r="U92" s="550">
        <f t="shared" si="109"/>
        <v>0</v>
      </c>
      <c r="V92" s="550">
        <f t="shared" si="109"/>
        <v>0</v>
      </c>
      <c r="W92" s="550">
        <f t="shared" si="109"/>
        <v>0</v>
      </c>
      <c r="X92" s="550">
        <f t="shared" si="109"/>
        <v>0</v>
      </c>
      <c r="Y92" s="550">
        <f t="shared" si="109"/>
        <v>0</v>
      </c>
      <c r="Z92" s="550">
        <f t="shared" si="109"/>
        <v>0</v>
      </c>
      <c r="AA92" s="550">
        <f t="shared" si="109"/>
        <v>0</v>
      </c>
      <c r="AB92" s="550">
        <f t="shared" si="109"/>
        <v>0</v>
      </c>
      <c r="AC92" s="550">
        <f t="shared" si="109"/>
        <v>0</v>
      </c>
      <c r="AD92" s="550">
        <f t="shared" si="109"/>
        <v>0</v>
      </c>
      <c r="AE92" s="550">
        <f t="shared" si="109"/>
        <v>0</v>
      </c>
      <c r="AF92" s="550">
        <f t="shared" si="109"/>
        <v>0</v>
      </c>
      <c r="AG92" s="550">
        <f t="shared" si="109"/>
        <v>0</v>
      </c>
      <c r="AH92" s="551">
        <f t="shared" si="109"/>
        <v>0</v>
      </c>
      <c r="AI92" s="551">
        <f t="shared" si="109"/>
        <v>0</v>
      </c>
      <c r="AJ92" s="551">
        <f t="shared" si="109"/>
        <v>0</v>
      </c>
      <c r="AK92" s="551">
        <f t="shared" si="109"/>
        <v>0</v>
      </c>
      <c r="AL92" s="551">
        <f t="shared" si="109"/>
        <v>0</v>
      </c>
      <c r="AM92" s="551">
        <f t="shared" si="109"/>
        <v>0</v>
      </c>
      <c r="AN92" s="551">
        <f t="shared" si="109"/>
        <v>0</v>
      </c>
      <c r="AO92" s="551">
        <f t="shared" si="109"/>
        <v>0</v>
      </c>
      <c r="AP92" s="551">
        <f t="shared" si="109"/>
        <v>0</v>
      </c>
      <c r="AQ92" s="44">
        <f t="shared" si="109"/>
        <v>0</v>
      </c>
      <c r="AR92" s="557">
        <f t="shared" si="109"/>
        <v>32347968</v>
      </c>
      <c r="AS92" s="550">
        <f t="shared" si="109"/>
        <v>23431640</v>
      </c>
      <c r="AT92" s="550">
        <f t="shared" si="109"/>
        <v>55250</v>
      </c>
      <c r="AU92" s="550">
        <f t="shared" si="109"/>
        <v>7938569</v>
      </c>
      <c r="AV92" s="550">
        <f t="shared" si="109"/>
        <v>468633</v>
      </c>
      <c r="AW92" s="550">
        <f t="shared" si="109"/>
        <v>453876</v>
      </c>
      <c r="AX92" s="551">
        <f t="shared" si="109"/>
        <v>50.217299999999994</v>
      </c>
      <c r="AY92" s="551">
        <f t="shared" si="109"/>
        <v>36.972799999999999</v>
      </c>
      <c r="AZ92" s="44">
        <f t="shared" si="109"/>
        <v>13.244499999999999</v>
      </c>
    </row>
    <row r="93" spans="1:52" x14ac:dyDescent="0.2">
      <c r="A93" s="220">
        <v>17</v>
      </c>
      <c r="B93" s="221">
        <v>3445</v>
      </c>
      <c r="C93" s="221">
        <v>600078604</v>
      </c>
      <c r="D93" s="221">
        <v>70695849</v>
      </c>
      <c r="E93" s="219" t="s">
        <v>118</v>
      </c>
      <c r="F93" s="221">
        <v>3111</v>
      </c>
      <c r="G93" s="222" t="s">
        <v>312</v>
      </c>
      <c r="H93" s="223" t="s">
        <v>278</v>
      </c>
      <c r="I93" s="494">
        <v>1609088</v>
      </c>
      <c r="J93" s="489">
        <v>1150331</v>
      </c>
      <c r="K93" s="489">
        <v>26000</v>
      </c>
      <c r="L93" s="489">
        <v>397600</v>
      </c>
      <c r="M93" s="489">
        <v>23007</v>
      </c>
      <c r="N93" s="489">
        <v>12150</v>
      </c>
      <c r="O93" s="490">
        <v>2.3809</v>
      </c>
      <c r="P93" s="491">
        <v>2</v>
      </c>
      <c r="Q93" s="500">
        <v>0.38090000000000002</v>
      </c>
      <c r="R93" s="502">
        <f t="shared" si="84"/>
        <v>0</v>
      </c>
      <c r="S93" s="492">
        <v>0</v>
      </c>
      <c r="T93" s="492">
        <v>0</v>
      </c>
      <c r="U93" s="492">
        <v>0</v>
      </c>
      <c r="V93" s="492">
        <f t="shared" si="85"/>
        <v>0</v>
      </c>
      <c r="W93" s="492">
        <v>0</v>
      </c>
      <c r="X93" s="492">
        <v>0</v>
      </c>
      <c r="Y93" s="492">
        <v>0</v>
      </c>
      <c r="Z93" s="492">
        <f t="shared" si="86"/>
        <v>0</v>
      </c>
      <c r="AA93" s="492">
        <f t="shared" si="87"/>
        <v>0</v>
      </c>
      <c r="AB93" s="74">
        <f t="shared" si="88"/>
        <v>0</v>
      </c>
      <c r="AC93" s="74">
        <f t="shared" si="89"/>
        <v>0</v>
      </c>
      <c r="AD93" s="492">
        <v>0</v>
      </c>
      <c r="AE93" s="492">
        <v>0</v>
      </c>
      <c r="AF93" s="492">
        <f t="shared" si="90"/>
        <v>0</v>
      </c>
      <c r="AG93" s="492">
        <f t="shared" si="91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ref="AO93:AO98" si="110">AH93+AJ93+AM93+AK93</f>
        <v>0</v>
      </c>
      <c r="AP93" s="493">
        <f t="shared" ref="AP93:AP98" si="111">AI93+AN93+AL93</f>
        <v>0</v>
      </c>
      <c r="AQ93" s="495">
        <f t="shared" si="92"/>
        <v>0</v>
      </c>
      <c r="AR93" s="501">
        <f t="shared" si="93"/>
        <v>1609088</v>
      </c>
      <c r="AS93" s="492">
        <f t="shared" si="94"/>
        <v>1150331</v>
      </c>
      <c r="AT93" s="492">
        <f t="shared" ref="AT93:AT98" si="112">K93+Z93</f>
        <v>26000</v>
      </c>
      <c r="AU93" s="492">
        <f t="shared" ref="AU93:AV98" si="113">L93+AB93</f>
        <v>397600</v>
      </c>
      <c r="AV93" s="492">
        <f t="shared" si="113"/>
        <v>23007</v>
      </c>
      <c r="AW93" s="492">
        <f t="shared" si="95"/>
        <v>12150</v>
      </c>
      <c r="AX93" s="493">
        <f t="shared" si="96"/>
        <v>2.3809</v>
      </c>
      <c r="AY93" s="493">
        <f t="shared" ref="AY93:AZ98" si="114">P93+AO93</f>
        <v>2</v>
      </c>
      <c r="AZ93" s="495">
        <f t="shared" si="114"/>
        <v>0.38090000000000002</v>
      </c>
    </row>
    <row r="94" spans="1:52" x14ac:dyDescent="0.2">
      <c r="A94" s="220">
        <v>17</v>
      </c>
      <c r="B94" s="221">
        <v>3445</v>
      </c>
      <c r="C94" s="221">
        <v>600078604</v>
      </c>
      <c r="D94" s="221">
        <v>70695849</v>
      </c>
      <c r="E94" s="219" t="s">
        <v>118</v>
      </c>
      <c r="F94" s="221">
        <v>3117</v>
      </c>
      <c r="G94" s="222" t="s">
        <v>315</v>
      </c>
      <c r="H94" s="223" t="s">
        <v>278</v>
      </c>
      <c r="I94" s="494">
        <v>2356800</v>
      </c>
      <c r="J94" s="489">
        <v>1684009</v>
      </c>
      <c r="K94" s="489">
        <v>29250</v>
      </c>
      <c r="L94" s="489">
        <v>579081</v>
      </c>
      <c r="M94" s="489">
        <v>33680</v>
      </c>
      <c r="N94" s="489">
        <v>30780</v>
      </c>
      <c r="O94" s="490">
        <v>3.2188999999999997</v>
      </c>
      <c r="P94" s="491">
        <v>2.3184999999999998</v>
      </c>
      <c r="Q94" s="500">
        <v>0.90039999999999998</v>
      </c>
      <c r="R94" s="502">
        <f t="shared" si="84"/>
        <v>0</v>
      </c>
      <c r="S94" s="492">
        <v>0</v>
      </c>
      <c r="T94" s="492">
        <v>0</v>
      </c>
      <c r="U94" s="492">
        <v>0</v>
      </c>
      <c r="V94" s="492">
        <f t="shared" si="85"/>
        <v>0</v>
      </c>
      <c r="W94" s="492">
        <v>0</v>
      </c>
      <c r="X94" s="492">
        <v>0</v>
      </c>
      <c r="Y94" s="492">
        <v>0</v>
      </c>
      <c r="Z94" s="492">
        <f t="shared" si="86"/>
        <v>0</v>
      </c>
      <c r="AA94" s="492">
        <f t="shared" si="87"/>
        <v>0</v>
      </c>
      <c r="AB94" s="74">
        <f t="shared" si="88"/>
        <v>0</v>
      </c>
      <c r="AC94" s="74">
        <f t="shared" si="89"/>
        <v>0</v>
      </c>
      <c r="AD94" s="492">
        <v>0</v>
      </c>
      <c r="AE94" s="492">
        <v>0</v>
      </c>
      <c r="AF94" s="492">
        <f t="shared" si="90"/>
        <v>0</v>
      </c>
      <c r="AG94" s="492">
        <f t="shared" si="91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10"/>
        <v>0</v>
      </c>
      <c r="AP94" s="493">
        <f t="shared" si="111"/>
        <v>0</v>
      </c>
      <c r="AQ94" s="495">
        <f t="shared" si="92"/>
        <v>0</v>
      </c>
      <c r="AR94" s="501">
        <f t="shared" si="93"/>
        <v>2356800</v>
      </c>
      <c r="AS94" s="492">
        <f t="shared" si="94"/>
        <v>1684009</v>
      </c>
      <c r="AT94" s="492">
        <f t="shared" si="112"/>
        <v>29250</v>
      </c>
      <c r="AU94" s="492">
        <f t="shared" si="113"/>
        <v>579081</v>
      </c>
      <c r="AV94" s="492">
        <f t="shared" si="113"/>
        <v>33680</v>
      </c>
      <c r="AW94" s="492">
        <f t="shared" si="95"/>
        <v>30780</v>
      </c>
      <c r="AX94" s="493">
        <f t="shared" si="96"/>
        <v>3.2188999999999997</v>
      </c>
      <c r="AY94" s="493">
        <f t="shared" si="114"/>
        <v>2.3184999999999998</v>
      </c>
      <c r="AZ94" s="495">
        <f t="shared" si="114"/>
        <v>0.90039999999999998</v>
      </c>
    </row>
    <row r="95" spans="1:52" x14ac:dyDescent="0.2">
      <c r="A95" s="220">
        <v>17</v>
      </c>
      <c r="B95" s="221">
        <v>3445</v>
      </c>
      <c r="C95" s="221">
        <v>600078604</v>
      </c>
      <c r="D95" s="221">
        <v>70695849</v>
      </c>
      <c r="E95" s="219" t="s">
        <v>118</v>
      </c>
      <c r="F95" s="221">
        <v>3117</v>
      </c>
      <c r="G95" s="222" t="s">
        <v>313</v>
      </c>
      <c r="H95" s="223" t="s">
        <v>279</v>
      </c>
      <c r="I95" s="494">
        <v>352854</v>
      </c>
      <c r="J95" s="489">
        <v>259833</v>
      </c>
      <c r="K95" s="489">
        <v>0</v>
      </c>
      <c r="L95" s="489">
        <v>87824</v>
      </c>
      <c r="M95" s="489">
        <v>5197</v>
      </c>
      <c r="N95" s="489">
        <v>0</v>
      </c>
      <c r="O95" s="490">
        <v>0.75</v>
      </c>
      <c r="P95" s="491">
        <v>0.75</v>
      </c>
      <c r="Q95" s="500">
        <v>0</v>
      </c>
      <c r="R95" s="502">
        <f t="shared" si="84"/>
        <v>0</v>
      </c>
      <c r="S95" s="492">
        <v>0</v>
      </c>
      <c r="T95" s="492">
        <v>0</v>
      </c>
      <c r="U95" s="492">
        <v>0</v>
      </c>
      <c r="V95" s="492">
        <f t="shared" si="85"/>
        <v>0</v>
      </c>
      <c r="W95" s="492">
        <v>0</v>
      </c>
      <c r="X95" s="492">
        <v>0</v>
      </c>
      <c r="Y95" s="492">
        <v>0</v>
      </c>
      <c r="Z95" s="492">
        <f t="shared" si="86"/>
        <v>0</v>
      </c>
      <c r="AA95" s="492">
        <f t="shared" si="87"/>
        <v>0</v>
      </c>
      <c r="AB95" s="74">
        <f t="shared" si="88"/>
        <v>0</v>
      </c>
      <c r="AC95" s="74">
        <f t="shared" si="89"/>
        <v>0</v>
      </c>
      <c r="AD95" s="492">
        <v>0</v>
      </c>
      <c r="AE95" s="492">
        <v>0</v>
      </c>
      <c r="AF95" s="492">
        <f t="shared" si="90"/>
        <v>0</v>
      </c>
      <c r="AG95" s="492">
        <f t="shared" si="91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110"/>
        <v>0</v>
      </c>
      <c r="AP95" s="493">
        <f t="shared" si="111"/>
        <v>0</v>
      </c>
      <c r="AQ95" s="495">
        <f t="shared" si="92"/>
        <v>0</v>
      </c>
      <c r="AR95" s="501">
        <f t="shared" si="93"/>
        <v>352854</v>
      </c>
      <c r="AS95" s="492">
        <f t="shared" si="94"/>
        <v>259833</v>
      </c>
      <c r="AT95" s="492">
        <f t="shared" si="112"/>
        <v>0</v>
      </c>
      <c r="AU95" s="492">
        <f t="shared" si="113"/>
        <v>87824</v>
      </c>
      <c r="AV95" s="492">
        <f t="shared" si="113"/>
        <v>5197</v>
      </c>
      <c r="AW95" s="492">
        <f t="shared" si="95"/>
        <v>0</v>
      </c>
      <c r="AX95" s="493">
        <f t="shared" si="96"/>
        <v>0.75</v>
      </c>
      <c r="AY95" s="493">
        <f t="shared" si="114"/>
        <v>0.75</v>
      </c>
      <c r="AZ95" s="495">
        <f t="shared" si="114"/>
        <v>0</v>
      </c>
    </row>
    <row r="96" spans="1:52" x14ac:dyDescent="0.2">
      <c r="A96" s="220">
        <v>17</v>
      </c>
      <c r="B96" s="221">
        <v>3445</v>
      </c>
      <c r="C96" s="221">
        <v>600078604</v>
      </c>
      <c r="D96" s="221">
        <v>70695849</v>
      </c>
      <c r="E96" s="219" t="s">
        <v>118</v>
      </c>
      <c r="F96" s="221">
        <v>3141</v>
      </c>
      <c r="G96" s="222" t="s">
        <v>316</v>
      </c>
      <c r="H96" s="223" t="s">
        <v>279</v>
      </c>
      <c r="I96" s="494">
        <v>660512</v>
      </c>
      <c r="J96" s="489">
        <v>478060</v>
      </c>
      <c r="K96" s="489">
        <v>6500</v>
      </c>
      <c r="L96" s="489">
        <v>163781</v>
      </c>
      <c r="M96" s="489">
        <v>9561</v>
      </c>
      <c r="N96" s="489">
        <v>2610</v>
      </c>
      <c r="O96" s="490">
        <v>1.53</v>
      </c>
      <c r="P96" s="491">
        <v>0</v>
      </c>
      <c r="Q96" s="500">
        <v>1.53</v>
      </c>
      <c r="R96" s="502">
        <f t="shared" si="84"/>
        <v>0</v>
      </c>
      <c r="S96" s="492">
        <v>0</v>
      </c>
      <c r="T96" s="492">
        <v>0</v>
      </c>
      <c r="U96" s="492">
        <v>0</v>
      </c>
      <c r="V96" s="492">
        <f t="shared" si="85"/>
        <v>0</v>
      </c>
      <c r="W96" s="492">
        <v>0</v>
      </c>
      <c r="X96" s="492">
        <v>0</v>
      </c>
      <c r="Y96" s="492">
        <v>0</v>
      </c>
      <c r="Z96" s="492">
        <f t="shared" si="86"/>
        <v>0</v>
      </c>
      <c r="AA96" s="492">
        <f t="shared" si="87"/>
        <v>0</v>
      </c>
      <c r="AB96" s="74">
        <f t="shared" si="88"/>
        <v>0</v>
      </c>
      <c r="AC96" s="74">
        <f t="shared" si="89"/>
        <v>0</v>
      </c>
      <c r="AD96" s="492">
        <v>0</v>
      </c>
      <c r="AE96" s="492">
        <v>0</v>
      </c>
      <c r="AF96" s="492">
        <f t="shared" si="90"/>
        <v>0</v>
      </c>
      <c r="AG96" s="492">
        <f t="shared" si="91"/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110"/>
        <v>0</v>
      </c>
      <c r="AP96" s="493">
        <f t="shared" si="111"/>
        <v>0</v>
      </c>
      <c r="AQ96" s="495">
        <f t="shared" si="92"/>
        <v>0</v>
      </c>
      <c r="AR96" s="501">
        <f t="shared" si="93"/>
        <v>660512</v>
      </c>
      <c r="AS96" s="492">
        <f t="shared" si="94"/>
        <v>478060</v>
      </c>
      <c r="AT96" s="492">
        <f t="shared" si="112"/>
        <v>6500</v>
      </c>
      <c r="AU96" s="492">
        <f t="shared" si="113"/>
        <v>163781</v>
      </c>
      <c r="AV96" s="492">
        <f t="shared" si="113"/>
        <v>9561</v>
      </c>
      <c r="AW96" s="492">
        <f t="shared" si="95"/>
        <v>2610</v>
      </c>
      <c r="AX96" s="493">
        <f t="shared" si="96"/>
        <v>1.53</v>
      </c>
      <c r="AY96" s="493">
        <f t="shared" si="114"/>
        <v>0</v>
      </c>
      <c r="AZ96" s="495">
        <f t="shared" si="114"/>
        <v>1.53</v>
      </c>
    </row>
    <row r="97" spans="1:52" s="3" customFormat="1" x14ac:dyDescent="0.2">
      <c r="A97" s="220">
        <v>17</v>
      </c>
      <c r="B97" s="221">
        <v>3445</v>
      </c>
      <c r="C97" s="221">
        <v>600078604</v>
      </c>
      <c r="D97" s="221">
        <v>70695849</v>
      </c>
      <c r="E97" s="219" t="s">
        <v>118</v>
      </c>
      <c r="F97" s="221">
        <v>3143</v>
      </c>
      <c r="G97" s="222" t="s">
        <v>629</v>
      </c>
      <c r="H97" s="243" t="s">
        <v>278</v>
      </c>
      <c r="I97" s="494">
        <v>507083</v>
      </c>
      <c r="J97" s="489">
        <v>373404</v>
      </c>
      <c r="K97" s="489">
        <v>0</v>
      </c>
      <c r="L97" s="489">
        <v>126211</v>
      </c>
      <c r="M97" s="489">
        <v>7468</v>
      </c>
      <c r="N97" s="489">
        <v>0</v>
      </c>
      <c r="O97" s="490">
        <v>0.88329999999999997</v>
      </c>
      <c r="P97" s="491">
        <v>0.88329999999999997</v>
      </c>
      <c r="Q97" s="500">
        <v>0</v>
      </c>
      <c r="R97" s="502">
        <f t="shared" si="84"/>
        <v>0</v>
      </c>
      <c r="S97" s="492">
        <v>0</v>
      </c>
      <c r="T97" s="492">
        <v>0</v>
      </c>
      <c r="U97" s="492">
        <v>0</v>
      </c>
      <c r="V97" s="492">
        <f t="shared" si="85"/>
        <v>0</v>
      </c>
      <c r="W97" s="492">
        <v>0</v>
      </c>
      <c r="X97" s="492">
        <v>0</v>
      </c>
      <c r="Y97" s="492">
        <v>0</v>
      </c>
      <c r="Z97" s="492">
        <f t="shared" si="86"/>
        <v>0</v>
      </c>
      <c r="AA97" s="492">
        <f t="shared" si="87"/>
        <v>0</v>
      </c>
      <c r="AB97" s="74">
        <f t="shared" si="88"/>
        <v>0</v>
      </c>
      <c r="AC97" s="74">
        <f t="shared" si="89"/>
        <v>0</v>
      </c>
      <c r="AD97" s="492">
        <v>0</v>
      </c>
      <c r="AE97" s="492">
        <v>0</v>
      </c>
      <c r="AF97" s="492">
        <f t="shared" si="90"/>
        <v>0</v>
      </c>
      <c r="AG97" s="492">
        <f t="shared" si="91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110"/>
        <v>0</v>
      </c>
      <c r="AP97" s="493">
        <f t="shared" si="111"/>
        <v>0</v>
      </c>
      <c r="AQ97" s="495">
        <f t="shared" si="92"/>
        <v>0</v>
      </c>
      <c r="AR97" s="501">
        <f t="shared" si="93"/>
        <v>507083</v>
      </c>
      <c r="AS97" s="492">
        <f t="shared" si="94"/>
        <v>373404</v>
      </c>
      <c r="AT97" s="492">
        <f t="shared" si="112"/>
        <v>0</v>
      </c>
      <c r="AU97" s="492">
        <f t="shared" si="113"/>
        <v>126211</v>
      </c>
      <c r="AV97" s="492">
        <f t="shared" si="113"/>
        <v>7468</v>
      </c>
      <c r="AW97" s="492">
        <f t="shared" si="95"/>
        <v>0</v>
      </c>
      <c r="AX97" s="493">
        <f t="shared" si="96"/>
        <v>0.88329999999999997</v>
      </c>
      <c r="AY97" s="493">
        <f t="shared" si="114"/>
        <v>0.88329999999999997</v>
      </c>
      <c r="AZ97" s="495">
        <f t="shared" si="114"/>
        <v>0</v>
      </c>
    </row>
    <row r="98" spans="1:52" s="3" customFormat="1" x14ac:dyDescent="0.2">
      <c r="A98" s="220">
        <v>17</v>
      </c>
      <c r="B98" s="221">
        <v>3445</v>
      </c>
      <c r="C98" s="221">
        <v>600078604</v>
      </c>
      <c r="D98" s="221">
        <v>70695849</v>
      </c>
      <c r="E98" s="219" t="s">
        <v>118</v>
      </c>
      <c r="F98" s="221">
        <v>3143</v>
      </c>
      <c r="G98" s="222" t="s">
        <v>630</v>
      </c>
      <c r="H98" s="243" t="s">
        <v>279</v>
      </c>
      <c r="I98" s="494">
        <v>13608</v>
      </c>
      <c r="J98" s="489">
        <v>9623</v>
      </c>
      <c r="K98" s="489">
        <v>0</v>
      </c>
      <c r="L98" s="489">
        <v>3253</v>
      </c>
      <c r="M98" s="489">
        <v>192</v>
      </c>
      <c r="N98" s="489">
        <v>540</v>
      </c>
      <c r="O98" s="490">
        <v>0.04</v>
      </c>
      <c r="P98" s="491">
        <v>0</v>
      </c>
      <c r="Q98" s="500">
        <v>0.04</v>
      </c>
      <c r="R98" s="502">
        <f t="shared" si="84"/>
        <v>0</v>
      </c>
      <c r="S98" s="492">
        <v>0</v>
      </c>
      <c r="T98" s="492">
        <v>0</v>
      </c>
      <c r="U98" s="492">
        <v>0</v>
      </c>
      <c r="V98" s="492">
        <f t="shared" si="85"/>
        <v>0</v>
      </c>
      <c r="W98" s="492">
        <v>0</v>
      </c>
      <c r="X98" s="492">
        <v>0</v>
      </c>
      <c r="Y98" s="492">
        <v>0</v>
      </c>
      <c r="Z98" s="492">
        <f t="shared" si="86"/>
        <v>0</v>
      </c>
      <c r="AA98" s="492">
        <f t="shared" si="87"/>
        <v>0</v>
      </c>
      <c r="AB98" s="74">
        <f t="shared" si="88"/>
        <v>0</v>
      </c>
      <c r="AC98" s="74">
        <f t="shared" si="89"/>
        <v>0</v>
      </c>
      <c r="AD98" s="492">
        <v>0</v>
      </c>
      <c r="AE98" s="492">
        <v>0</v>
      </c>
      <c r="AF98" s="492">
        <f t="shared" si="90"/>
        <v>0</v>
      </c>
      <c r="AG98" s="492">
        <f t="shared" si="91"/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 t="shared" si="110"/>
        <v>0</v>
      </c>
      <c r="AP98" s="493">
        <f t="shared" si="111"/>
        <v>0</v>
      </c>
      <c r="AQ98" s="495">
        <f t="shared" si="92"/>
        <v>0</v>
      </c>
      <c r="AR98" s="501">
        <f t="shared" si="93"/>
        <v>13608</v>
      </c>
      <c r="AS98" s="492">
        <f t="shared" si="94"/>
        <v>9623</v>
      </c>
      <c r="AT98" s="492">
        <f t="shared" si="112"/>
        <v>0</v>
      </c>
      <c r="AU98" s="492">
        <f t="shared" si="113"/>
        <v>3253</v>
      </c>
      <c r="AV98" s="492">
        <f t="shared" si="113"/>
        <v>192</v>
      </c>
      <c r="AW98" s="492">
        <f t="shared" si="95"/>
        <v>540</v>
      </c>
      <c r="AX98" s="493">
        <f t="shared" si="96"/>
        <v>0.04</v>
      </c>
      <c r="AY98" s="493">
        <f t="shared" si="114"/>
        <v>0</v>
      </c>
      <c r="AZ98" s="495">
        <f t="shared" si="114"/>
        <v>0.04</v>
      </c>
    </row>
    <row r="99" spans="1:52" ht="13.5" thickBot="1" x14ac:dyDescent="0.25">
      <c r="A99" s="170">
        <v>17</v>
      </c>
      <c r="B99" s="37">
        <v>3445</v>
      </c>
      <c r="C99" s="37">
        <v>600078604</v>
      </c>
      <c r="D99" s="37">
        <v>70695849</v>
      </c>
      <c r="E99" s="252" t="s">
        <v>119</v>
      </c>
      <c r="F99" s="37"/>
      <c r="G99" s="171"/>
      <c r="H99" s="253"/>
      <c r="I99" s="558">
        <v>5499945</v>
      </c>
      <c r="J99" s="559">
        <v>3955260</v>
      </c>
      <c r="K99" s="559">
        <v>61750</v>
      </c>
      <c r="L99" s="559">
        <v>1357750</v>
      </c>
      <c r="M99" s="559">
        <v>79105</v>
      </c>
      <c r="N99" s="559">
        <v>46080</v>
      </c>
      <c r="O99" s="560">
        <v>8.8030999999999988</v>
      </c>
      <c r="P99" s="560">
        <v>5.9518000000000004</v>
      </c>
      <c r="Q99" s="561">
        <v>2.8513000000000002</v>
      </c>
      <c r="R99" s="558">
        <f t="shared" ref="R99:AZ99" si="115">SUM(R93:R98)</f>
        <v>0</v>
      </c>
      <c r="S99" s="559">
        <f t="shared" si="115"/>
        <v>0</v>
      </c>
      <c r="T99" s="559">
        <f t="shared" si="115"/>
        <v>0</v>
      </c>
      <c r="U99" s="559">
        <f t="shared" si="115"/>
        <v>0</v>
      </c>
      <c r="V99" s="559">
        <f t="shared" si="115"/>
        <v>0</v>
      </c>
      <c r="W99" s="559">
        <f t="shared" si="115"/>
        <v>0</v>
      </c>
      <c r="X99" s="559">
        <f t="shared" si="115"/>
        <v>0</v>
      </c>
      <c r="Y99" s="559">
        <f t="shared" si="115"/>
        <v>0</v>
      </c>
      <c r="Z99" s="559">
        <f t="shared" si="115"/>
        <v>0</v>
      </c>
      <c r="AA99" s="559">
        <f t="shared" si="115"/>
        <v>0</v>
      </c>
      <c r="AB99" s="559">
        <f t="shared" si="115"/>
        <v>0</v>
      </c>
      <c r="AC99" s="559">
        <f t="shared" si="115"/>
        <v>0</v>
      </c>
      <c r="AD99" s="559">
        <f t="shared" si="115"/>
        <v>0</v>
      </c>
      <c r="AE99" s="559">
        <f t="shared" si="115"/>
        <v>0</v>
      </c>
      <c r="AF99" s="559">
        <f t="shared" si="115"/>
        <v>0</v>
      </c>
      <c r="AG99" s="559">
        <f t="shared" si="115"/>
        <v>0</v>
      </c>
      <c r="AH99" s="560">
        <f t="shared" si="115"/>
        <v>0</v>
      </c>
      <c r="AI99" s="560">
        <f t="shared" si="115"/>
        <v>0</v>
      </c>
      <c r="AJ99" s="560">
        <f t="shared" si="115"/>
        <v>0</v>
      </c>
      <c r="AK99" s="560">
        <f t="shared" si="115"/>
        <v>0</v>
      </c>
      <c r="AL99" s="560">
        <f t="shared" si="115"/>
        <v>0</v>
      </c>
      <c r="AM99" s="560">
        <f t="shared" si="115"/>
        <v>0</v>
      </c>
      <c r="AN99" s="560">
        <f t="shared" si="115"/>
        <v>0</v>
      </c>
      <c r="AO99" s="560">
        <f t="shared" si="115"/>
        <v>0</v>
      </c>
      <c r="AP99" s="560">
        <f t="shared" si="115"/>
        <v>0</v>
      </c>
      <c r="AQ99" s="562">
        <f t="shared" si="115"/>
        <v>0</v>
      </c>
      <c r="AR99" s="563">
        <f t="shared" si="115"/>
        <v>5499945</v>
      </c>
      <c r="AS99" s="559">
        <f t="shared" si="115"/>
        <v>3955260</v>
      </c>
      <c r="AT99" s="559">
        <f t="shared" si="115"/>
        <v>61750</v>
      </c>
      <c r="AU99" s="559">
        <f t="shared" si="115"/>
        <v>1357750</v>
      </c>
      <c r="AV99" s="559">
        <f t="shared" si="115"/>
        <v>79105</v>
      </c>
      <c r="AW99" s="559">
        <f t="shared" si="115"/>
        <v>46080</v>
      </c>
      <c r="AX99" s="560">
        <f t="shared" si="115"/>
        <v>8.8030999999999988</v>
      </c>
      <c r="AY99" s="560">
        <f t="shared" si="115"/>
        <v>5.9518000000000004</v>
      </c>
      <c r="AZ99" s="562">
        <f t="shared" si="115"/>
        <v>2.8513000000000002</v>
      </c>
    </row>
    <row r="100" spans="1:52" ht="13.5" thickBot="1" x14ac:dyDescent="0.25">
      <c r="A100" s="172"/>
      <c r="B100" s="34"/>
      <c r="C100" s="34"/>
      <c r="D100" s="34"/>
      <c r="E100" s="94" t="s">
        <v>792</v>
      </c>
      <c r="F100" s="34"/>
      <c r="G100" s="173"/>
      <c r="H100" s="200"/>
      <c r="I100" s="564">
        <f t="shared" ref="I100:AZ100" si="116">I15+I17+I23+I28+I30+I37+I44+I48+I54+I61+I65+I71+I75+I81+I85+I92+I99</f>
        <v>263265228</v>
      </c>
      <c r="J100" s="565">
        <f t="shared" si="116"/>
        <v>189933715</v>
      </c>
      <c r="K100" s="565">
        <f t="shared" si="116"/>
        <v>1327490</v>
      </c>
      <c r="L100" s="565">
        <f t="shared" si="116"/>
        <v>64646286</v>
      </c>
      <c r="M100" s="565">
        <f t="shared" si="116"/>
        <v>3798675</v>
      </c>
      <c r="N100" s="565">
        <f t="shared" si="116"/>
        <v>3559062</v>
      </c>
      <c r="O100" s="566">
        <f t="shared" si="116"/>
        <v>407.40420000000006</v>
      </c>
      <c r="P100" s="566">
        <f t="shared" si="116"/>
        <v>299.10300000000001</v>
      </c>
      <c r="Q100" s="567">
        <f t="shared" si="116"/>
        <v>108.30119999999999</v>
      </c>
      <c r="R100" s="564">
        <f t="shared" si="116"/>
        <v>0</v>
      </c>
      <c r="S100" s="565">
        <f t="shared" si="116"/>
        <v>17352</v>
      </c>
      <c r="T100" s="565">
        <f t="shared" si="116"/>
        <v>0</v>
      </c>
      <c r="U100" s="565">
        <f t="shared" si="116"/>
        <v>-36819</v>
      </c>
      <c r="V100" s="565">
        <f t="shared" si="116"/>
        <v>-19467</v>
      </c>
      <c r="W100" s="565">
        <f t="shared" si="116"/>
        <v>0</v>
      </c>
      <c r="X100" s="565">
        <f t="shared" si="116"/>
        <v>0</v>
      </c>
      <c r="Y100" s="565">
        <f t="shared" si="116"/>
        <v>0</v>
      </c>
      <c r="Z100" s="565">
        <f t="shared" si="116"/>
        <v>0</v>
      </c>
      <c r="AA100" s="565">
        <f t="shared" si="116"/>
        <v>-19467</v>
      </c>
      <c r="AB100" s="565">
        <f t="shared" si="116"/>
        <v>-6580</v>
      </c>
      <c r="AC100" s="565">
        <f t="shared" si="116"/>
        <v>-389</v>
      </c>
      <c r="AD100" s="565">
        <f t="shared" si="116"/>
        <v>0</v>
      </c>
      <c r="AE100" s="565">
        <f t="shared" si="116"/>
        <v>69928</v>
      </c>
      <c r="AF100" s="565">
        <f t="shared" si="116"/>
        <v>69928</v>
      </c>
      <c r="AG100" s="565">
        <f t="shared" si="116"/>
        <v>43492</v>
      </c>
      <c r="AH100" s="566">
        <f t="shared" si="116"/>
        <v>0</v>
      </c>
      <c r="AI100" s="566">
        <f t="shared" si="116"/>
        <v>0</v>
      </c>
      <c r="AJ100" s="566">
        <f t="shared" si="116"/>
        <v>0.04</v>
      </c>
      <c r="AK100" s="566">
        <f t="shared" si="116"/>
        <v>0</v>
      </c>
      <c r="AL100" s="566">
        <f t="shared" si="116"/>
        <v>0</v>
      </c>
      <c r="AM100" s="566">
        <f t="shared" si="116"/>
        <v>0</v>
      </c>
      <c r="AN100" s="566">
        <f t="shared" si="116"/>
        <v>0</v>
      </c>
      <c r="AO100" s="566">
        <f t="shared" si="116"/>
        <v>0.04</v>
      </c>
      <c r="AP100" s="566">
        <f t="shared" si="116"/>
        <v>0</v>
      </c>
      <c r="AQ100" s="568">
        <f t="shared" si="116"/>
        <v>0.04</v>
      </c>
      <c r="AR100" s="569">
        <f t="shared" si="116"/>
        <v>263308720</v>
      </c>
      <c r="AS100" s="565">
        <f t="shared" si="116"/>
        <v>189914248</v>
      </c>
      <c r="AT100" s="565">
        <f t="shared" si="116"/>
        <v>1327490</v>
      </c>
      <c r="AU100" s="565">
        <f t="shared" si="116"/>
        <v>64639706</v>
      </c>
      <c r="AV100" s="565">
        <f t="shared" si="116"/>
        <v>3798286</v>
      </c>
      <c r="AW100" s="565">
        <f t="shared" si="116"/>
        <v>3628990</v>
      </c>
      <c r="AX100" s="566">
        <f t="shared" si="116"/>
        <v>407.44420000000002</v>
      </c>
      <c r="AY100" s="566">
        <f t="shared" si="116"/>
        <v>299.14300000000003</v>
      </c>
      <c r="AZ100" s="568">
        <f t="shared" si="116"/>
        <v>108.30119999999999</v>
      </c>
    </row>
    <row r="101" spans="1:52" x14ac:dyDescent="0.2">
      <c r="D101" s="10"/>
      <c r="E101" s="6"/>
      <c r="F101" s="10"/>
      <c r="G101" s="24"/>
      <c r="H101" s="6"/>
      <c r="I101" s="507">
        <f>SUM(J100:N100)</f>
        <v>263265228</v>
      </c>
      <c r="J101" s="507"/>
      <c r="K101" s="507"/>
      <c r="L101" s="507"/>
      <c r="M101" s="507"/>
      <c r="N101" s="507"/>
      <c r="O101" s="508">
        <f>SUM(P100:Q100)</f>
        <v>407.4042</v>
      </c>
      <c r="P101" s="508"/>
      <c r="Q101" s="508"/>
      <c r="R101" s="507">
        <f>W100</f>
        <v>0</v>
      </c>
      <c r="S101" s="508"/>
      <c r="T101" s="508"/>
      <c r="U101" s="508"/>
      <c r="V101" s="516">
        <f>SUM(R100:U100)</f>
        <v>-19467</v>
      </c>
      <c r="W101" s="516">
        <f>R100</f>
        <v>0</v>
      </c>
      <c r="X101" s="517"/>
      <c r="Y101" s="517"/>
      <c r="Z101" s="516">
        <f>SUM(W100:Y100)</f>
        <v>0</v>
      </c>
      <c r="AA101" s="516">
        <f>V100+Z100</f>
        <v>-19467</v>
      </c>
      <c r="AB101" s="518"/>
      <c r="AC101" s="518"/>
      <c r="AD101" s="517"/>
      <c r="AE101" s="517"/>
      <c r="AF101" s="516">
        <f>SUM(AD100:AE100)</f>
        <v>69928</v>
      </c>
      <c r="AG101" s="516">
        <f>AA100+AB100+AC100+AF100</f>
        <v>43492</v>
      </c>
      <c r="AH101" s="519"/>
      <c r="AI101" s="519"/>
      <c r="AJ101" s="519"/>
      <c r="AK101" s="519"/>
      <c r="AL101" s="519"/>
      <c r="AM101" s="519"/>
      <c r="AN101" s="519"/>
      <c r="AO101" s="520">
        <f>AH100+AJ100+AM100</f>
        <v>0.04</v>
      </c>
      <c r="AP101" s="520">
        <f>AI100+AN100</f>
        <v>0</v>
      </c>
      <c r="AQ101" s="520">
        <f>SUM(AO100:AP100)</f>
        <v>0.04</v>
      </c>
      <c r="AR101" s="507">
        <f>SUM(AS100:AW100)</f>
        <v>263308720</v>
      </c>
      <c r="AS101" s="59"/>
      <c r="AT101" s="59"/>
      <c r="AU101" s="59"/>
      <c r="AV101" s="59"/>
      <c r="AW101" s="59"/>
      <c r="AX101" s="508">
        <f>SUM(AY100:AZ100)</f>
        <v>407.44420000000002</v>
      </c>
      <c r="AY101" s="97"/>
      <c r="AZ101" s="97"/>
    </row>
    <row r="102" spans="1:52" ht="13.5" thickBot="1" x14ac:dyDescent="0.25">
      <c r="D102" s="10"/>
      <c r="E102" s="6"/>
      <c r="F102" s="10"/>
      <c r="G102" s="24"/>
      <c r="H102" s="6"/>
      <c r="I102" s="95">
        <f>SUM(J103:N103)</f>
        <v>263265228</v>
      </c>
      <c r="J102" s="57"/>
      <c r="K102" s="57"/>
      <c r="L102" s="515"/>
      <c r="M102" s="515"/>
      <c r="N102" s="57"/>
      <c r="O102" s="96">
        <f>SUM(P103:Q103)</f>
        <v>407.40420000000006</v>
      </c>
      <c r="P102" s="187"/>
      <c r="Q102" s="187"/>
      <c r="R102" s="508"/>
      <c r="S102" s="508"/>
      <c r="T102" s="508"/>
      <c r="U102" s="508"/>
      <c r="V102" s="516">
        <f>SUM(R103:U103)</f>
        <v>-19467</v>
      </c>
      <c r="W102" s="517"/>
      <c r="X102" s="517"/>
      <c r="Y102" s="517"/>
      <c r="Z102" s="516">
        <f>SUM(W103:Y103)</f>
        <v>0</v>
      </c>
      <c r="AA102" s="516">
        <f>V103+Z103</f>
        <v>-19467</v>
      </c>
      <c r="AB102" s="518"/>
      <c r="AC102" s="518"/>
      <c r="AD102" s="517"/>
      <c r="AE102" s="517"/>
      <c r="AF102" s="516">
        <f>SUM(AD103:AE103)</f>
        <v>69928</v>
      </c>
      <c r="AG102" s="516">
        <f>AA103+AB103+AC103+AF103</f>
        <v>43492</v>
      </c>
      <c r="AH102" s="519"/>
      <c r="AI102" s="519"/>
      <c r="AJ102" s="519"/>
      <c r="AK102" s="519"/>
      <c r="AL102" s="519"/>
      <c r="AM102" s="519"/>
      <c r="AN102" s="519"/>
      <c r="AO102" s="520">
        <f>AH103+AJ103+AM103</f>
        <v>0.04</v>
      </c>
      <c r="AP102" s="520">
        <f>AI103+AN103</f>
        <v>0</v>
      </c>
      <c r="AQ102" s="520">
        <f>SUM(AO103:AP103)</f>
        <v>0.04</v>
      </c>
      <c r="AR102" s="507">
        <f>SUM(AS103:AW103)</f>
        <v>263308720</v>
      </c>
      <c r="AS102" s="59"/>
      <c r="AT102" s="59"/>
      <c r="AU102" s="59"/>
      <c r="AV102" s="59"/>
      <c r="AW102" s="59"/>
      <c r="AX102" s="508">
        <f>SUM(AY103:AZ103)</f>
        <v>407.44420000000002</v>
      </c>
      <c r="AY102" s="97"/>
      <c r="AZ102" s="97"/>
    </row>
    <row r="103" spans="1:52" ht="13.5" thickBot="1" x14ac:dyDescent="0.25">
      <c r="D103" s="10"/>
      <c r="E103" s="6"/>
      <c r="F103" s="10"/>
      <c r="G103" s="24"/>
      <c r="H103" s="539" t="s">
        <v>0</v>
      </c>
      <c r="I103" s="150">
        <f t="shared" ref="I103:AZ103" si="117">SUM(I104:I113)</f>
        <v>263265228</v>
      </c>
      <c r="J103" s="38">
        <f t="shared" si="117"/>
        <v>189933715</v>
      </c>
      <c r="K103" s="38">
        <f t="shared" si="117"/>
        <v>1327490</v>
      </c>
      <c r="L103" s="38">
        <f t="shared" si="117"/>
        <v>64646286</v>
      </c>
      <c r="M103" s="38">
        <f t="shared" si="117"/>
        <v>3798675</v>
      </c>
      <c r="N103" s="38">
        <f t="shared" si="117"/>
        <v>3559062</v>
      </c>
      <c r="O103" s="39">
        <f t="shared" si="117"/>
        <v>407.4042</v>
      </c>
      <c r="P103" s="39">
        <f t="shared" si="117"/>
        <v>299.10300000000007</v>
      </c>
      <c r="Q103" s="159">
        <f t="shared" si="117"/>
        <v>108.30119999999999</v>
      </c>
      <c r="R103" s="150">
        <f t="shared" si="117"/>
        <v>0</v>
      </c>
      <c r="S103" s="38">
        <f t="shared" si="117"/>
        <v>17352</v>
      </c>
      <c r="T103" s="38">
        <f t="shared" si="117"/>
        <v>0</v>
      </c>
      <c r="U103" s="38">
        <f t="shared" si="117"/>
        <v>-36819</v>
      </c>
      <c r="V103" s="38">
        <f t="shared" si="117"/>
        <v>-19467</v>
      </c>
      <c r="W103" s="38">
        <f t="shared" si="117"/>
        <v>0</v>
      </c>
      <c r="X103" s="38">
        <f t="shared" si="117"/>
        <v>0</v>
      </c>
      <c r="Y103" s="38">
        <f t="shared" si="117"/>
        <v>0</v>
      </c>
      <c r="Z103" s="38">
        <f t="shared" si="117"/>
        <v>0</v>
      </c>
      <c r="AA103" s="38">
        <f t="shared" si="117"/>
        <v>-19467</v>
      </c>
      <c r="AB103" s="38">
        <f t="shared" si="117"/>
        <v>-6580</v>
      </c>
      <c r="AC103" s="38">
        <f t="shared" si="117"/>
        <v>-389</v>
      </c>
      <c r="AD103" s="38">
        <f t="shared" si="117"/>
        <v>0</v>
      </c>
      <c r="AE103" s="38">
        <f t="shared" si="117"/>
        <v>69928</v>
      </c>
      <c r="AF103" s="38">
        <f t="shared" si="117"/>
        <v>69928</v>
      </c>
      <c r="AG103" s="38">
        <f t="shared" si="117"/>
        <v>43492</v>
      </c>
      <c r="AH103" s="39">
        <f t="shared" si="117"/>
        <v>0</v>
      </c>
      <c r="AI103" s="39">
        <f t="shared" si="117"/>
        <v>0</v>
      </c>
      <c r="AJ103" s="39">
        <f t="shared" si="117"/>
        <v>0.04</v>
      </c>
      <c r="AK103" s="39">
        <f t="shared" si="117"/>
        <v>0</v>
      </c>
      <c r="AL103" s="39">
        <f t="shared" si="117"/>
        <v>0</v>
      </c>
      <c r="AM103" s="39">
        <f t="shared" si="117"/>
        <v>0</v>
      </c>
      <c r="AN103" s="39">
        <f t="shared" si="117"/>
        <v>0</v>
      </c>
      <c r="AO103" s="39">
        <f t="shared" si="117"/>
        <v>0.04</v>
      </c>
      <c r="AP103" s="39">
        <f t="shared" si="117"/>
        <v>0</v>
      </c>
      <c r="AQ103" s="40">
        <f t="shared" si="117"/>
        <v>0.04</v>
      </c>
      <c r="AR103" s="160">
        <f t="shared" si="117"/>
        <v>263308720</v>
      </c>
      <c r="AS103" s="38">
        <f t="shared" si="117"/>
        <v>189914248</v>
      </c>
      <c r="AT103" s="38">
        <f t="shared" si="117"/>
        <v>1327490</v>
      </c>
      <c r="AU103" s="38">
        <f t="shared" si="117"/>
        <v>64639706</v>
      </c>
      <c r="AV103" s="38">
        <f t="shared" si="117"/>
        <v>3798286</v>
      </c>
      <c r="AW103" s="38">
        <f t="shared" si="117"/>
        <v>3628990</v>
      </c>
      <c r="AX103" s="39">
        <f t="shared" si="117"/>
        <v>407.44419999999997</v>
      </c>
      <c r="AY103" s="39">
        <f t="shared" si="117"/>
        <v>299.14300000000003</v>
      </c>
      <c r="AZ103" s="40">
        <f t="shared" si="117"/>
        <v>108.30119999999999</v>
      </c>
    </row>
    <row r="104" spans="1:52" x14ac:dyDescent="0.2">
      <c r="D104" s="10"/>
      <c r="E104" s="6"/>
      <c r="F104" s="10"/>
      <c r="G104" s="24"/>
      <c r="H104" s="540">
        <v>3111</v>
      </c>
      <c r="I104" s="642">
        <f t="shared" ref="I104:AZ104" si="118">SUMIF($F$12:$F$463,"=3111",I$12:I$463)</f>
        <v>50927601</v>
      </c>
      <c r="J104" s="643">
        <f t="shared" si="118"/>
        <v>37118579</v>
      </c>
      <c r="K104" s="643">
        <f t="shared" si="118"/>
        <v>175500</v>
      </c>
      <c r="L104" s="643">
        <f t="shared" si="118"/>
        <v>12605398</v>
      </c>
      <c r="M104" s="643">
        <f t="shared" si="118"/>
        <v>742374</v>
      </c>
      <c r="N104" s="643">
        <f t="shared" si="118"/>
        <v>285750</v>
      </c>
      <c r="O104" s="648">
        <f t="shared" si="118"/>
        <v>83.952500000000001</v>
      </c>
      <c r="P104" s="648">
        <f t="shared" si="118"/>
        <v>64.864000000000004</v>
      </c>
      <c r="Q104" s="649">
        <f t="shared" si="118"/>
        <v>19.0885</v>
      </c>
      <c r="R104" s="642">
        <f t="shared" si="118"/>
        <v>0</v>
      </c>
      <c r="S104" s="643">
        <f t="shared" si="118"/>
        <v>0</v>
      </c>
      <c r="T104" s="643">
        <f t="shared" si="118"/>
        <v>0</v>
      </c>
      <c r="U104" s="643">
        <f t="shared" si="118"/>
        <v>-36819</v>
      </c>
      <c r="V104" s="643">
        <f t="shared" si="118"/>
        <v>-36819</v>
      </c>
      <c r="W104" s="643">
        <f t="shared" si="118"/>
        <v>0</v>
      </c>
      <c r="X104" s="643">
        <f t="shared" si="118"/>
        <v>0</v>
      </c>
      <c r="Y104" s="643">
        <f t="shared" si="118"/>
        <v>0</v>
      </c>
      <c r="Z104" s="643">
        <f t="shared" si="118"/>
        <v>0</v>
      </c>
      <c r="AA104" s="643">
        <f t="shared" si="118"/>
        <v>-36819</v>
      </c>
      <c r="AB104" s="643">
        <f t="shared" si="118"/>
        <v>-12445</v>
      </c>
      <c r="AC104" s="643">
        <f t="shared" si="118"/>
        <v>-736</v>
      </c>
      <c r="AD104" s="643">
        <f t="shared" si="118"/>
        <v>0</v>
      </c>
      <c r="AE104" s="643">
        <f t="shared" si="118"/>
        <v>50000</v>
      </c>
      <c r="AF104" s="643">
        <f t="shared" si="118"/>
        <v>50000</v>
      </c>
      <c r="AG104" s="643">
        <f t="shared" si="118"/>
        <v>0</v>
      </c>
      <c r="AH104" s="648">
        <f t="shared" si="118"/>
        <v>0</v>
      </c>
      <c r="AI104" s="648">
        <f t="shared" si="118"/>
        <v>0</v>
      </c>
      <c r="AJ104" s="648">
        <f t="shared" si="118"/>
        <v>0</v>
      </c>
      <c r="AK104" s="648">
        <f t="shared" si="118"/>
        <v>0</v>
      </c>
      <c r="AL104" s="648">
        <f t="shared" si="118"/>
        <v>0</v>
      </c>
      <c r="AM104" s="648">
        <f t="shared" si="118"/>
        <v>0</v>
      </c>
      <c r="AN104" s="648">
        <f t="shared" si="118"/>
        <v>0</v>
      </c>
      <c r="AO104" s="648">
        <f t="shared" si="118"/>
        <v>0</v>
      </c>
      <c r="AP104" s="648">
        <f t="shared" si="118"/>
        <v>0</v>
      </c>
      <c r="AQ104" s="651">
        <f t="shared" si="118"/>
        <v>0</v>
      </c>
      <c r="AR104" s="644">
        <f t="shared" si="118"/>
        <v>50927601</v>
      </c>
      <c r="AS104" s="643">
        <f t="shared" si="118"/>
        <v>37081760</v>
      </c>
      <c r="AT104" s="643">
        <f t="shared" si="118"/>
        <v>175500</v>
      </c>
      <c r="AU104" s="643">
        <f t="shared" si="118"/>
        <v>12592953</v>
      </c>
      <c r="AV104" s="643">
        <f t="shared" si="118"/>
        <v>741638</v>
      </c>
      <c r="AW104" s="643">
        <f t="shared" si="118"/>
        <v>335750</v>
      </c>
      <c r="AX104" s="648">
        <f t="shared" si="118"/>
        <v>83.952500000000001</v>
      </c>
      <c r="AY104" s="648">
        <f t="shared" si="118"/>
        <v>64.864000000000004</v>
      </c>
      <c r="AZ104" s="651">
        <f t="shared" si="118"/>
        <v>19.0885</v>
      </c>
    </row>
    <row r="105" spans="1:52" x14ac:dyDescent="0.2">
      <c r="D105" s="10"/>
      <c r="E105" s="6"/>
      <c r="F105" s="10"/>
      <c r="G105" s="24"/>
      <c r="H105" s="2">
        <v>3113</v>
      </c>
      <c r="I105" s="178">
        <f t="shared" ref="I105:AZ105" si="119">SUMIF($F$12:$F$463,"=3113",I$12:I$463)</f>
        <v>150377010</v>
      </c>
      <c r="J105" s="17">
        <f t="shared" si="119"/>
        <v>107912021</v>
      </c>
      <c r="K105" s="17">
        <f t="shared" si="119"/>
        <v>703490</v>
      </c>
      <c r="L105" s="17">
        <f t="shared" si="119"/>
        <v>36712041</v>
      </c>
      <c r="M105" s="17">
        <f t="shared" si="119"/>
        <v>2158238</v>
      </c>
      <c r="N105" s="17">
        <f t="shared" si="119"/>
        <v>2891220</v>
      </c>
      <c r="O105" s="14">
        <f t="shared" si="119"/>
        <v>219.3638</v>
      </c>
      <c r="P105" s="14">
        <f t="shared" si="119"/>
        <v>179.06660000000002</v>
      </c>
      <c r="Q105" s="180">
        <f t="shared" si="119"/>
        <v>40.297199999999997</v>
      </c>
      <c r="R105" s="178">
        <f t="shared" si="119"/>
        <v>0</v>
      </c>
      <c r="S105" s="17">
        <f t="shared" si="119"/>
        <v>17352</v>
      </c>
      <c r="T105" s="17">
        <f t="shared" si="119"/>
        <v>0</v>
      </c>
      <c r="U105" s="17">
        <f t="shared" si="119"/>
        <v>0</v>
      </c>
      <c r="V105" s="17">
        <f t="shared" si="119"/>
        <v>17352</v>
      </c>
      <c r="W105" s="17">
        <f t="shared" si="119"/>
        <v>0</v>
      </c>
      <c r="X105" s="17">
        <f t="shared" si="119"/>
        <v>0</v>
      </c>
      <c r="Y105" s="17">
        <f t="shared" si="119"/>
        <v>0</v>
      </c>
      <c r="Z105" s="17">
        <f t="shared" si="119"/>
        <v>0</v>
      </c>
      <c r="AA105" s="17">
        <f t="shared" si="119"/>
        <v>17352</v>
      </c>
      <c r="AB105" s="17">
        <f t="shared" si="119"/>
        <v>5865</v>
      </c>
      <c r="AC105" s="17">
        <f t="shared" si="119"/>
        <v>347</v>
      </c>
      <c r="AD105" s="17">
        <f t="shared" si="119"/>
        <v>0</v>
      </c>
      <c r="AE105" s="17">
        <f t="shared" si="119"/>
        <v>0</v>
      </c>
      <c r="AF105" s="17">
        <f t="shared" si="119"/>
        <v>0</v>
      </c>
      <c r="AG105" s="17">
        <f t="shared" si="119"/>
        <v>23564</v>
      </c>
      <c r="AH105" s="14">
        <f t="shared" si="119"/>
        <v>0</v>
      </c>
      <c r="AI105" s="14">
        <f t="shared" si="119"/>
        <v>0</v>
      </c>
      <c r="AJ105" s="14">
        <f t="shared" si="119"/>
        <v>0.04</v>
      </c>
      <c r="AK105" s="14">
        <f t="shared" si="119"/>
        <v>0</v>
      </c>
      <c r="AL105" s="14">
        <f t="shared" si="119"/>
        <v>0</v>
      </c>
      <c r="AM105" s="14">
        <f t="shared" si="119"/>
        <v>0</v>
      </c>
      <c r="AN105" s="14">
        <f t="shared" si="119"/>
        <v>0</v>
      </c>
      <c r="AO105" s="14">
        <f t="shared" si="119"/>
        <v>0.04</v>
      </c>
      <c r="AP105" s="14">
        <f t="shared" si="119"/>
        <v>0</v>
      </c>
      <c r="AQ105" s="18">
        <f t="shared" si="119"/>
        <v>0.04</v>
      </c>
      <c r="AR105" s="179">
        <f t="shared" si="119"/>
        <v>150400574</v>
      </c>
      <c r="AS105" s="17">
        <f t="shared" si="119"/>
        <v>107929373</v>
      </c>
      <c r="AT105" s="17">
        <f t="shared" si="119"/>
        <v>703490</v>
      </c>
      <c r="AU105" s="17">
        <f t="shared" si="119"/>
        <v>36717906</v>
      </c>
      <c r="AV105" s="17">
        <f t="shared" si="119"/>
        <v>2158585</v>
      </c>
      <c r="AW105" s="17">
        <f t="shared" si="119"/>
        <v>2891220</v>
      </c>
      <c r="AX105" s="14">
        <f t="shared" si="119"/>
        <v>219.40379999999999</v>
      </c>
      <c r="AY105" s="14">
        <f t="shared" si="119"/>
        <v>179.10659999999999</v>
      </c>
      <c r="AZ105" s="18">
        <f t="shared" si="119"/>
        <v>40.297199999999997</v>
      </c>
    </row>
    <row r="106" spans="1:52" x14ac:dyDescent="0.2">
      <c r="D106" s="10"/>
      <c r="E106" s="6"/>
      <c r="F106" s="10"/>
      <c r="G106" s="24"/>
      <c r="H106" s="2">
        <v>3114</v>
      </c>
      <c r="I106" s="178">
        <f t="shared" ref="I106:AZ106" si="120">SUMIF($F$12:$F$463,"=3114",I$12:I$463)</f>
        <v>0</v>
      </c>
      <c r="J106" s="17">
        <f t="shared" si="120"/>
        <v>0</v>
      </c>
      <c r="K106" s="17">
        <f t="shared" si="120"/>
        <v>0</v>
      </c>
      <c r="L106" s="17">
        <f t="shared" si="120"/>
        <v>0</v>
      </c>
      <c r="M106" s="17">
        <f t="shared" si="120"/>
        <v>0</v>
      </c>
      <c r="N106" s="17">
        <f t="shared" si="120"/>
        <v>0</v>
      </c>
      <c r="O106" s="14">
        <f t="shared" si="120"/>
        <v>0</v>
      </c>
      <c r="P106" s="14">
        <f t="shared" si="120"/>
        <v>0</v>
      </c>
      <c r="Q106" s="180">
        <f t="shared" si="120"/>
        <v>0</v>
      </c>
      <c r="R106" s="178">
        <f t="shared" si="120"/>
        <v>0</v>
      </c>
      <c r="S106" s="17">
        <f t="shared" si="120"/>
        <v>0</v>
      </c>
      <c r="T106" s="17">
        <f t="shared" si="120"/>
        <v>0</v>
      </c>
      <c r="U106" s="17">
        <f t="shared" si="120"/>
        <v>0</v>
      </c>
      <c r="V106" s="17">
        <f t="shared" si="120"/>
        <v>0</v>
      </c>
      <c r="W106" s="17">
        <f t="shared" si="120"/>
        <v>0</v>
      </c>
      <c r="X106" s="17">
        <f t="shared" si="120"/>
        <v>0</v>
      </c>
      <c r="Y106" s="17">
        <f t="shared" si="120"/>
        <v>0</v>
      </c>
      <c r="Z106" s="17">
        <f t="shared" si="120"/>
        <v>0</v>
      </c>
      <c r="AA106" s="17">
        <f t="shared" si="120"/>
        <v>0</v>
      </c>
      <c r="AB106" s="17">
        <f t="shared" si="120"/>
        <v>0</v>
      </c>
      <c r="AC106" s="17">
        <f t="shared" si="120"/>
        <v>0</v>
      </c>
      <c r="AD106" s="17">
        <f t="shared" si="120"/>
        <v>0</v>
      </c>
      <c r="AE106" s="17">
        <f t="shared" si="120"/>
        <v>0</v>
      </c>
      <c r="AF106" s="17">
        <f t="shared" si="120"/>
        <v>0</v>
      </c>
      <c r="AG106" s="17">
        <f t="shared" si="120"/>
        <v>0</v>
      </c>
      <c r="AH106" s="14">
        <f t="shared" si="120"/>
        <v>0</v>
      </c>
      <c r="AI106" s="14">
        <f t="shared" si="120"/>
        <v>0</v>
      </c>
      <c r="AJ106" s="14">
        <f t="shared" si="120"/>
        <v>0</v>
      </c>
      <c r="AK106" s="14">
        <f t="shared" si="120"/>
        <v>0</v>
      </c>
      <c r="AL106" s="14">
        <f t="shared" si="120"/>
        <v>0</v>
      </c>
      <c r="AM106" s="14">
        <f t="shared" si="120"/>
        <v>0</v>
      </c>
      <c r="AN106" s="14">
        <f t="shared" si="120"/>
        <v>0</v>
      </c>
      <c r="AO106" s="14">
        <f t="shared" si="120"/>
        <v>0</v>
      </c>
      <c r="AP106" s="14">
        <f t="shared" si="120"/>
        <v>0</v>
      </c>
      <c r="AQ106" s="18">
        <f t="shared" si="120"/>
        <v>0</v>
      </c>
      <c r="AR106" s="179">
        <f t="shared" si="120"/>
        <v>0</v>
      </c>
      <c r="AS106" s="17">
        <f t="shared" si="120"/>
        <v>0</v>
      </c>
      <c r="AT106" s="17">
        <f t="shared" si="120"/>
        <v>0</v>
      </c>
      <c r="AU106" s="17">
        <f t="shared" si="120"/>
        <v>0</v>
      </c>
      <c r="AV106" s="17">
        <f t="shared" si="120"/>
        <v>0</v>
      </c>
      <c r="AW106" s="17">
        <f t="shared" si="120"/>
        <v>0</v>
      </c>
      <c r="AX106" s="14">
        <f t="shared" si="120"/>
        <v>0</v>
      </c>
      <c r="AY106" s="14">
        <f t="shared" si="120"/>
        <v>0</v>
      </c>
      <c r="AZ106" s="18">
        <f t="shared" si="120"/>
        <v>0</v>
      </c>
    </row>
    <row r="107" spans="1:52" x14ac:dyDescent="0.2">
      <c r="D107" s="10"/>
      <c r="E107" s="6"/>
      <c r="F107" s="10"/>
      <c r="G107" s="24"/>
      <c r="H107" s="2">
        <v>3117</v>
      </c>
      <c r="I107" s="178">
        <f t="shared" ref="I107:AZ107" si="121">SUMIF($F$12:$F$463,"=3117",I$12:I$463)</f>
        <v>14045356</v>
      </c>
      <c r="J107" s="17">
        <f t="shared" si="121"/>
        <v>10039923</v>
      </c>
      <c r="K107" s="17">
        <f t="shared" si="121"/>
        <v>146250</v>
      </c>
      <c r="L107" s="17">
        <f t="shared" si="121"/>
        <v>3442926</v>
      </c>
      <c r="M107" s="17">
        <f t="shared" si="121"/>
        <v>200797</v>
      </c>
      <c r="N107" s="17">
        <f t="shared" si="121"/>
        <v>215460</v>
      </c>
      <c r="O107" s="14">
        <f t="shared" si="121"/>
        <v>20.542300000000004</v>
      </c>
      <c r="P107" s="14">
        <f t="shared" si="121"/>
        <v>15.390800000000002</v>
      </c>
      <c r="Q107" s="180">
        <f t="shared" si="121"/>
        <v>5.1515000000000004</v>
      </c>
      <c r="R107" s="178">
        <f t="shared" si="121"/>
        <v>0</v>
      </c>
      <c r="S107" s="17">
        <f t="shared" si="121"/>
        <v>0</v>
      </c>
      <c r="T107" s="17">
        <f t="shared" si="121"/>
        <v>0</v>
      </c>
      <c r="U107" s="17">
        <f t="shared" si="121"/>
        <v>0</v>
      </c>
      <c r="V107" s="17">
        <f t="shared" si="121"/>
        <v>0</v>
      </c>
      <c r="W107" s="17">
        <f t="shared" si="121"/>
        <v>0</v>
      </c>
      <c r="X107" s="17">
        <f t="shared" si="121"/>
        <v>0</v>
      </c>
      <c r="Y107" s="17">
        <f t="shared" si="121"/>
        <v>0</v>
      </c>
      <c r="Z107" s="17">
        <f t="shared" si="121"/>
        <v>0</v>
      </c>
      <c r="AA107" s="17">
        <f t="shared" si="121"/>
        <v>0</v>
      </c>
      <c r="AB107" s="17">
        <f t="shared" si="121"/>
        <v>0</v>
      </c>
      <c r="AC107" s="17">
        <f t="shared" si="121"/>
        <v>0</v>
      </c>
      <c r="AD107" s="17">
        <f t="shared" si="121"/>
        <v>0</v>
      </c>
      <c r="AE107" s="17">
        <f t="shared" si="121"/>
        <v>0</v>
      </c>
      <c r="AF107" s="17">
        <f t="shared" si="121"/>
        <v>0</v>
      </c>
      <c r="AG107" s="17">
        <f t="shared" si="121"/>
        <v>0</v>
      </c>
      <c r="AH107" s="14">
        <f t="shared" si="121"/>
        <v>0</v>
      </c>
      <c r="AI107" s="14">
        <f t="shared" si="121"/>
        <v>0</v>
      </c>
      <c r="AJ107" s="14">
        <f t="shared" si="121"/>
        <v>0</v>
      </c>
      <c r="AK107" s="14">
        <f t="shared" si="121"/>
        <v>0</v>
      </c>
      <c r="AL107" s="14">
        <f t="shared" si="121"/>
        <v>0</v>
      </c>
      <c r="AM107" s="14">
        <f t="shared" si="121"/>
        <v>0</v>
      </c>
      <c r="AN107" s="14">
        <f t="shared" si="121"/>
        <v>0</v>
      </c>
      <c r="AO107" s="14">
        <f t="shared" si="121"/>
        <v>0</v>
      </c>
      <c r="AP107" s="14">
        <f t="shared" si="121"/>
        <v>0</v>
      </c>
      <c r="AQ107" s="18">
        <f t="shared" si="121"/>
        <v>0</v>
      </c>
      <c r="AR107" s="179">
        <f t="shared" si="121"/>
        <v>14045356</v>
      </c>
      <c r="AS107" s="17">
        <f t="shared" si="121"/>
        <v>10039923</v>
      </c>
      <c r="AT107" s="17">
        <f t="shared" si="121"/>
        <v>146250</v>
      </c>
      <c r="AU107" s="17">
        <f t="shared" si="121"/>
        <v>3442926</v>
      </c>
      <c r="AV107" s="17">
        <f t="shared" si="121"/>
        <v>200797</v>
      </c>
      <c r="AW107" s="17">
        <f t="shared" si="121"/>
        <v>215460</v>
      </c>
      <c r="AX107" s="14">
        <f t="shared" si="121"/>
        <v>20.542300000000004</v>
      </c>
      <c r="AY107" s="14">
        <f t="shared" si="121"/>
        <v>15.390800000000002</v>
      </c>
      <c r="AZ107" s="18">
        <f t="shared" si="121"/>
        <v>5.1515000000000004</v>
      </c>
    </row>
    <row r="108" spans="1:52" x14ac:dyDescent="0.2">
      <c r="D108" s="10"/>
      <c r="E108" s="6"/>
      <c r="F108" s="10"/>
      <c r="G108" s="24"/>
      <c r="H108" s="2">
        <v>3122</v>
      </c>
      <c r="I108" s="178">
        <f t="shared" ref="I108:AZ108" si="122">SUMIF($F$12:$F$463,"=3122",I$12:I$463)</f>
        <v>0</v>
      </c>
      <c r="J108" s="17">
        <f t="shared" si="122"/>
        <v>0</v>
      </c>
      <c r="K108" s="17">
        <f t="shared" si="122"/>
        <v>0</v>
      </c>
      <c r="L108" s="17">
        <f t="shared" si="122"/>
        <v>0</v>
      </c>
      <c r="M108" s="17">
        <f t="shared" si="122"/>
        <v>0</v>
      </c>
      <c r="N108" s="17">
        <f t="shared" si="122"/>
        <v>0</v>
      </c>
      <c r="O108" s="14">
        <f t="shared" si="122"/>
        <v>0</v>
      </c>
      <c r="P108" s="14">
        <f t="shared" si="122"/>
        <v>0</v>
      </c>
      <c r="Q108" s="180">
        <f t="shared" si="122"/>
        <v>0</v>
      </c>
      <c r="R108" s="178">
        <f t="shared" si="122"/>
        <v>0</v>
      </c>
      <c r="S108" s="17">
        <f t="shared" si="122"/>
        <v>0</v>
      </c>
      <c r="T108" s="17">
        <f t="shared" si="122"/>
        <v>0</v>
      </c>
      <c r="U108" s="17">
        <f t="shared" si="122"/>
        <v>0</v>
      </c>
      <c r="V108" s="17">
        <f t="shared" si="122"/>
        <v>0</v>
      </c>
      <c r="W108" s="17">
        <f t="shared" si="122"/>
        <v>0</v>
      </c>
      <c r="X108" s="17">
        <f t="shared" si="122"/>
        <v>0</v>
      </c>
      <c r="Y108" s="17">
        <f t="shared" si="122"/>
        <v>0</v>
      </c>
      <c r="Z108" s="17">
        <f t="shared" si="122"/>
        <v>0</v>
      </c>
      <c r="AA108" s="17">
        <f t="shared" si="122"/>
        <v>0</v>
      </c>
      <c r="AB108" s="17">
        <f t="shared" si="122"/>
        <v>0</v>
      </c>
      <c r="AC108" s="17">
        <f t="shared" si="122"/>
        <v>0</v>
      </c>
      <c r="AD108" s="17">
        <f t="shared" si="122"/>
        <v>0</v>
      </c>
      <c r="AE108" s="17">
        <f t="shared" si="122"/>
        <v>0</v>
      </c>
      <c r="AF108" s="17">
        <f t="shared" si="122"/>
        <v>0</v>
      </c>
      <c r="AG108" s="17">
        <f t="shared" si="122"/>
        <v>0</v>
      </c>
      <c r="AH108" s="14">
        <f t="shared" si="122"/>
        <v>0</v>
      </c>
      <c r="AI108" s="14">
        <f t="shared" si="122"/>
        <v>0</v>
      </c>
      <c r="AJ108" s="14">
        <f t="shared" si="122"/>
        <v>0</v>
      </c>
      <c r="AK108" s="14">
        <f t="shared" si="122"/>
        <v>0</v>
      </c>
      <c r="AL108" s="14">
        <f t="shared" si="122"/>
        <v>0</v>
      </c>
      <c r="AM108" s="14">
        <f t="shared" si="122"/>
        <v>0</v>
      </c>
      <c r="AN108" s="14">
        <f t="shared" si="122"/>
        <v>0</v>
      </c>
      <c r="AO108" s="14">
        <f t="shared" si="122"/>
        <v>0</v>
      </c>
      <c r="AP108" s="14">
        <f t="shared" si="122"/>
        <v>0</v>
      </c>
      <c r="AQ108" s="18">
        <f t="shared" si="122"/>
        <v>0</v>
      </c>
      <c r="AR108" s="179">
        <f t="shared" si="122"/>
        <v>0</v>
      </c>
      <c r="AS108" s="17">
        <f t="shared" si="122"/>
        <v>0</v>
      </c>
      <c r="AT108" s="17">
        <f t="shared" si="122"/>
        <v>0</v>
      </c>
      <c r="AU108" s="17">
        <f t="shared" si="122"/>
        <v>0</v>
      </c>
      <c r="AV108" s="17">
        <f t="shared" si="122"/>
        <v>0</v>
      </c>
      <c r="AW108" s="17">
        <f t="shared" si="122"/>
        <v>0</v>
      </c>
      <c r="AX108" s="14">
        <f t="shared" si="122"/>
        <v>0</v>
      </c>
      <c r="AY108" s="14">
        <f t="shared" si="122"/>
        <v>0</v>
      </c>
      <c r="AZ108" s="18">
        <f t="shared" si="122"/>
        <v>0</v>
      </c>
    </row>
    <row r="109" spans="1:52" x14ac:dyDescent="0.2">
      <c r="D109" s="10"/>
      <c r="E109" s="6"/>
      <c r="F109" s="10"/>
      <c r="G109" s="24"/>
      <c r="H109" s="2">
        <v>3124</v>
      </c>
      <c r="I109" s="178">
        <f t="shared" ref="I109:AZ109" si="123">SUMIF($F$12:$F$463,"=3124",I$12:I$463)</f>
        <v>0</v>
      </c>
      <c r="J109" s="17">
        <f t="shared" si="123"/>
        <v>0</v>
      </c>
      <c r="K109" s="17">
        <f t="shared" si="123"/>
        <v>0</v>
      </c>
      <c r="L109" s="17">
        <f t="shared" si="123"/>
        <v>0</v>
      </c>
      <c r="M109" s="17">
        <f t="shared" si="123"/>
        <v>0</v>
      </c>
      <c r="N109" s="17">
        <f t="shared" si="123"/>
        <v>0</v>
      </c>
      <c r="O109" s="14">
        <f t="shared" si="123"/>
        <v>0</v>
      </c>
      <c r="P109" s="14">
        <f t="shared" si="123"/>
        <v>0</v>
      </c>
      <c r="Q109" s="180">
        <f t="shared" si="123"/>
        <v>0</v>
      </c>
      <c r="R109" s="178">
        <f t="shared" si="123"/>
        <v>0</v>
      </c>
      <c r="S109" s="17">
        <f t="shared" si="123"/>
        <v>0</v>
      </c>
      <c r="T109" s="17">
        <f t="shared" si="123"/>
        <v>0</v>
      </c>
      <c r="U109" s="17">
        <f t="shared" si="123"/>
        <v>0</v>
      </c>
      <c r="V109" s="17">
        <f t="shared" si="123"/>
        <v>0</v>
      </c>
      <c r="W109" s="17">
        <f t="shared" si="123"/>
        <v>0</v>
      </c>
      <c r="X109" s="17">
        <f t="shared" si="123"/>
        <v>0</v>
      </c>
      <c r="Y109" s="17">
        <f t="shared" si="123"/>
        <v>0</v>
      </c>
      <c r="Z109" s="17">
        <f t="shared" si="123"/>
        <v>0</v>
      </c>
      <c r="AA109" s="17">
        <f t="shared" si="123"/>
        <v>0</v>
      </c>
      <c r="AB109" s="17">
        <f t="shared" si="123"/>
        <v>0</v>
      </c>
      <c r="AC109" s="17">
        <f t="shared" si="123"/>
        <v>0</v>
      </c>
      <c r="AD109" s="17">
        <f t="shared" si="123"/>
        <v>0</v>
      </c>
      <c r="AE109" s="17">
        <f t="shared" si="123"/>
        <v>0</v>
      </c>
      <c r="AF109" s="17">
        <f t="shared" si="123"/>
        <v>0</v>
      </c>
      <c r="AG109" s="17">
        <f t="shared" si="123"/>
        <v>0</v>
      </c>
      <c r="AH109" s="14">
        <f t="shared" si="123"/>
        <v>0</v>
      </c>
      <c r="AI109" s="14">
        <f t="shared" si="123"/>
        <v>0</v>
      </c>
      <c r="AJ109" s="14">
        <f t="shared" si="123"/>
        <v>0</v>
      </c>
      <c r="AK109" s="14">
        <f t="shared" si="123"/>
        <v>0</v>
      </c>
      <c r="AL109" s="14">
        <f t="shared" si="123"/>
        <v>0</v>
      </c>
      <c r="AM109" s="14">
        <f t="shared" si="123"/>
        <v>0</v>
      </c>
      <c r="AN109" s="14">
        <f t="shared" si="123"/>
        <v>0</v>
      </c>
      <c r="AO109" s="14">
        <f t="shared" si="123"/>
        <v>0</v>
      </c>
      <c r="AP109" s="14">
        <f t="shared" si="123"/>
        <v>0</v>
      </c>
      <c r="AQ109" s="18">
        <f t="shared" si="123"/>
        <v>0</v>
      </c>
      <c r="AR109" s="179">
        <f t="shared" si="123"/>
        <v>0</v>
      </c>
      <c r="AS109" s="17">
        <f t="shared" si="123"/>
        <v>0</v>
      </c>
      <c r="AT109" s="17">
        <f t="shared" si="123"/>
        <v>0</v>
      </c>
      <c r="AU109" s="17">
        <f t="shared" si="123"/>
        <v>0</v>
      </c>
      <c r="AV109" s="17">
        <f t="shared" si="123"/>
        <v>0</v>
      </c>
      <c r="AW109" s="17">
        <f t="shared" si="123"/>
        <v>0</v>
      </c>
      <c r="AX109" s="14">
        <f t="shared" si="123"/>
        <v>0</v>
      </c>
      <c r="AY109" s="14">
        <f t="shared" si="123"/>
        <v>0</v>
      </c>
      <c r="AZ109" s="18">
        <f t="shared" si="123"/>
        <v>0</v>
      </c>
    </row>
    <row r="110" spans="1:52" x14ac:dyDescent="0.2">
      <c r="D110" s="10"/>
      <c r="E110" s="6"/>
      <c r="F110" s="10"/>
      <c r="G110" s="24"/>
      <c r="H110" s="2">
        <v>3141</v>
      </c>
      <c r="I110" s="178">
        <f t="shared" ref="I110:AZ110" si="124">SUMIF($F$12:$F$463,"=3141",I$12:I$463)</f>
        <v>16834766</v>
      </c>
      <c r="J110" s="17">
        <f t="shared" si="124"/>
        <v>12255035</v>
      </c>
      <c r="K110" s="17">
        <f t="shared" si="124"/>
        <v>68250</v>
      </c>
      <c r="L110" s="17">
        <f t="shared" si="124"/>
        <v>4165269</v>
      </c>
      <c r="M110" s="17">
        <f t="shared" si="124"/>
        <v>245102</v>
      </c>
      <c r="N110" s="17">
        <f t="shared" si="124"/>
        <v>101110</v>
      </c>
      <c r="O110" s="14">
        <f t="shared" si="124"/>
        <v>38.709999999999994</v>
      </c>
      <c r="P110" s="14">
        <f t="shared" si="124"/>
        <v>0</v>
      </c>
      <c r="Q110" s="180">
        <f t="shared" si="124"/>
        <v>38.709999999999994</v>
      </c>
      <c r="R110" s="178">
        <f t="shared" si="124"/>
        <v>0</v>
      </c>
      <c r="S110" s="17">
        <f t="shared" si="124"/>
        <v>0</v>
      </c>
      <c r="T110" s="17">
        <f t="shared" si="124"/>
        <v>0</v>
      </c>
      <c r="U110" s="17">
        <f t="shared" si="124"/>
        <v>0</v>
      </c>
      <c r="V110" s="17">
        <f t="shared" si="124"/>
        <v>0</v>
      </c>
      <c r="W110" s="17">
        <f t="shared" si="124"/>
        <v>0</v>
      </c>
      <c r="X110" s="17">
        <f t="shared" si="124"/>
        <v>0</v>
      </c>
      <c r="Y110" s="17">
        <f t="shared" si="124"/>
        <v>0</v>
      </c>
      <c r="Z110" s="17">
        <f t="shared" si="124"/>
        <v>0</v>
      </c>
      <c r="AA110" s="17">
        <f t="shared" si="124"/>
        <v>0</v>
      </c>
      <c r="AB110" s="17">
        <f t="shared" si="124"/>
        <v>0</v>
      </c>
      <c r="AC110" s="17">
        <f t="shared" si="124"/>
        <v>0</v>
      </c>
      <c r="AD110" s="17">
        <f t="shared" si="124"/>
        <v>0</v>
      </c>
      <c r="AE110" s="17">
        <f t="shared" si="124"/>
        <v>0</v>
      </c>
      <c r="AF110" s="17">
        <f t="shared" si="124"/>
        <v>0</v>
      </c>
      <c r="AG110" s="17">
        <f t="shared" si="124"/>
        <v>0</v>
      </c>
      <c r="AH110" s="14">
        <f t="shared" si="124"/>
        <v>0</v>
      </c>
      <c r="AI110" s="14">
        <f t="shared" si="124"/>
        <v>0</v>
      </c>
      <c r="AJ110" s="14">
        <f t="shared" si="124"/>
        <v>0</v>
      </c>
      <c r="AK110" s="14">
        <f t="shared" si="124"/>
        <v>0</v>
      </c>
      <c r="AL110" s="14">
        <f t="shared" si="124"/>
        <v>0</v>
      </c>
      <c r="AM110" s="14">
        <f t="shared" si="124"/>
        <v>0</v>
      </c>
      <c r="AN110" s="14">
        <f t="shared" si="124"/>
        <v>0</v>
      </c>
      <c r="AO110" s="14">
        <f t="shared" si="124"/>
        <v>0</v>
      </c>
      <c r="AP110" s="14">
        <f t="shared" si="124"/>
        <v>0</v>
      </c>
      <c r="AQ110" s="18">
        <f t="shared" si="124"/>
        <v>0</v>
      </c>
      <c r="AR110" s="179">
        <f t="shared" si="124"/>
        <v>16834766</v>
      </c>
      <c r="AS110" s="17">
        <f t="shared" si="124"/>
        <v>12255035</v>
      </c>
      <c r="AT110" s="17">
        <f t="shared" si="124"/>
        <v>68250</v>
      </c>
      <c r="AU110" s="17">
        <f t="shared" si="124"/>
        <v>4165269</v>
      </c>
      <c r="AV110" s="17">
        <f t="shared" si="124"/>
        <v>245102</v>
      </c>
      <c r="AW110" s="17">
        <f t="shared" si="124"/>
        <v>101110</v>
      </c>
      <c r="AX110" s="14">
        <f t="shared" si="124"/>
        <v>38.709999999999994</v>
      </c>
      <c r="AY110" s="14">
        <f t="shared" si="124"/>
        <v>0</v>
      </c>
      <c r="AZ110" s="18">
        <f t="shared" si="124"/>
        <v>38.709999999999994</v>
      </c>
    </row>
    <row r="111" spans="1:52" x14ac:dyDescent="0.2">
      <c r="D111" s="10"/>
      <c r="E111" s="6"/>
      <c r="F111" s="10"/>
      <c r="G111" s="24"/>
      <c r="H111" s="2">
        <v>3143</v>
      </c>
      <c r="I111" s="178">
        <f t="shared" ref="I111:AZ111" si="125">SUMIF($F$12:$F$463,"=3143",I$12:I$463)</f>
        <v>13097612</v>
      </c>
      <c r="J111" s="17">
        <f t="shared" si="125"/>
        <v>9593907</v>
      </c>
      <c r="K111" s="17">
        <f t="shared" si="125"/>
        <v>39000</v>
      </c>
      <c r="L111" s="17">
        <f t="shared" si="125"/>
        <v>3255926</v>
      </c>
      <c r="M111" s="17">
        <f t="shared" si="125"/>
        <v>191879</v>
      </c>
      <c r="N111" s="17">
        <f t="shared" si="125"/>
        <v>16900</v>
      </c>
      <c r="O111" s="14">
        <f t="shared" si="125"/>
        <v>19.883400000000002</v>
      </c>
      <c r="P111" s="14">
        <f t="shared" si="125"/>
        <v>18.663399999999996</v>
      </c>
      <c r="Q111" s="180">
        <f t="shared" si="125"/>
        <v>1.22</v>
      </c>
      <c r="R111" s="178">
        <f t="shared" si="125"/>
        <v>0</v>
      </c>
      <c r="S111" s="17">
        <f t="shared" si="125"/>
        <v>0</v>
      </c>
      <c r="T111" s="17">
        <f t="shared" si="125"/>
        <v>0</v>
      </c>
      <c r="U111" s="17">
        <f t="shared" si="125"/>
        <v>0</v>
      </c>
      <c r="V111" s="17">
        <f t="shared" si="125"/>
        <v>0</v>
      </c>
      <c r="W111" s="17">
        <f t="shared" si="125"/>
        <v>0</v>
      </c>
      <c r="X111" s="17">
        <f t="shared" si="125"/>
        <v>0</v>
      </c>
      <c r="Y111" s="17">
        <f t="shared" si="125"/>
        <v>0</v>
      </c>
      <c r="Z111" s="17">
        <f t="shared" si="125"/>
        <v>0</v>
      </c>
      <c r="AA111" s="17">
        <f t="shared" si="125"/>
        <v>0</v>
      </c>
      <c r="AB111" s="17">
        <f t="shared" si="125"/>
        <v>0</v>
      </c>
      <c r="AC111" s="17">
        <f t="shared" si="125"/>
        <v>0</v>
      </c>
      <c r="AD111" s="17">
        <f t="shared" si="125"/>
        <v>0</v>
      </c>
      <c r="AE111" s="17">
        <f t="shared" si="125"/>
        <v>0</v>
      </c>
      <c r="AF111" s="17">
        <f t="shared" si="125"/>
        <v>0</v>
      </c>
      <c r="AG111" s="17">
        <f t="shared" si="125"/>
        <v>0</v>
      </c>
      <c r="AH111" s="14">
        <f t="shared" si="125"/>
        <v>0</v>
      </c>
      <c r="AI111" s="14">
        <f t="shared" si="125"/>
        <v>0</v>
      </c>
      <c r="AJ111" s="14">
        <f t="shared" si="125"/>
        <v>0</v>
      </c>
      <c r="AK111" s="14">
        <f t="shared" si="125"/>
        <v>0</v>
      </c>
      <c r="AL111" s="14">
        <f t="shared" si="125"/>
        <v>0</v>
      </c>
      <c r="AM111" s="14">
        <f t="shared" si="125"/>
        <v>0</v>
      </c>
      <c r="AN111" s="14">
        <f t="shared" si="125"/>
        <v>0</v>
      </c>
      <c r="AO111" s="14">
        <f t="shared" si="125"/>
        <v>0</v>
      </c>
      <c r="AP111" s="14">
        <f t="shared" si="125"/>
        <v>0</v>
      </c>
      <c r="AQ111" s="18">
        <f t="shared" si="125"/>
        <v>0</v>
      </c>
      <c r="AR111" s="179">
        <f t="shared" si="125"/>
        <v>13097612</v>
      </c>
      <c r="AS111" s="17">
        <f t="shared" si="125"/>
        <v>9593907</v>
      </c>
      <c r="AT111" s="17">
        <f t="shared" si="125"/>
        <v>39000</v>
      </c>
      <c r="AU111" s="17">
        <f t="shared" si="125"/>
        <v>3255926</v>
      </c>
      <c r="AV111" s="17">
        <f t="shared" si="125"/>
        <v>191879</v>
      </c>
      <c r="AW111" s="17">
        <f t="shared" si="125"/>
        <v>16900</v>
      </c>
      <c r="AX111" s="14">
        <f t="shared" si="125"/>
        <v>19.883400000000002</v>
      </c>
      <c r="AY111" s="14">
        <f t="shared" si="125"/>
        <v>18.663399999999996</v>
      </c>
      <c r="AZ111" s="18">
        <f t="shared" si="125"/>
        <v>1.22</v>
      </c>
    </row>
    <row r="112" spans="1:52" x14ac:dyDescent="0.2">
      <c r="D112" s="10"/>
      <c r="E112" s="6"/>
      <c r="F112" s="10"/>
      <c r="G112" s="24"/>
      <c r="H112" s="2">
        <v>3231</v>
      </c>
      <c r="I112" s="178">
        <f t="shared" ref="I112:AZ112" si="126">SUMIF($F$12:$F$463,"=3231",I$12:I$463)</f>
        <v>14525757</v>
      </c>
      <c r="J112" s="17">
        <f t="shared" si="126"/>
        <v>10535042</v>
      </c>
      <c r="K112" s="17">
        <f t="shared" si="126"/>
        <v>130000</v>
      </c>
      <c r="L112" s="17">
        <f t="shared" si="126"/>
        <v>3604784</v>
      </c>
      <c r="M112" s="17">
        <f t="shared" si="126"/>
        <v>210701</v>
      </c>
      <c r="N112" s="17">
        <f t="shared" si="126"/>
        <v>45230</v>
      </c>
      <c r="O112" s="14">
        <f t="shared" si="126"/>
        <v>19.572199999999999</v>
      </c>
      <c r="P112" s="14">
        <f t="shared" si="126"/>
        <v>17.488199999999999</v>
      </c>
      <c r="Q112" s="180">
        <f t="shared" si="126"/>
        <v>2.0840000000000001</v>
      </c>
      <c r="R112" s="178">
        <f t="shared" si="126"/>
        <v>0</v>
      </c>
      <c r="S112" s="17">
        <f t="shared" si="126"/>
        <v>0</v>
      </c>
      <c r="T112" s="17">
        <f t="shared" si="126"/>
        <v>0</v>
      </c>
      <c r="U112" s="17">
        <f t="shared" si="126"/>
        <v>0</v>
      </c>
      <c r="V112" s="17">
        <f t="shared" si="126"/>
        <v>0</v>
      </c>
      <c r="W112" s="17">
        <f t="shared" si="126"/>
        <v>0</v>
      </c>
      <c r="X112" s="17">
        <f t="shared" si="126"/>
        <v>0</v>
      </c>
      <c r="Y112" s="17">
        <f t="shared" si="126"/>
        <v>0</v>
      </c>
      <c r="Z112" s="17">
        <f t="shared" si="126"/>
        <v>0</v>
      </c>
      <c r="AA112" s="17">
        <f t="shared" si="126"/>
        <v>0</v>
      </c>
      <c r="AB112" s="17">
        <f t="shared" si="126"/>
        <v>0</v>
      </c>
      <c r="AC112" s="17">
        <f t="shared" si="126"/>
        <v>0</v>
      </c>
      <c r="AD112" s="17">
        <f t="shared" si="126"/>
        <v>0</v>
      </c>
      <c r="AE112" s="17">
        <f t="shared" si="126"/>
        <v>0</v>
      </c>
      <c r="AF112" s="17">
        <f t="shared" si="126"/>
        <v>0</v>
      </c>
      <c r="AG112" s="17">
        <f t="shared" si="126"/>
        <v>0</v>
      </c>
      <c r="AH112" s="14">
        <f t="shared" si="126"/>
        <v>0</v>
      </c>
      <c r="AI112" s="14">
        <f t="shared" si="126"/>
        <v>0</v>
      </c>
      <c r="AJ112" s="14">
        <f t="shared" si="126"/>
        <v>0</v>
      </c>
      <c r="AK112" s="14">
        <f t="shared" si="126"/>
        <v>0</v>
      </c>
      <c r="AL112" s="14">
        <f t="shared" si="126"/>
        <v>0</v>
      </c>
      <c r="AM112" s="14">
        <f t="shared" si="126"/>
        <v>0</v>
      </c>
      <c r="AN112" s="14">
        <f t="shared" si="126"/>
        <v>0</v>
      </c>
      <c r="AO112" s="14">
        <f t="shared" si="126"/>
        <v>0</v>
      </c>
      <c r="AP112" s="14">
        <f t="shared" si="126"/>
        <v>0</v>
      </c>
      <c r="AQ112" s="18">
        <f t="shared" si="126"/>
        <v>0</v>
      </c>
      <c r="AR112" s="179">
        <f t="shared" si="126"/>
        <v>14525757</v>
      </c>
      <c r="AS112" s="17">
        <f t="shared" si="126"/>
        <v>10535042</v>
      </c>
      <c r="AT112" s="17">
        <f t="shared" si="126"/>
        <v>130000</v>
      </c>
      <c r="AU112" s="17">
        <f t="shared" si="126"/>
        <v>3604784</v>
      </c>
      <c r="AV112" s="17">
        <f t="shared" si="126"/>
        <v>210701</v>
      </c>
      <c r="AW112" s="17">
        <f t="shared" si="126"/>
        <v>45230</v>
      </c>
      <c r="AX112" s="14">
        <f t="shared" si="126"/>
        <v>19.572199999999999</v>
      </c>
      <c r="AY112" s="14">
        <f t="shared" si="126"/>
        <v>17.488199999999999</v>
      </c>
      <c r="AZ112" s="18">
        <f t="shared" si="126"/>
        <v>2.0840000000000001</v>
      </c>
    </row>
    <row r="113" spans="4:52" ht="13.5" thickBot="1" x14ac:dyDescent="0.25">
      <c r="D113" s="10"/>
      <c r="E113" s="6"/>
      <c r="F113" s="10"/>
      <c r="G113" s="24"/>
      <c r="H113" s="162">
        <v>3233</v>
      </c>
      <c r="I113" s="181">
        <f t="shared" ref="I113:AZ113" si="127">SUMIF($F$12:$F$463,"=3233",I$12:I$463)</f>
        <v>3457126</v>
      </c>
      <c r="J113" s="182">
        <f t="shared" si="127"/>
        <v>2479208</v>
      </c>
      <c r="K113" s="182">
        <f t="shared" si="127"/>
        <v>65000</v>
      </c>
      <c r="L113" s="182">
        <f t="shared" si="127"/>
        <v>859942</v>
      </c>
      <c r="M113" s="182">
        <f t="shared" si="127"/>
        <v>49584</v>
      </c>
      <c r="N113" s="182">
        <f t="shared" si="127"/>
        <v>3392</v>
      </c>
      <c r="O113" s="183">
        <f t="shared" si="127"/>
        <v>5.38</v>
      </c>
      <c r="P113" s="183">
        <f t="shared" si="127"/>
        <v>3.63</v>
      </c>
      <c r="Q113" s="186">
        <f t="shared" si="127"/>
        <v>1.75</v>
      </c>
      <c r="R113" s="181">
        <f t="shared" si="127"/>
        <v>0</v>
      </c>
      <c r="S113" s="182">
        <f t="shared" si="127"/>
        <v>0</v>
      </c>
      <c r="T113" s="182">
        <f t="shared" si="127"/>
        <v>0</v>
      </c>
      <c r="U113" s="182">
        <f t="shared" si="127"/>
        <v>0</v>
      </c>
      <c r="V113" s="182">
        <f t="shared" si="127"/>
        <v>0</v>
      </c>
      <c r="W113" s="182">
        <f t="shared" si="127"/>
        <v>0</v>
      </c>
      <c r="X113" s="182">
        <f t="shared" si="127"/>
        <v>0</v>
      </c>
      <c r="Y113" s="182">
        <f t="shared" si="127"/>
        <v>0</v>
      </c>
      <c r="Z113" s="182">
        <f t="shared" si="127"/>
        <v>0</v>
      </c>
      <c r="AA113" s="182">
        <f t="shared" si="127"/>
        <v>0</v>
      </c>
      <c r="AB113" s="182">
        <f t="shared" si="127"/>
        <v>0</v>
      </c>
      <c r="AC113" s="182">
        <f t="shared" si="127"/>
        <v>0</v>
      </c>
      <c r="AD113" s="182">
        <f t="shared" si="127"/>
        <v>0</v>
      </c>
      <c r="AE113" s="182">
        <f t="shared" si="127"/>
        <v>19928</v>
      </c>
      <c r="AF113" s="182">
        <f t="shared" si="127"/>
        <v>19928</v>
      </c>
      <c r="AG113" s="182">
        <f t="shared" si="127"/>
        <v>19928</v>
      </c>
      <c r="AH113" s="183">
        <f t="shared" si="127"/>
        <v>0</v>
      </c>
      <c r="AI113" s="183">
        <f t="shared" si="127"/>
        <v>0</v>
      </c>
      <c r="AJ113" s="183">
        <f t="shared" si="127"/>
        <v>0</v>
      </c>
      <c r="AK113" s="183">
        <f t="shared" si="127"/>
        <v>0</v>
      </c>
      <c r="AL113" s="183">
        <f t="shared" si="127"/>
        <v>0</v>
      </c>
      <c r="AM113" s="183">
        <f t="shared" si="127"/>
        <v>0</v>
      </c>
      <c r="AN113" s="183">
        <f t="shared" si="127"/>
        <v>0</v>
      </c>
      <c r="AO113" s="183">
        <f t="shared" si="127"/>
        <v>0</v>
      </c>
      <c r="AP113" s="183">
        <f t="shared" si="127"/>
        <v>0</v>
      </c>
      <c r="AQ113" s="184">
        <f t="shared" si="127"/>
        <v>0</v>
      </c>
      <c r="AR113" s="185">
        <f t="shared" si="127"/>
        <v>3477054</v>
      </c>
      <c r="AS113" s="182">
        <f t="shared" si="127"/>
        <v>2479208</v>
      </c>
      <c r="AT113" s="182">
        <f t="shared" si="127"/>
        <v>65000</v>
      </c>
      <c r="AU113" s="182">
        <f t="shared" si="127"/>
        <v>859942</v>
      </c>
      <c r="AV113" s="182">
        <f t="shared" si="127"/>
        <v>49584</v>
      </c>
      <c r="AW113" s="182">
        <f t="shared" si="127"/>
        <v>23320</v>
      </c>
      <c r="AX113" s="183">
        <f t="shared" si="127"/>
        <v>5.38</v>
      </c>
      <c r="AY113" s="183">
        <f t="shared" si="127"/>
        <v>3.63</v>
      </c>
      <c r="AZ113" s="184">
        <f t="shared" si="127"/>
        <v>1.75</v>
      </c>
    </row>
    <row r="114" spans="4:52" x14ac:dyDescent="0.2">
      <c r="D114" s="6"/>
      <c r="E114" s="6"/>
      <c r="F114" s="6"/>
      <c r="G114" s="24"/>
      <c r="H114" s="6"/>
    </row>
  </sheetData>
  <mergeCells count="25">
    <mergeCell ref="R6:AQ6"/>
    <mergeCell ref="AR6:AZ7"/>
    <mergeCell ref="AH7:AQ7"/>
    <mergeCell ref="AM8:AN9"/>
    <mergeCell ref="AO8:AQ9"/>
    <mergeCell ref="AR8:AR10"/>
    <mergeCell ref="AS8:AW9"/>
    <mergeCell ref="AX8:AX10"/>
    <mergeCell ref="AY8:AZ9"/>
    <mergeCell ref="A3:E3"/>
    <mergeCell ref="AC7:AC10"/>
    <mergeCell ref="AK8:AL9"/>
    <mergeCell ref="I6:Q7"/>
    <mergeCell ref="R7:V9"/>
    <mergeCell ref="W7:Z9"/>
    <mergeCell ref="AA7:AA10"/>
    <mergeCell ref="AB7:AB10"/>
    <mergeCell ref="AD7:AF9"/>
    <mergeCell ref="AG7:AG10"/>
    <mergeCell ref="I8:I10"/>
    <mergeCell ref="J8:N9"/>
    <mergeCell ref="O8:O10"/>
    <mergeCell ref="P8:Q9"/>
    <mergeCell ref="AH8:AI9"/>
    <mergeCell ref="AJ8:AJ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88"/>
  <sheetViews>
    <sheetView workbookViewId="0">
      <pane xSplit="8" ySplit="11" topLeftCell="I64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5703125" customWidth="1"/>
    <col min="6" max="6" width="4.42578125" customWidth="1"/>
    <col min="7" max="7" width="10.28515625" style="47" customWidth="1"/>
    <col min="8" max="8" width="8" customWidth="1"/>
    <col min="9" max="9" width="10.140625" style="9" customWidth="1"/>
    <col min="10" max="14" width="9.28515625" style="9" customWidth="1"/>
    <col min="15" max="15" width="11.42578125" style="8" customWidth="1"/>
    <col min="16" max="17" width="9.28515625" style="8" customWidth="1"/>
    <col min="18" max="19" width="9.140625" style="9" customWidth="1"/>
    <col min="20" max="21" width="9.7109375" style="9" customWidth="1"/>
    <col min="22" max="22" width="9.140625" style="9" customWidth="1"/>
    <col min="23" max="23" width="9.140625" style="9"/>
    <col min="24" max="26" width="9.140625" style="9" customWidth="1"/>
    <col min="27" max="27" width="10.140625" style="9" customWidth="1"/>
    <col min="28" max="33" width="9.28515625" style="9" customWidth="1"/>
    <col min="34" max="43" width="9.28515625" style="8" customWidth="1"/>
    <col min="44" max="44" width="9.42578125" style="9" customWidth="1"/>
    <col min="45" max="45" width="9.85546875" style="9" customWidth="1"/>
    <col min="46" max="49" width="9.140625" style="9"/>
    <col min="50" max="50" width="11.42578125" style="8" customWidth="1"/>
    <col min="51" max="52" width="9.28515625" style="8" customWidth="1"/>
    <col min="184" max="184" width="7" customWidth="1"/>
    <col min="185" max="185" width="33.140625" customWidth="1"/>
    <col min="186" max="186" width="6.42578125" customWidth="1"/>
    <col min="187" max="187" width="29" customWidth="1"/>
    <col min="188" max="188" width="11.42578125" customWidth="1"/>
    <col min="189" max="189" width="10.7109375" customWidth="1"/>
    <col min="190" max="190" width="10.85546875" customWidth="1"/>
    <col min="191" max="191" width="11.28515625" customWidth="1"/>
    <col min="193" max="193" width="9.7109375" customWidth="1"/>
    <col min="196" max="196" width="10.42578125" customWidth="1"/>
    <col min="440" max="440" width="7" customWidth="1"/>
    <col min="441" max="441" width="33.140625" customWidth="1"/>
    <col min="442" max="442" width="6.42578125" customWidth="1"/>
    <col min="443" max="443" width="29" customWidth="1"/>
    <col min="444" max="444" width="11.42578125" customWidth="1"/>
    <col min="445" max="445" width="10.7109375" customWidth="1"/>
    <col min="446" max="446" width="10.85546875" customWidth="1"/>
    <col min="447" max="447" width="11.28515625" customWidth="1"/>
    <col min="449" max="449" width="9.7109375" customWidth="1"/>
    <col min="452" max="452" width="10.42578125" customWidth="1"/>
    <col min="696" max="696" width="7" customWidth="1"/>
    <col min="697" max="697" width="33.140625" customWidth="1"/>
    <col min="698" max="698" width="6.42578125" customWidth="1"/>
    <col min="699" max="699" width="29" customWidth="1"/>
    <col min="700" max="700" width="11.42578125" customWidth="1"/>
    <col min="701" max="701" width="10.7109375" customWidth="1"/>
    <col min="702" max="702" width="10.85546875" customWidth="1"/>
    <col min="703" max="703" width="11.28515625" customWidth="1"/>
    <col min="705" max="705" width="9.7109375" customWidth="1"/>
    <col min="708" max="708" width="10.42578125" customWidth="1"/>
    <col min="952" max="952" width="7" customWidth="1"/>
    <col min="953" max="953" width="33.140625" customWidth="1"/>
    <col min="954" max="954" width="6.42578125" customWidth="1"/>
    <col min="955" max="955" width="29" customWidth="1"/>
    <col min="956" max="956" width="11.42578125" customWidth="1"/>
    <col min="957" max="957" width="10.7109375" customWidth="1"/>
    <col min="958" max="958" width="10.85546875" customWidth="1"/>
    <col min="959" max="959" width="11.28515625" customWidth="1"/>
    <col min="961" max="961" width="9.7109375" customWidth="1"/>
    <col min="964" max="964" width="10.42578125" customWidth="1"/>
    <col min="1208" max="1208" width="7" customWidth="1"/>
    <col min="1209" max="1209" width="33.140625" customWidth="1"/>
    <col min="1210" max="1210" width="6.42578125" customWidth="1"/>
    <col min="1211" max="1211" width="29" customWidth="1"/>
    <col min="1212" max="1212" width="11.42578125" customWidth="1"/>
    <col min="1213" max="1213" width="10.7109375" customWidth="1"/>
    <col min="1214" max="1214" width="10.85546875" customWidth="1"/>
    <col min="1215" max="1215" width="11.28515625" customWidth="1"/>
    <col min="1217" max="1217" width="9.7109375" customWidth="1"/>
    <col min="1220" max="1220" width="10.42578125" customWidth="1"/>
    <col min="1464" max="1464" width="7" customWidth="1"/>
    <col min="1465" max="1465" width="33.140625" customWidth="1"/>
    <col min="1466" max="1466" width="6.42578125" customWidth="1"/>
    <col min="1467" max="1467" width="29" customWidth="1"/>
    <col min="1468" max="1468" width="11.42578125" customWidth="1"/>
    <col min="1469" max="1469" width="10.7109375" customWidth="1"/>
    <col min="1470" max="1470" width="10.85546875" customWidth="1"/>
    <col min="1471" max="1471" width="11.28515625" customWidth="1"/>
    <col min="1473" max="1473" width="9.7109375" customWidth="1"/>
    <col min="1476" max="1476" width="10.42578125" customWidth="1"/>
    <col min="1720" max="1720" width="7" customWidth="1"/>
    <col min="1721" max="1721" width="33.140625" customWidth="1"/>
    <col min="1722" max="1722" width="6.42578125" customWidth="1"/>
    <col min="1723" max="1723" width="29" customWidth="1"/>
    <col min="1724" max="1724" width="11.42578125" customWidth="1"/>
    <col min="1725" max="1725" width="10.7109375" customWidth="1"/>
    <col min="1726" max="1726" width="10.85546875" customWidth="1"/>
    <col min="1727" max="1727" width="11.28515625" customWidth="1"/>
    <col min="1729" max="1729" width="9.7109375" customWidth="1"/>
    <col min="1732" max="1732" width="10.42578125" customWidth="1"/>
    <col min="1976" max="1976" width="7" customWidth="1"/>
    <col min="1977" max="1977" width="33.140625" customWidth="1"/>
    <col min="1978" max="1978" width="6.42578125" customWidth="1"/>
    <col min="1979" max="1979" width="29" customWidth="1"/>
    <col min="1980" max="1980" width="11.42578125" customWidth="1"/>
    <col min="1981" max="1981" width="10.7109375" customWidth="1"/>
    <col min="1982" max="1982" width="10.85546875" customWidth="1"/>
    <col min="1983" max="1983" width="11.28515625" customWidth="1"/>
    <col min="1985" max="1985" width="9.7109375" customWidth="1"/>
    <col min="1988" max="1988" width="10.42578125" customWidth="1"/>
    <col min="2232" max="2232" width="7" customWidth="1"/>
    <col min="2233" max="2233" width="33.140625" customWidth="1"/>
    <col min="2234" max="2234" width="6.42578125" customWidth="1"/>
    <col min="2235" max="2235" width="29" customWidth="1"/>
    <col min="2236" max="2236" width="11.42578125" customWidth="1"/>
    <col min="2237" max="2237" width="10.7109375" customWidth="1"/>
    <col min="2238" max="2238" width="10.85546875" customWidth="1"/>
    <col min="2239" max="2239" width="11.28515625" customWidth="1"/>
    <col min="2241" max="2241" width="9.7109375" customWidth="1"/>
    <col min="2244" max="2244" width="10.42578125" customWidth="1"/>
    <col min="2488" max="2488" width="7" customWidth="1"/>
    <col min="2489" max="2489" width="33.140625" customWidth="1"/>
    <col min="2490" max="2490" width="6.42578125" customWidth="1"/>
    <col min="2491" max="2491" width="29" customWidth="1"/>
    <col min="2492" max="2492" width="11.42578125" customWidth="1"/>
    <col min="2493" max="2493" width="10.7109375" customWidth="1"/>
    <col min="2494" max="2494" width="10.85546875" customWidth="1"/>
    <col min="2495" max="2495" width="11.28515625" customWidth="1"/>
    <col min="2497" max="2497" width="9.7109375" customWidth="1"/>
    <col min="2500" max="2500" width="10.42578125" customWidth="1"/>
    <col min="2744" max="2744" width="7" customWidth="1"/>
    <col min="2745" max="2745" width="33.140625" customWidth="1"/>
    <col min="2746" max="2746" width="6.42578125" customWidth="1"/>
    <col min="2747" max="2747" width="29" customWidth="1"/>
    <col min="2748" max="2748" width="11.42578125" customWidth="1"/>
    <col min="2749" max="2749" width="10.7109375" customWidth="1"/>
    <col min="2750" max="2750" width="10.85546875" customWidth="1"/>
    <col min="2751" max="2751" width="11.28515625" customWidth="1"/>
    <col min="2753" max="2753" width="9.7109375" customWidth="1"/>
    <col min="2756" max="2756" width="10.42578125" customWidth="1"/>
    <col min="3000" max="3000" width="7" customWidth="1"/>
    <col min="3001" max="3001" width="33.140625" customWidth="1"/>
    <col min="3002" max="3002" width="6.42578125" customWidth="1"/>
    <col min="3003" max="3003" width="29" customWidth="1"/>
    <col min="3004" max="3004" width="11.42578125" customWidth="1"/>
    <col min="3005" max="3005" width="10.7109375" customWidth="1"/>
    <col min="3006" max="3006" width="10.85546875" customWidth="1"/>
    <col min="3007" max="3007" width="11.28515625" customWidth="1"/>
    <col min="3009" max="3009" width="9.7109375" customWidth="1"/>
    <col min="3012" max="3012" width="10.42578125" customWidth="1"/>
    <col min="3256" max="3256" width="7" customWidth="1"/>
    <col min="3257" max="3257" width="33.140625" customWidth="1"/>
    <col min="3258" max="3258" width="6.42578125" customWidth="1"/>
    <col min="3259" max="3259" width="29" customWidth="1"/>
    <col min="3260" max="3260" width="11.42578125" customWidth="1"/>
    <col min="3261" max="3261" width="10.7109375" customWidth="1"/>
    <col min="3262" max="3262" width="10.85546875" customWidth="1"/>
    <col min="3263" max="3263" width="11.28515625" customWidth="1"/>
    <col min="3265" max="3265" width="9.7109375" customWidth="1"/>
    <col min="3268" max="3268" width="10.42578125" customWidth="1"/>
    <col min="3512" max="3512" width="7" customWidth="1"/>
    <col min="3513" max="3513" width="33.140625" customWidth="1"/>
    <col min="3514" max="3514" width="6.42578125" customWidth="1"/>
    <col min="3515" max="3515" width="29" customWidth="1"/>
    <col min="3516" max="3516" width="11.42578125" customWidth="1"/>
    <col min="3517" max="3517" width="10.7109375" customWidth="1"/>
    <col min="3518" max="3518" width="10.85546875" customWidth="1"/>
    <col min="3519" max="3519" width="11.28515625" customWidth="1"/>
    <col min="3521" max="3521" width="9.7109375" customWidth="1"/>
    <col min="3524" max="3524" width="10.42578125" customWidth="1"/>
    <col min="3768" max="3768" width="7" customWidth="1"/>
    <col min="3769" max="3769" width="33.140625" customWidth="1"/>
    <col min="3770" max="3770" width="6.42578125" customWidth="1"/>
    <col min="3771" max="3771" width="29" customWidth="1"/>
    <col min="3772" max="3772" width="11.42578125" customWidth="1"/>
    <col min="3773" max="3773" width="10.7109375" customWidth="1"/>
    <col min="3774" max="3774" width="10.85546875" customWidth="1"/>
    <col min="3775" max="3775" width="11.28515625" customWidth="1"/>
    <col min="3777" max="3777" width="9.7109375" customWidth="1"/>
    <col min="3780" max="3780" width="10.42578125" customWidth="1"/>
    <col min="4024" max="4024" width="7" customWidth="1"/>
    <col min="4025" max="4025" width="33.140625" customWidth="1"/>
    <col min="4026" max="4026" width="6.42578125" customWidth="1"/>
    <col min="4027" max="4027" width="29" customWidth="1"/>
    <col min="4028" max="4028" width="11.42578125" customWidth="1"/>
    <col min="4029" max="4029" width="10.7109375" customWidth="1"/>
    <col min="4030" max="4030" width="10.85546875" customWidth="1"/>
    <col min="4031" max="4031" width="11.28515625" customWidth="1"/>
    <col min="4033" max="4033" width="9.7109375" customWidth="1"/>
    <col min="4036" max="4036" width="10.42578125" customWidth="1"/>
    <col min="4280" max="4280" width="7" customWidth="1"/>
    <col min="4281" max="4281" width="33.140625" customWidth="1"/>
    <col min="4282" max="4282" width="6.42578125" customWidth="1"/>
    <col min="4283" max="4283" width="29" customWidth="1"/>
    <col min="4284" max="4284" width="11.42578125" customWidth="1"/>
    <col min="4285" max="4285" width="10.7109375" customWidth="1"/>
    <col min="4286" max="4286" width="10.85546875" customWidth="1"/>
    <col min="4287" max="4287" width="11.28515625" customWidth="1"/>
    <col min="4289" max="4289" width="9.7109375" customWidth="1"/>
    <col min="4292" max="4292" width="10.42578125" customWidth="1"/>
    <col min="4536" max="4536" width="7" customWidth="1"/>
    <col min="4537" max="4537" width="33.140625" customWidth="1"/>
    <col min="4538" max="4538" width="6.42578125" customWidth="1"/>
    <col min="4539" max="4539" width="29" customWidth="1"/>
    <col min="4540" max="4540" width="11.42578125" customWidth="1"/>
    <col min="4541" max="4541" width="10.7109375" customWidth="1"/>
    <col min="4542" max="4542" width="10.85546875" customWidth="1"/>
    <col min="4543" max="4543" width="11.28515625" customWidth="1"/>
    <col min="4545" max="4545" width="9.7109375" customWidth="1"/>
    <col min="4548" max="4548" width="10.42578125" customWidth="1"/>
    <col min="4792" max="4792" width="7" customWidth="1"/>
    <col min="4793" max="4793" width="33.140625" customWidth="1"/>
    <col min="4794" max="4794" width="6.42578125" customWidth="1"/>
    <col min="4795" max="4795" width="29" customWidth="1"/>
    <col min="4796" max="4796" width="11.42578125" customWidth="1"/>
    <col min="4797" max="4797" width="10.7109375" customWidth="1"/>
    <col min="4798" max="4798" width="10.85546875" customWidth="1"/>
    <col min="4799" max="4799" width="11.28515625" customWidth="1"/>
    <col min="4801" max="4801" width="9.7109375" customWidth="1"/>
    <col min="4804" max="4804" width="10.42578125" customWidth="1"/>
    <col min="5048" max="5048" width="7" customWidth="1"/>
    <col min="5049" max="5049" width="33.140625" customWidth="1"/>
    <col min="5050" max="5050" width="6.42578125" customWidth="1"/>
    <col min="5051" max="5051" width="29" customWidth="1"/>
    <col min="5052" max="5052" width="11.42578125" customWidth="1"/>
    <col min="5053" max="5053" width="10.7109375" customWidth="1"/>
    <col min="5054" max="5054" width="10.85546875" customWidth="1"/>
    <col min="5055" max="5055" width="11.28515625" customWidth="1"/>
    <col min="5057" max="5057" width="9.7109375" customWidth="1"/>
    <col min="5060" max="5060" width="10.42578125" customWidth="1"/>
    <col min="5304" max="5304" width="7" customWidth="1"/>
    <col min="5305" max="5305" width="33.140625" customWidth="1"/>
    <col min="5306" max="5306" width="6.42578125" customWidth="1"/>
    <col min="5307" max="5307" width="29" customWidth="1"/>
    <col min="5308" max="5308" width="11.42578125" customWidth="1"/>
    <col min="5309" max="5309" width="10.7109375" customWidth="1"/>
    <col min="5310" max="5310" width="10.85546875" customWidth="1"/>
    <col min="5311" max="5311" width="11.28515625" customWidth="1"/>
    <col min="5313" max="5313" width="9.7109375" customWidth="1"/>
    <col min="5316" max="5316" width="10.42578125" customWidth="1"/>
    <col min="5560" max="5560" width="7" customWidth="1"/>
    <col min="5561" max="5561" width="33.140625" customWidth="1"/>
    <col min="5562" max="5562" width="6.42578125" customWidth="1"/>
    <col min="5563" max="5563" width="29" customWidth="1"/>
    <col min="5564" max="5564" width="11.42578125" customWidth="1"/>
    <col min="5565" max="5565" width="10.7109375" customWidth="1"/>
    <col min="5566" max="5566" width="10.85546875" customWidth="1"/>
    <col min="5567" max="5567" width="11.28515625" customWidth="1"/>
    <col min="5569" max="5569" width="9.7109375" customWidth="1"/>
    <col min="5572" max="5572" width="10.42578125" customWidth="1"/>
    <col min="5816" max="5816" width="7" customWidth="1"/>
    <col min="5817" max="5817" width="33.140625" customWidth="1"/>
    <col min="5818" max="5818" width="6.42578125" customWidth="1"/>
    <col min="5819" max="5819" width="29" customWidth="1"/>
    <col min="5820" max="5820" width="11.42578125" customWidth="1"/>
    <col min="5821" max="5821" width="10.7109375" customWidth="1"/>
    <col min="5822" max="5822" width="10.85546875" customWidth="1"/>
    <col min="5823" max="5823" width="11.28515625" customWidth="1"/>
    <col min="5825" max="5825" width="9.7109375" customWidth="1"/>
    <col min="5828" max="5828" width="10.42578125" customWidth="1"/>
    <col min="6072" max="6072" width="7" customWidth="1"/>
    <col min="6073" max="6073" width="33.140625" customWidth="1"/>
    <col min="6074" max="6074" width="6.42578125" customWidth="1"/>
    <col min="6075" max="6075" width="29" customWidth="1"/>
    <col min="6076" max="6076" width="11.42578125" customWidth="1"/>
    <col min="6077" max="6077" width="10.7109375" customWidth="1"/>
    <col min="6078" max="6078" width="10.85546875" customWidth="1"/>
    <col min="6079" max="6079" width="11.28515625" customWidth="1"/>
    <col min="6081" max="6081" width="9.7109375" customWidth="1"/>
    <col min="6084" max="6084" width="10.42578125" customWidth="1"/>
    <col min="6328" max="6328" width="7" customWidth="1"/>
    <col min="6329" max="6329" width="33.140625" customWidth="1"/>
    <col min="6330" max="6330" width="6.42578125" customWidth="1"/>
    <col min="6331" max="6331" width="29" customWidth="1"/>
    <col min="6332" max="6332" width="11.42578125" customWidth="1"/>
    <col min="6333" max="6333" width="10.7109375" customWidth="1"/>
    <col min="6334" max="6334" width="10.85546875" customWidth="1"/>
    <col min="6335" max="6335" width="11.28515625" customWidth="1"/>
    <col min="6337" max="6337" width="9.7109375" customWidth="1"/>
    <col min="6340" max="6340" width="10.42578125" customWidth="1"/>
    <col min="6584" max="6584" width="7" customWidth="1"/>
    <col min="6585" max="6585" width="33.140625" customWidth="1"/>
    <col min="6586" max="6586" width="6.42578125" customWidth="1"/>
    <col min="6587" max="6587" width="29" customWidth="1"/>
    <col min="6588" max="6588" width="11.42578125" customWidth="1"/>
    <col min="6589" max="6589" width="10.7109375" customWidth="1"/>
    <col min="6590" max="6590" width="10.85546875" customWidth="1"/>
    <col min="6591" max="6591" width="11.28515625" customWidth="1"/>
    <col min="6593" max="6593" width="9.7109375" customWidth="1"/>
    <col min="6596" max="6596" width="10.42578125" customWidth="1"/>
    <col min="6840" max="6840" width="7" customWidth="1"/>
    <col min="6841" max="6841" width="33.140625" customWidth="1"/>
    <col min="6842" max="6842" width="6.42578125" customWidth="1"/>
    <col min="6843" max="6843" width="29" customWidth="1"/>
    <col min="6844" max="6844" width="11.42578125" customWidth="1"/>
    <col min="6845" max="6845" width="10.7109375" customWidth="1"/>
    <col min="6846" max="6846" width="10.85546875" customWidth="1"/>
    <col min="6847" max="6847" width="11.28515625" customWidth="1"/>
    <col min="6849" max="6849" width="9.7109375" customWidth="1"/>
    <col min="6852" max="6852" width="10.42578125" customWidth="1"/>
    <col min="7096" max="7096" width="7" customWidth="1"/>
    <col min="7097" max="7097" width="33.140625" customWidth="1"/>
    <col min="7098" max="7098" width="6.42578125" customWidth="1"/>
    <col min="7099" max="7099" width="29" customWidth="1"/>
    <col min="7100" max="7100" width="11.42578125" customWidth="1"/>
    <col min="7101" max="7101" width="10.7109375" customWidth="1"/>
    <col min="7102" max="7102" width="10.85546875" customWidth="1"/>
    <col min="7103" max="7103" width="11.28515625" customWidth="1"/>
    <col min="7105" max="7105" width="9.7109375" customWidth="1"/>
    <col min="7108" max="7108" width="10.42578125" customWidth="1"/>
    <col min="7352" max="7352" width="7" customWidth="1"/>
    <col min="7353" max="7353" width="33.140625" customWidth="1"/>
    <col min="7354" max="7354" width="6.42578125" customWidth="1"/>
    <col min="7355" max="7355" width="29" customWidth="1"/>
    <col min="7356" max="7356" width="11.42578125" customWidth="1"/>
    <col min="7357" max="7357" width="10.7109375" customWidth="1"/>
    <col min="7358" max="7358" width="10.85546875" customWidth="1"/>
    <col min="7359" max="7359" width="11.28515625" customWidth="1"/>
    <col min="7361" max="7361" width="9.7109375" customWidth="1"/>
    <col min="7364" max="7364" width="10.42578125" customWidth="1"/>
    <col min="7608" max="7608" width="7" customWidth="1"/>
    <col min="7609" max="7609" width="33.140625" customWidth="1"/>
    <col min="7610" max="7610" width="6.42578125" customWidth="1"/>
    <col min="7611" max="7611" width="29" customWidth="1"/>
    <col min="7612" max="7612" width="11.42578125" customWidth="1"/>
    <col min="7613" max="7613" width="10.7109375" customWidth="1"/>
    <col min="7614" max="7614" width="10.85546875" customWidth="1"/>
    <col min="7615" max="7615" width="11.28515625" customWidth="1"/>
    <col min="7617" max="7617" width="9.7109375" customWidth="1"/>
    <col min="7620" max="7620" width="10.42578125" customWidth="1"/>
    <col min="7864" max="7864" width="7" customWidth="1"/>
    <col min="7865" max="7865" width="33.140625" customWidth="1"/>
    <col min="7866" max="7866" width="6.42578125" customWidth="1"/>
    <col min="7867" max="7867" width="29" customWidth="1"/>
    <col min="7868" max="7868" width="11.42578125" customWidth="1"/>
    <col min="7869" max="7869" width="10.7109375" customWidth="1"/>
    <col min="7870" max="7870" width="10.85546875" customWidth="1"/>
    <col min="7871" max="7871" width="11.28515625" customWidth="1"/>
    <col min="7873" max="7873" width="9.7109375" customWidth="1"/>
    <col min="7876" max="7876" width="10.42578125" customWidth="1"/>
    <col min="8120" max="8120" width="7" customWidth="1"/>
    <col min="8121" max="8121" width="33.140625" customWidth="1"/>
    <col min="8122" max="8122" width="6.42578125" customWidth="1"/>
    <col min="8123" max="8123" width="29" customWidth="1"/>
    <col min="8124" max="8124" width="11.42578125" customWidth="1"/>
    <col min="8125" max="8125" width="10.7109375" customWidth="1"/>
    <col min="8126" max="8126" width="10.85546875" customWidth="1"/>
    <col min="8127" max="8127" width="11.28515625" customWidth="1"/>
    <col min="8129" max="8129" width="9.7109375" customWidth="1"/>
    <col min="8132" max="8132" width="10.42578125" customWidth="1"/>
    <col min="8376" max="8376" width="7" customWidth="1"/>
    <col min="8377" max="8377" width="33.140625" customWidth="1"/>
    <col min="8378" max="8378" width="6.42578125" customWidth="1"/>
    <col min="8379" max="8379" width="29" customWidth="1"/>
    <col min="8380" max="8380" width="11.42578125" customWidth="1"/>
    <col min="8381" max="8381" width="10.7109375" customWidth="1"/>
    <col min="8382" max="8382" width="10.85546875" customWidth="1"/>
    <col min="8383" max="8383" width="11.28515625" customWidth="1"/>
    <col min="8385" max="8385" width="9.7109375" customWidth="1"/>
    <col min="8388" max="8388" width="10.42578125" customWidth="1"/>
    <col min="8632" max="8632" width="7" customWidth="1"/>
    <col min="8633" max="8633" width="33.140625" customWidth="1"/>
    <col min="8634" max="8634" width="6.42578125" customWidth="1"/>
    <col min="8635" max="8635" width="29" customWidth="1"/>
    <col min="8636" max="8636" width="11.42578125" customWidth="1"/>
    <col min="8637" max="8637" width="10.7109375" customWidth="1"/>
    <col min="8638" max="8638" width="10.85546875" customWidth="1"/>
    <col min="8639" max="8639" width="11.28515625" customWidth="1"/>
    <col min="8641" max="8641" width="9.7109375" customWidth="1"/>
    <col min="8644" max="8644" width="10.42578125" customWidth="1"/>
    <col min="8888" max="8888" width="7" customWidth="1"/>
    <col min="8889" max="8889" width="33.140625" customWidth="1"/>
    <col min="8890" max="8890" width="6.42578125" customWidth="1"/>
    <col min="8891" max="8891" width="29" customWidth="1"/>
    <col min="8892" max="8892" width="11.42578125" customWidth="1"/>
    <col min="8893" max="8893" width="10.7109375" customWidth="1"/>
    <col min="8894" max="8894" width="10.85546875" customWidth="1"/>
    <col min="8895" max="8895" width="11.28515625" customWidth="1"/>
    <col min="8897" max="8897" width="9.7109375" customWidth="1"/>
    <col min="8900" max="8900" width="10.42578125" customWidth="1"/>
    <col min="9144" max="9144" width="7" customWidth="1"/>
    <col min="9145" max="9145" width="33.140625" customWidth="1"/>
    <col min="9146" max="9146" width="6.42578125" customWidth="1"/>
    <col min="9147" max="9147" width="29" customWidth="1"/>
    <col min="9148" max="9148" width="11.42578125" customWidth="1"/>
    <col min="9149" max="9149" width="10.7109375" customWidth="1"/>
    <col min="9150" max="9150" width="10.85546875" customWidth="1"/>
    <col min="9151" max="9151" width="11.28515625" customWidth="1"/>
    <col min="9153" max="9153" width="9.7109375" customWidth="1"/>
    <col min="9156" max="9156" width="10.42578125" customWidth="1"/>
    <col min="9400" max="9400" width="7" customWidth="1"/>
    <col min="9401" max="9401" width="33.140625" customWidth="1"/>
    <col min="9402" max="9402" width="6.42578125" customWidth="1"/>
    <col min="9403" max="9403" width="29" customWidth="1"/>
    <col min="9404" max="9404" width="11.42578125" customWidth="1"/>
    <col min="9405" max="9405" width="10.7109375" customWidth="1"/>
    <col min="9406" max="9406" width="10.85546875" customWidth="1"/>
    <col min="9407" max="9407" width="11.28515625" customWidth="1"/>
    <col min="9409" max="9409" width="9.7109375" customWidth="1"/>
    <col min="9412" max="9412" width="10.42578125" customWidth="1"/>
    <col min="9656" max="9656" width="7" customWidth="1"/>
    <col min="9657" max="9657" width="33.140625" customWidth="1"/>
    <col min="9658" max="9658" width="6.42578125" customWidth="1"/>
    <col min="9659" max="9659" width="29" customWidth="1"/>
    <col min="9660" max="9660" width="11.42578125" customWidth="1"/>
    <col min="9661" max="9661" width="10.7109375" customWidth="1"/>
    <col min="9662" max="9662" width="10.85546875" customWidth="1"/>
    <col min="9663" max="9663" width="11.28515625" customWidth="1"/>
    <col min="9665" max="9665" width="9.7109375" customWidth="1"/>
    <col min="9668" max="9668" width="10.42578125" customWidth="1"/>
    <col min="9912" max="9912" width="7" customWidth="1"/>
    <col min="9913" max="9913" width="33.140625" customWidth="1"/>
    <col min="9914" max="9914" width="6.42578125" customWidth="1"/>
    <col min="9915" max="9915" width="29" customWidth="1"/>
    <col min="9916" max="9916" width="11.42578125" customWidth="1"/>
    <col min="9917" max="9917" width="10.7109375" customWidth="1"/>
    <col min="9918" max="9918" width="10.85546875" customWidth="1"/>
    <col min="9919" max="9919" width="11.28515625" customWidth="1"/>
    <col min="9921" max="9921" width="9.7109375" customWidth="1"/>
    <col min="9924" max="9924" width="10.42578125" customWidth="1"/>
    <col min="10168" max="10168" width="7" customWidth="1"/>
    <col min="10169" max="10169" width="33.140625" customWidth="1"/>
    <col min="10170" max="10170" width="6.42578125" customWidth="1"/>
    <col min="10171" max="10171" width="29" customWidth="1"/>
    <col min="10172" max="10172" width="11.42578125" customWidth="1"/>
    <col min="10173" max="10173" width="10.7109375" customWidth="1"/>
    <col min="10174" max="10174" width="10.85546875" customWidth="1"/>
    <col min="10175" max="10175" width="11.28515625" customWidth="1"/>
    <col min="10177" max="10177" width="9.7109375" customWidth="1"/>
    <col min="10180" max="10180" width="10.42578125" customWidth="1"/>
    <col min="10424" max="10424" width="7" customWidth="1"/>
    <col min="10425" max="10425" width="33.140625" customWidth="1"/>
    <col min="10426" max="10426" width="6.42578125" customWidth="1"/>
    <col min="10427" max="10427" width="29" customWidth="1"/>
    <col min="10428" max="10428" width="11.42578125" customWidth="1"/>
    <col min="10429" max="10429" width="10.7109375" customWidth="1"/>
    <col min="10430" max="10430" width="10.85546875" customWidth="1"/>
    <col min="10431" max="10431" width="11.28515625" customWidth="1"/>
    <col min="10433" max="10433" width="9.7109375" customWidth="1"/>
    <col min="10436" max="10436" width="10.42578125" customWidth="1"/>
    <col min="10680" max="10680" width="7" customWidth="1"/>
    <col min="10681" max="10681" width="33.140625" customWidth="1"/>
    <col min="10682" max="10682" width="6.42578125" customWidth="1"/>
    <col min="10683" max="10683" width="29" customWidth="1"/>
    <col min="10684" max="10684" width="11.42578125" customWidth="1"/>
    <col min="10685" max="10685" width="10.7109375" customWidth="1"/>
    <col min="10686" max="10686" width="10.85546875" customWidth="1"/>
    <col min="10687" max="10687" width="11.28515625" customWidth="1"/>
    <col min="10689" max="10689" width="9.7109375" customWidth="1"/>
    <col min="10692" max="10692" width="10.42578125" customWidth="1"/>
    <col min="10936" max="10936" width="7" customWidth="1"/>
    <col min="10937" max="10937" width="33.140625" customWidth="1"/>
    <col min="10938" max="10938" width="6.42578125" customWidth="1"/>
    <col min="10939" max="10939" width="29" customWidth="1"/>
    <col min="10940" max="10940" width="11.42578125" customWidth="1"/>
    <col min="10941" max="10941" width="10.7109375" customWidth="1"/>
    <col min="10942" max="10942" width="10.85546875" customWidth="1"/>
    <col min="10943" max="10943" width="11.28515625" customWidth="1"/>
    <col min="10945" max="10945" width="9.7109375" customWidth="1"/>
    <col min="10948" max="10948" width="10.42578125" customWidth="1"/>
    <col min="11192" max="11192" width="7" customWidth="1"/>
    <col min="11193" max="11193" width="33.140625" customWidth="1"/>
    <col min="11194" max="11194" width="6.42578125" customWidth="1"/>
    <col min="11195" max="11195" width="29" customWidth="1"/>
    <col min="11196" max="11196" width="11.42578125" customWidth="1"/>
    <col min="11197" max="11197" width="10.7109375" customWidth="1"/>
    <col min="11198" max="11198" width="10.85546875" customWidth="1"/>
    <col min="11199" max="11199" width="11.28515625" customWidth="1"/>
    <col min="11201" max="11201" width="9.7109375" customWidth="1"/>
    <col min="11204" max="11204" width="10.42578125" customWidth="1"/>
    <col min="11448" max="11448" width="7" customWidth="1"/>
    <col min="11449" max="11449" width="33.140625" customWidth="1"/>
    <col min="11450" max="11450" width="6.42578125" customWidth="1"/>
    <col min="11451" max="11451" width="29" customWidth="1"/>
    <col min="11452" max="11452" width="11.42578125" customWidth="1"/>
    <col min="11453" max="11453" width="10.7109375" customWidth="1"/>
    <col min="11454" max="11454" width="10.85546875" customWidth="1"/>
    <col min="11455" max="11455" width="11.28515625" customWidth="1"/>
    <col min="11457" max="11457" width="9.7109375" customWidth="1"/>
    <col min="11460" max="11460" width="10.42578125" customWidth="1"/>
    <col min="11704" max="11704" width="7" customWidth="1"/>
    <col min="11705" max="11705" width="33.140625" customWidth="1"/>
    <col min="11706" max="11706" width="6.42578125" customWidth="1"/>
    <col min="11707" max="11707" width="29" customWidth="1"/>
    <col min="11708" max="11708" width="11.42578125" customWidth="1"/>
    <col min="11709" max="11709" width="10.7109375" customWidth="1"/>
    <col min="11710" max="11710" width="10.85546875" customWidth="1"/>
    <col min="11711" max="11711" width="11.28515625" customWidth="1"/>
    <col min="11713" max="11713" width="9.7109375" customWidth="1"/>
    <col min="11716" max="11716" width="10.42578125" customWidth="1"/>
    <col min="11960" max="11960" width="7" customWidth="1"/>
    <col min="11961" max="11961" width="33.140625" customWidth="1"/>
    <col min="11962" max="11962" width="6.42578125" customWidth="1"/>
    <col min="11963" max="11963" width="29" customWidth="1"/>
    <col min="11964" max="11964" width="11.42578125" customWidth="1"/>
    <col min="11965" max="11965" width="10.7109375" customWidth="1"/>
    <col min="11966" max="11966" width="10.85546875" customWidth="1"/>
    <col min="11967" max="11967" width="11.28515625" customWidth="1"/>
    <col min="11969" max="11969" width="9.7109375" customWidth="1"/>
    <col min="11972" max="11972" width="10.42578125" customWidth="1"/>
    <col min="12216" max="12216" width="7" customWidth="1"/>
    <col min="12217" max="12217" width="33.140625" customWidth="1"/>
    <col min="12218" max="12218" width="6.42578125" customWidth="1"/>
    <col min="12219" max="12219" width="29" customWidth="1"/>
    <col min="12220" max="12220" width="11.42578125" customWidth="1"/>
    <col min="12221" max="12221" width="10.7109375" customWidth="1"/>
    <col min="12222" max="12222" width="10.85546875" customWidth="1"/>
    <col min="12223" max="12223" width="11.28515625" customWidth="1"/>
    <col min="12225" max="12225" width="9.7109375" customWidth="1"/>
    <col min="12228" max="12228" width="10.42578125" customWidth="1"/>
    <col min="12472" max="12472" width="7" customWidth="1"/>
    <col min="12473" max="12473" width="33.140625" customWidth="1"/>
    <col min="12474" max="12474" width="6.42578125" customWidth="1"/>
    <col min="12475" max="12475" width="29" customWidth="1"/>
    <col min="12476" max="12476" width="11.42578125" customWidth="1"/>
    <col min="12477" max="12477" width="10.7109375" customWidth="1"/>
    <col min="12478" max="12478" width="10.85546875" customWidth="1"/>
    <col min="12479" max="12479" width="11.28515625" customWidth="1"/>
    <col min="12481" max="12481" width="9.7109375" customWidth="1"/>
    <col min="12484" max="12484" width="10.42578125" customWidth="1"/>
    <col min="12728" max="12728" width="7" customWidth="1"/>
    <col min="12729" max="12729" width="33.140625" customWidth="1"/>
    <col min="12730" max="12730" width="6.42578125" customWidth="1"/>
    <col min="12731" max="12731" width="29" customWidth="1"/>
    <col min="12732" max="12732" width="11.42578125" customWidth="1"/>
    <col min="12733" max="12733" width="10.7109375" customWidth="1"/>
    <col min="12734" max="12734" width="10.85546875" customWidth="1"/>
    <col min="12735" max="12735" width="11.28515625" customWidth="1"/>
    <col min="12737" max="12737" width="9.7109375" customWidth="1"/>
    <col min="12740" max="12740" width="10.42578125" customWidth="1"/>
    <col min="12984" max="12984" width="7" customWidth="1"/>
    <col min="12985" max="12985" width="33.140625" customWidth="1"/>
    <col min="12986" max="12986" width="6.42578125" customWidth="1"/>
    <col min="12987" max="12987" width="29" customWidth="1"/>
    <col min="12988" max="12988" width="11.42578125" customWidth="1"/>
    <col min="12989" max="12989" width="10.7109375" customWidth="1"/>
    <col min="12990" max="12990" width="10.85546875" customWidth="1"/>
    <col min="12991" max="12991" width="11.28515625" customWidth="1"/>
    <col min="12993" max="12993" width="9.7109375" customWidth="1"/>
    <col min="12996" max="12996" width="10.42578125" customWidth="1"/>
    <col min="13240" max="13240" width="7" customWidth="1"/>
    <col min="13241" max="13241" width="33.140625" customWidth="1"/>
    <col min="13242" max="13242" width="6.42578125" customWidth="1"/>
    <col min="13243" max="13243" width="29" customWidth="1"/>
    <col min="13244" max="13244" width="11.42578125" customWidth="1"/>
    <col min="13245" max="13245" width="10.7109375" customWidth="1"/>
    <col min="13246" max="13246" width="10.85546875" customWidth="1"/>
    <col min="13247" max="13247" width="11.28515625" customWidth="1"/>
    <col min="13249" max="13249" width="9.7109375" customWidth="1"/>
    <col min="13252" max="13252" width="10.42578125" customWidth="1"/>
    <col min="13496" max="13496" width="7" customWidth="1"/>
    <col min="13497" max="13497" width="33.140625" customWidth="1"/>
    <col min="13498" max="13498" width="6.42578125" customWidth="1"/>
    <col min="13499" max="13499" width="29" customWidth="1"/>
    <col min="13500" max="13500" width="11.42578125" customWidth="1"/>
    <col min="13501" max="13501" width="10.7109375" customWidth="1"/>
    <col min="13502" max="13502" width="10.85546875" customWidth="1"/>
    <col min="13503" max="13503" width="11.28515625" customWidth="1"/>
    <col min="13505" max="13505" width="9.7109375" customWidth="1"/>
    <col min="13508" max="13508" width="10.42578125" customWidth="1"/>
    <col min="13752" max="13752" width="7" customWidth="1"/>
    <col min="13753" max="13753" width="33.140625" customWidth="1"/>
    <col min="13754" max="13754" width="6.42578125" customWidth="1"/>
    <col min="13755" max="13755" width="29" customWidth="1"/>
    <col min="13756" max="13756" width="11.42578125" customWidth="1"/>
    <col min="13757" max="13757" width="10.7109375" customWidth="1"/>
    <col min="13758" max="13758" width="10.85546875" customWidth="1"/>
    <col min="13759" max="13759" width="11.28515625" customWidth="1"/>
    <col min="13761" max="13761" width="9.7109375" customWidth="1"/>
    <col min="13764" max="13764" width="10.42578125" customWidth="1"/>
    <col min="14008" max="14008" width="7" customWidth="1"/>
    <col min="14009" max="14009" width="33.140625" customWidth="1"/>
    <col min="14010" max="14010" width="6.42578125" customWidth="1"/>
    <col min="14011" max="14011" width="29" customWidth="1"/>
    <col min="14012" max="14012" width="11.42578125" customWidth="1"/>
    <col min="14013" max="14013" width="10.7109375" customWidth="1"/>
    <col min="14014" max="14014" width="10.85546875" customWidth="1"/>
    <col min="14015" max="14015" width="11.28515625" customWidth="1"/>
    <col min="14017" max="14017" width="9.7109375" customWidth="1"/>
    <col min="14020" max="14020" width="10.42578125" customWidth="1"/>
    <col min="14264" max="14264" width="7" customWidth="1"/>
    <col min="14265" max="14265" width="33.140625" customWidth="1"/>
    <col min="14266" max="14266" width="6.42578125" customWidth="1"/>
    <col min="14267" max="14267" width="29" customWidth="1"/>
    <col min="14268" max="14268" width="11.42578125" customWidth="1"/>
    <col min="14269" max="14269" width="10.7109375" customWidth="1"/>
    <col min="14270" max="14270" width="10.85546875" customWidth="1"/>
    <col min="14271" max="14271" width="11.28515625" customWidth="1"/>
    <col min="14273" max="14273" width="9.7109375" customWidth="1"/>
    <col min="14276" max="14276" width="10.42578125" customWidth="1"/>
    <col min="14520" max="14520" width="7" customWidth="1"/>
    <col min="14521" max="14521" width="33.140625" customWidth="1"/>
    <col min="14522" max="14522" width="6.42578125" customWidth="1"/>
    <col min="14523" max="14523" width="29" customWidth="1"/>
    <col min="14524" max="14524" width="11.42578125" customWidth="1"/>
    <col min="14525" max="14525" width="10.7109375" customWidth="1"/>
    <col min="14526" max="14526" width="10.85546875" customWidth="1"/>
    <col min="14527" max="14527" width="11.28515625" customWidth="1"/>
    <col min="14529" max="14529" width="9.7109375" customWidth="1"/>
    <col min="14532" max="14532" width="10.42578125" customWidth="1"/>
    <col min="14776" max="14776" width="7" customWidth="1"/>
    <col min="14777" max="14777" width="33.140625" customWidth="1"/>
    <col min="14778" max="14778" width="6.42578125" customWidth="1"/>
    <col min="14779" max="14779" width="29" customWidth="1"/>
    <col min="14780" max="14780" width="11.42578125" customWidth="1"/>
    <col min="14781" max="14781" width="10.7109375" customWidth="1"/>
    <col min="14782" max="14782" width="10.85546875" customWidth="1"/>
    <col min="14783" max="14783" width="11.28515625" customWidth="1"/>
    <col min="14785" max="14785" width="9.7109375" customWidth="1"/>
    <col min="14788" max="14788" width="10.42578125" customWidth="1"/>
    <col min="15032" max="15032" width="7" customWidth="1"/>
    <col min="15033" max="15033" width="33.140625" customWidth="1"/>
    <col min="15034" max="15034" width="6.42578125" customWidth="1"/>
    <col min="15035" max="15035" width="29" customWidth="1"/>
    <col min="15036" max="15036" width="11.42578125" customWidth="1"/>
    <col min="15037" max="15037" width="10.7109375" customWidth="1"/>
    <col min="15038" max="15038" width="10.85546875" customWidth="1"/>
    <col min="15039" max="15039" width="11.28515625" customWidth="1"/>
    <col min="15041" max="15041" width="9.7109375" customWidth="1"/>
    <col min="15044" max="15044" width="10.42578125" customWidth="1"/>
    <col min="15288" max="15288" width="7" customWidth="1"/>
    <col min="15289" max="15289" width="33.140625" customWidth="1"/>
    <col min="15290" max="15290" width="6.42578125" customWidth="1"/>
    <col min="15291" max="15291" width="29" customWidth="1"/>
    <col min="15292" max="15292" width="11.42578125" customWidth="1"/>
    <col min="15293" max="15293" width="10.7109375" customWidth="1"/>
    <col min="15294" max="15294" width="10.85546875" customWidth="1"/>
    <col min="15295" max="15295" width="11.28515625" customWidth="1"/>
    <col min="15297" max="15297" width="9.7109375" customWidth="1"/>
    <col min="15300" max="15300" width="10.42578125" customWidth="1"/>
    <col min="15544" max="15544" width="7" customWidth="1"/>
    <col min="15545" max="15545" width="33.140625" customWidth="1"/>
    <col min="15546" max="15546" width="6.42578125" customWidth="1"/>
    <col min="15547" max="15547" width="29" customWidth="1"/>
    <col min="15548" max="15548" width="11.42578125" customWidth="1"/>
    <col min="15549" max="15549" width="10.7109375" customWidth="1"/>
    <col min="15550" max="15550" width="10.85546875" customWidth="1"/>
    <col min="15551" max="15551" width="11.28515625" customWidth="1"/>
    <col min="15553" max="15553" width="9.7109375" customWidth="1"/>
    <col min="15556" max="15556" width="10.42578125" customWidth="1"/>
    <col min="15800" max="15800" width="7" customWidth="1"/>
    <col min="15801" max="15801" width="33.140625" customWidth="1"/>
    <col min="15802" max="15802" width="6.42578125" customWidth="1"/>
    <col min="15803" max="15803" width="29" customWidth="1"/>
    <col min="15804" max="15804" width="11.42578125" customWidth="1"/>
    <col min="15805" max="15805" width="10.7109375" customWidth="1"/>
    <col min="15806" max="15806" width="10.85546875" customWidth="1"/>
    <col min="15807" max="15807" width="11.28515625" customWidth="1"/>
    <col min="15809" max="15809" width="9.7109375" customWidth="1"/>
    <col min="15812" max="15812" width="10.42578125" customWidth="1"/>
    <col min="16056" max="16056" width="7" customWidth="1"/>
    <col min="16057" max="16057" width="33.140625" customWidth="1"/>
    <col min="16058" max="16058" width="6.42578125" customWidth="1"/>
    <col min="16059" max="16059" width="29" customWidth="1"/>
    <col min="16060" max="16060" width="11.42578125" customWidth="1"/>
    <col min="16061" max="16061" width="10.7109375" customWidth="1"/>
    <col min="16062" max="16062" width="10.85546875" customWidth="1"/>
    <col min="16063" max="16063" width="11.28515625" customWidth="1"/>
    <col min="16065" max="16065" width="9.7109375" customWidth="1"/>
    <col min="16068" max="16068" width="10.42578125" customWidth="1"/>
  </cols>
  <sheetData>
    <row r="1" spans="1:52" ht="15" x14ac:dyDescent="0.25">
      <c r="A1" s="56" t="s">
        <v>2</v>
      </c>
      <c r="B1" s="56"/>
      <c r="C1" s="47"/>
      <c r="D1" s="56"/>
      <c r="E1" s="56"/>
      <c r="F1" s="100"/>
      <c r="G1" s="100"/>
      <c r="H1" s="100"/>
    </row>
    <row r="2" spans="1:52" ht="15" x14ac:dyDescent="0.25">
      <c r="A2" s="56" t="s">
        <v>3</v>
      </c>
      <c r="B2" s="56"/>
      <c r="C2" s="47"/>
      <c r="D2" s="56"/>
      <c r="E2" s="56"/>
      <c r="F2" s="100"/>
      <c r="G2" s="100"/>
      <c r="H2" s="100"/>
    </row>
    <row r="3" spans="1:52" ht="12.75" customHeight="1" x14ac:dyDescent="0.25">
      <c r="A3" s="768" t="s">
        <v>4</v>
      </c>
      <c r="B3" s="768"/>
      <c r="C3" s="768"/>
      <c r="D3" s="768"/>
      <c r="E3" s="768"/>
      <c r="F3" s="100"/>
      <c r="G3" s="100"/>
      <c r="H3" s="100"/>
    </row>
    <row r="4" spans="1:52" ht="12.75" customHeight="1" x14ac:dyDescent="0.25">
      <c r="A4" s="99"/>
      <c r="B4" s="56"/>
      <c r="C4" s="56"/>
      <c r="D4" s="56"/>
      <c r="E4" s="56"/>
      <c r="F4" s="100"/>
      <c r="G4" s="100"/>
      <c r="H4" s="100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58"/>
    </row>
    <row r="6" spans="1:52" ht="15" x14ac:dyDescent="0.25">
      <c r="A6" s="100"/>
      <c r="B6" s="99"/>
      <c r="C6" s="99"/>
      <c r="D6" s="99"/>
      <c r="E6" s="100"/>
      <c r="F6" s="100"/>
      <c r="G6" s="100"/>
      <c r="H6" s="100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99"/>
      <c r="B7" s="7"/>
      <c r="D7" s="11"/>
      <c r="E7" s="7"/>
      <c r="F7" s="100"/>
      <c r="G7" s="100"/>
      <c r="H7" s="100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128"/>
      <c r="B8" s="101"/>
      <c r="C8" s="101"/>
      <c r="D8" s="101"/>
      <c r="E8" s="101"/>
      <c r="F8" s="101"/>
      <c r="G8" s="101"/>
      <c r="H8" s="101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3.5" customHeight="1" thickBot="1" x14ac:dyDescent="0.25">
      <c r="A9" s="13" t="s">
        <v>813</v>
      </c>
      <c r="D9" s="13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132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145" t="s">
        <v>565</v>
      </c>
      <c r="H11" s="146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3.5" customHeight="1" x14ac:dyDescent="0.2">
      <c r="A12" s="247">
        <v>1</v>
      </c>
      <c r="B12" s="248">
        <v>3475</v>
      </c>
      <c r="C12" s="248">
        <v>691008604</v>
      </c>
      <c r="D12" s="248">
        <v>4624548</v>
      </c>
      <c r="E12" s="249" t="s">
        <v>120</v>
      </c>
      <c r="F12" s="248">
        <v>3111</v>
      </c>
      <c r="G12" s="250" t="s">
        <v>312</v>
      </c>
      <c r="H12" s="251" t="s">
        <v>278</v>
      </c>
      <c r="I12" s="470">
        <v>3543827</v>
      </c>
      <c r="J12" s="471">
        <v>2593356</v>
      </c>
      <c r="K12" s="471">
        <v>0</v>
      </c>
      <c r="L12" s="471">
        <v>876554</v>
      </c>
      <c r="M12" s="471">
        <v>51867</v>
      </c>
      <c r="N12" s="471">
        <v>22050</v>
      </c>
      <c r="O12" s="472">
        <v>5.5542999999999996</v>
      </c>
      <c r="P12" s="473">
        <v>4.0644999999999998</v>
      </c>
      <c r="Q12" s="499">
        <v>1.4898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86">
        <v>0</v>
      </c>
      <c r="AL12" s="486">
        <v>0</v>
      </c>
      <c r="AM12" s="486">
        <v>0</v>
      </c>
      <c r="AN12" s="486">
        <v>0</v>
      </c>
      <c r="AO12" s="486">
        <f>AH12+AJ12+AM12+AK12</f>
        <v>0</v>
      </c>
      <c r="AP12" s="486">
        <f>AI12+AN12+AL12</f>
        <v>0</v>
      </c>
      <c r="AQ12" s="488">
        <f>SUM(AO12:AP12)</f>
        <v>0</v>
      </c>
      <c r="AR12" s="474">
        <f>I12+AG12</f>
        <v>3543827</v>
      </c>
      <c r="AS12" s="475">
        <f>J12+V12</f>
        <v>2593356</v>
      </c>
      <c r="AT12" s="475">
        <f>K12+Z12</f>
        <v>0</v>
      </c>
      <c r="AU12" s="475">
        <f t="shared" ref="AU12:AV14" si="0">L12+AB12</f>
        <v>876554</v>
      </c>
      <c r="AV12" s="475">
        <f t="shared" si="0"/>
        <v>51867</v>
      </c>
      <c r="AW12" s="475">
        <f>N12+AF12</f>
        <v>22050</v>
      </c>
      <c r="AX12" s="476">
        <f>O12+AQ12</f>
        <v>5.5542999999999996</v>
      </c>
      <c r="AY12" s="476">
        <f t="shared" ref="AY12:AZ14" si="1">P12+AO12</f>
        <v>4.0644999999999998</v>
      </c>
      <c r="AZ12" s="478">
        <f t="shared" si="1"/>
        <v>1.4898</v>
      </c>
    </row>
    <row r="13" spans="1:52" ht="13.5" customHeight="1" x14ac:dyDescent="0.2">
      <c r="A13" s="220">
        <v>1</v>
      </c>
      <c r="B13" s="221">
        <v>3475</v>
      </c>
      <c r="C13" s="221">
        <v>691008604</v>
      </c>
      <c r="D13" s="221">
        <v>4624548</v>
      </c>
      <c r="E13" s="219" t="s">
        <v>121</v>
      </c>
      <c r="F13" s="221">
        <v>3111</v>
      </c>
      <c r="G13" s="222" t="s">
        <v>313</v>
      </c>
      <c r="H13" s="223" t="s">
        <v>279</v>
      </c>
      <c r="I13" s="494">
        <v>352854</v>
      </c>
      <c r="J13" s="489">
        <v>259833</v>
      </c>
      <c r="K13" s="489">
        <v>0</v>
      </c>
      <c r="L13" s="489">
        <v>87824</v>
      </c>
      <c r="M13" s="489">
        <v>5197</v>
      </c>
      <c r="N13" s="489">
        <v>0</v>
      </c>
      <c r="O13" s="490">
        <v>0.75</v>
      </c>
      <c r="P13" s="491">
        <v>0.75</v>
      </c>
      <c r="Q13" s="500">
        <v>0</v>
      </c>
      <c r="R13" s="502">
        <f t="shared" ref="R13:R72" si="2">W13*-1</f>
        <v>0</v>
      </c>
      <c r="S13" s="492">
        <v>0</v>
      </c>
      <c r="T13" s="492">
        <v>0</v>
      </c>
      <c r="U13" s="492">
        <v>0</v>
      </c>
      <c r="V13" s="492">
        <f t="shared" ref="V13:V72" si="3">SUM(R13:U13)</f>
        <v>0</v>
      </c>
      <c r="W13" s="492">
        <v>0</v>
      </c>
      <c r="X13" s="492">
        <v>0</v>
      </c>
      <c r="Y13" s="492">
        <v>0</v>
      </c>
      <c r="Z13" s="492">
        <f t="shared" ref="Z13:Z72" si="4">SUM(W13:Y13)</f>
        <v>0</v>
      </c>
      <c r="AA13" s="492">
        <f t="shared" ref="AA13:AA72" si="5">V13+Z13</f>
        <v>0</v>
      </c>
      <c r="AB13" s="74">
        <f t="shared" ref="AB13:AB72" si="6">ROUND((V13+W13+X13)*33.8%,0)</f>
        <v>0</v>
      </c>
      <c r="AC13" s="74">
        <f t="shared" ref="AC13:AC72" si="7">ROUND(V13*2%,0)</f>
        <v>0</v>
      </c>
      <c r="AD13" s="492">
        <v>0</v>
      </c>
      <c r="AE13" s="492">
        <v>0</v>
      </c>
      <c r="AF13" s="492">
        <f t="shared" ref="AF13:AF72" si="8">SUM(AD13:AE13)</f>
        <v>0</v>
      </c>
      <c r="AG13" s="492">
        <f t="shared" ref="AG13:AG72" si="9">AA13+AB13+AC13+AF13</f>
        <v>0</v>
      </c>
      <c r="AH13" s="493">
        <v>0</v>
      </c>
      <c r="AI13" s="493">
        <v>0</v>
      </c>
      <c r="AJ13" s="493">
        <v>0</v>
      </c>
      <c r="AK13" s="493">
        <v>0</v>
      </c>
      <c r="AL13" s="493">
        <v>0</v>
      </c>
      <c r="AM13" s="493">
        <v>0</v>
      </c>
      <c r="AN13" s="493">
        <v>0</v>
      </c>
      <c r="AO13" s="493">
        <f>AH13+AJ13+AM13+AK13</f>
        <v>0</v>
      </c>
      <c r="AP13" s="493">
        <f>AI13+AN13+AL13</f>
        <v>0</v>
      </c>
      <c r="AQ13" s="495">
        <f t="shared" ref="AQ13" si="10">SUM(AO13:AP13)</f>
        <v>0</v>
      </c>
      <c r="AR13" s="501">
        <f t="shared" ref="AR13:AR72" si="11">I13+AG13</f>
        <v>352854</v>
      </c>
      <c r="AS13" s="492">
        <f t="shared" ref="AS13:AS72" si="12">J13+V13</f>
        <v>259833</v>
      </c>
      <c r="AT13" s="492">
        <f>K13+Z13</f>
        <v>0</v>
      </c>
      <c r="AU13" s="492">
        <f t="shared" si="0"/>
        <v>87824</v>
      </c>
      <c r="AV13" s="492">
        <f t="shared" si="0"/>
        <v>5197</v>
      </c>
      <c r="AW13" s="492">
        <f t="shared" ref="AW13:AW72" si="13">N13+AF13</f>
        <v>0</v>
      </c>
      <c r="AX13" s="493">
        <f t="shared" ref="AX13:AX72" si="14">O13+AQ13</f>
        <v>0.75</v>
      </c>
      <c r="AY13" s="493">
        <f t="shared" si="1"/>
        <v>0.75</v>
      </c>
      <c r="AZ13" s="495">
        <f t="shared" si="1"/>
        <v>0</v>
      </c>
    </row>
    <row r="14" spans="1:52" ht="13.5" customHeight="1" x14ac:dyDescent="0.2">
      <c r="A14" s="220">
        <v>1</v>
      </c>
      <c r="B14" s="221">
        <v>3475</v>
      </c>
      <c r="C14" s="221">
        <v>691008604</v>
      </c>
      <c r="D14" s="221">
        <v>4624548</v>
      </c>
      <c r="E14" s="219" t="s">
        <v>121</v>
      </c>
      <c r="F14" s="221">
        <v>3141</v>
      </c>
      <c r="G14" s="222" t="s">
        <v>316</v>
      </c>
      <c r="H14" s="223" t="s">
        <v>279</v>
      </c>
      <c r="I14" s="494">
        <v>678019</v>
      </c>
      <c r="J14" s="489">
        <v>484376</v>
      </c>
      <c r="K14" s="489">
        <v>13000</v>
      </c>
      <c r="L14" s="489">
        <v>168113</v>
      </c>
      <c r="M14" s="489">
        <v>9688</v>
      </c>
      <c r="N14" s="489">
        <v>2842</v>
      </c>
      <c r="O14" s="490">
        <v>1.57</v>
      </c>
      <c r="P14" s="491">
        <v>0</v>
      </c>
      <c r="Q14" s="500">
        <v>1.57</v>
      </c>
      <c r="R14" s="502">
        <f t="shared" si="2"/>
        <v>0</v>
      </c>
      <c r="S14" s="492">
        <v>0</v>
      </c>
      <c r="T14" s="492">
        <v>0</v>
      </c>
      <c r="U14" s="492">
        <v>0</v>
      </c>
      <c r="V14" s="492">
        <f t="shared" si="3"/>
        <v>0</v>
      </c>
      <c r="W14" s="492">
        <v>0</v>
      </c>
      <c r="X14" s="492">
        <v>0</v>
      </c>
      <c r="Y14" s="492">
        <v>0</v>
      </c>
      <c r="Z14" s="492">
        <f t="shared" si="4"/>
        <v>0</v>
      </c>
      <c r="AA14" s="492">
        <f t="shared" si="5"/>
        <v>0</v>
      </c>
      <c r="AB14" s="74">
        <f t="shared" si="6"/>
        <v>0</v>
      </c>
      <c r="AC14" s="74">
        <f t="shared" si="7"/>
        <v>0</v>
      </c>
      <c r="AD14" s="492">
        <v>0</v>
      </c>
      <c r="AE14" s="492">
        <v>0</v>
      </c>
      <c r="AF14" s="492">
        <f t="shared" si="8"/>
        <v>0</v>
      </c>
      <c r="AG14" s="492">
        <f t="shared" si="9"/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>AH14+AJ14+AM14+AK14</f>
        <v>0</v>
      </c>
      <c r="AP14" s="493">
        <f>AI14+AN14+AL14</f>
        <v>0</v>
      </c>
      <c r="AQ14" s="495">
        <f t="shared" ref="AQ14:AQ72" si="15">SUM(AO14:AP14)</f>
        <v>0</v>
      </c>
      <c r="AR14" s="501">
        <f t="shared" si="11"/>
        <v>678019</v>
      </c>
      <c r="AS14" s="492">
        <f t="shared" si="12"/>
        <v>484376</v>
      </c>
      <c r="AT14" s="492">
        <f>K14+Z14</f>
        <v>13000</v>
      </c>
      <c r="AU14" s="492">
        <f t="shared" si="0"/>
        <v>168113</v>
      </c>
      <c r="AV14" s="492">
        <f t="shared" si="0"/>
        <v>9688</v>
      </c>
      <c r="AW14" s="492">
        <f t="shared" si="13"/>
        <v>2842</v>
      </c>
      <c r="AX14" s="493">
        <f t="shared" si="14"/>
        <v>1.57</v>
      </c>
      <c r="AY14" s="493">
        <f t="shared" si="1"/>
        <v>0</v>
      </c>
      <c r="AZ14" s="495">
        <f t="shared" si="1"/>
        <v>1.57</v>
      </c>
    </row>
    <row r="15" spans="1:52" ht="13.5" customHeight="1" x14ac:dyDescent="0.2">
      <c r="A15" s="166">
        <v>1</v>
      </c>
      <c r="B15" s="20">
        <v>3475</v>
      </c>
      <c r="C15" s="20">
        <v>691008604</v>
      </c>
      <c r="D15" s="20">
        <v>4624548</v>
      </c>
      <c r="E15" s="175" t="s">
        <v>122</v>
      </c>
      <c r="F15" s="20"/>
      <c r="G15" s="165"/>
      <c r="H15" s="199"/>
      <c r="I15" s="553">
        <v>4574700</v>
      </c>
      <c r="J15" s="550">
        <v>3337565</v>
      </c>
      <c r="K15" s="550">
        <v>13000</v>
      </c>
      <c r="L15" s="550">
        <v>1132491</v>
      </c>
      <c r="M15" s="550">
        <v>66752</v>
      </c>
      <c r="N15" s="550">
        <v>24892</v>
      </c>
      <c r="O15" s="551">
        <v>7.8742999999999999</v>
      </c>
      <c r="P15" s="551">
        <v>4.8144999999999998</v>
      </c>
      <c r="Q15" s="555">
        <v>3.0598000000000001</v>
      </c>
      <c r="R15" s="553">
        <f t="shared" ref="R15:AZ15" si="16">SUM(R12:R14)</f>
        <v>0</v>
      </c>
      <c r="S15" s="550">
        <f t="shared" si="16"/>
        <v>0</v>
      </c>
      <c r="T15" s="550">
        <f t="shared" si="16"/>
        <v>0</v>
      </c>
      <c r="U15" s="550">
        <f t="shared" si="16"/>
        <v>0</v>
      </c>
      <c r="V15" s="550">
        <f t="shared" si="16"/>
        <v>0</v>
      </c>
      <c r="W15" s="550">
        <f t="shared" si="16"/>
        <v>0</v>
      </c>
      <c r="X15" s="550">
        <f t="shared" si="16"/>
        <v>0</v>
      </c>
      <c r="Y15" s="550">
        <f t="shared" si="16"/>
        <v>0</v>
      </c>
      <c r="Z15" s="550">
        <f t="shared" si="16"/>
        <v>0</v>
      </c>
      <c r="AA15" s="550">
        <f t="shared" si="16"/>
        <v>0</v>
      </c>
      <c r="AB15" s="550">
        <f t="shared" si="16"/>
        <v>0</v>
      </c>
      <c r="AC15" s="550">
        <f t="shared" si="16"/>
        <v>0</v>
      </c>
      <c r="AD15" s="550">
        <f t="shared" si="16"/>
        <v>0</v>
      </c>
      <c r="AE15" s="550">
        <f t="shared" si="16"/>
        <v>0</v>
      </c>
      <c r="AF15" s="550">
        <f t="shared" si="16"/>
        <v>0</v>
      </c>
      <c r="AG15" s="550">
        <f t="shared" si="16"/>
        <v>0</v>
      </c>
      <c r="AH15" s="551">
        <f t="shared" si="16"/>
        <v>0</v>
      </c>
      <c r="AI15" s="551">
        <f t="shared" si="16"/>
        <v>0</v>
      </c>
      <c r="AJ15" s="551">
        <f t="shared" si="16"/>
        <v>0</v>
      </c>
      <c r="AK15" s="551">
        <f t="shared" si="16"/>
        <v>0</v>
      </c>
      <c r="AL15" s="551">
        <f t="shared" si="16"/>
        <v>0</v>
      </c>
      <c r="AM15" s="551">
        <f t="shared" si="16"/>
        <v>0</v>
      </c>
      <c r="AN15" s="551">
        <f t="shared" si="16"/>
        <v>0</v>
      </c>
      <c r="AO15" s="551">
        <f t="shared" si="16"/>
        <v>0</v>
      </c>
      <c r="AP15" s="551">
        <f t="shared" si="16"/>
        <v>0</v>
      </c>
      <c r="AQ15" s="44">
        <f t="shared" si="16"/>
        <v>0</v>
      </c>
      <c r="AR15" s="557">
        <f t="shared" si="16"/>
        <v>4574700</v>
      </c>
      <c r="AS15" s="550">
        <f t="shared" si="16"/>
        <v>3337565</v>
      </c>
      <c r="AT15" s="550">
        <f t="shared" si="16"/>
        <v>13000</v>
      </c>
      <c r="AU15" s="550">
        <f t="shared" si="16"/>
        <v>1132491</v>
      </c>
      <c r="AV15" s="550">
        <f t="shared" si="16"/>
        <v>66752</v>
      </c>
      <c r="AW15" s="550">
        <f t="shared" si="16"/>
        <v>24892</v>
      </c>
      <c r="AX15" s="551">
        <f t="shared" si="16"/>
        <v>7.8742999999999999</v>
      </c>
      <c r="AY15" s="551">
        <f t="shared" si="16"/>
        <v>4.8144999999999998</v>
      </c>
      <c r="AZ15" s="44">
        <f t="shared" si="16"/>
        <v>3.0598000000000001</v>
      </c>
    </row>
    <row r="16" spans="1:52" ht="13.5" customHeight="1" x14ac:dyDescent="0.2">
      <c r="A16" s="220">
        <v>2</v>
      </c>
      <c r="B16" s="221">
        <v>3449</v>
      </c>
      <c r="C16" s="221">
        <v>600078116</v>
      </c>
      <c r="D16" s="221">
        <v>70695016</v>
      </c>
      <c r="E16" s="219" t="s">
        <v>123</v>
      </c>
      <c r="F16" s="221">
        <v>3111</v>
      </c>
      <c r="G16" s="222" t="s">
        <v>312</v>
      </c>
      <c r="H16" s="223" t="s">
        <v>278</v>
      </c>
      <c r="I16" s="494">
        <v>5010897</v>
      </c>
      <c r="J16" s="489">
        <v>3654899</v>
      </c>
      <c r="K16" s="489">
        <v>13000</v>
      </c>
      <c r="L16" s="489">
        <v>1239750</v>
      </c>
      <c r="M16" s="489">
        <v>73098</v>
      </c>
      <c r="N16" s="489">
        <v>30150</v>
      </c>
      <c r="O16" s="490">
        <v>8.0741999999999994</v>
      </c>
      <c r="P16" s="491">
        <v>6</v>
      </c>
      <c r="Q16" s="500">
        <v>2.0741999999999998</v>
      </c>
      <c r="R16" s="502">
        <f t="shared" si="2"/>
        <v>0</v>
      </c>
      <c r="S16" s="492">
        <v>0</v>
      </c>
      <c r="T16" s="492">
        <v>0</v>
      </c>
      <c r="U16" s="492">
        <v>0</v>
      </c>
      <c r="V16" s="492">
        <f t="shared" si="3"/>
        <v>0</v>
      </c>
      <c r="W16" s="492">
        <v>0</v>
      </c>
      <c r="X16" s="492">
        <v>0</v>
      </c>
      <c r="Y16" s="492">
        <v>0</v>
      </c>
      <c r="Z16" s="492">
        <f t="shared" si="4"/>
        <v>0</v>
      </c>
      <c r="AA16" s="492">
        <f t="shared" si="5"/>
        <v>0</v>
      </c>
      <c r="AB16" s="74">
        <f t="shared" si="6"/>
        <v>0</v>
      </c>
      <c r="AC16" s="74">
        <f t="shared" si="7"/>
        <v>0</v>
      </c>
      <c r="AD16" s="492">
        <v>0</v>
      </c>
      <c r="AE16" s="492">
        <v>0</v>
      </c>
      <c r="AF16" s="492">
        <f t="shared" si="8"/>
        <v>0</v>
      </c>
      <c r="AG16" s="492">
        <f t="shared" si="9"/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ref="AO16:AO18" si="17">AH16+AJ16+AM16+AK16</f>
        <v>0</v>
      </c>
      <c r="AP16" s="493">
        <f t="shared" ref="AP16:AP18" si="18">AI16+AN16+AL16</f>
        <v>0</v>
      </c>
      <c r="AQ16" s="495">
        <f t="shared" si="15"/>
        <v>0</v>
      </c>
      <c r="AR16" s="501">
        <f t="shared" si="11"/>
        <v>5010897</v>
      </c>
      <c r="AS16" s="492">
        <f t="shared" si="12"/>
        <v>3654899</v>
      </c>
      <c r="AT16" s="492">
        <f t="shared" ref="AT16:AT18" si="19">K16+Z16</f>
        <v>13000</v>
      </c>
      <c r="AU16" s="492">
        <f t="shared" ref="AU16:AV18" si="20">L16+AB16</f>
        <v>1239750</v>
      </c>
      <c r="AV16" s="492">
        <f t="shared" si="20"/>
        <v>73098</v>
      </c>
      <c r="AW16" s="492">
        <f t="shared" si="13"/>
        <v>30150</v>
      </c>
      <c r="AX16" s="493">
        <f t="shared" si="14"/>
        <v>8.0741999999999994</v>
      </c>
      <c r="AY16" s="493">
        <f t="shared" ref="AY16:AZ18" si="21">P16+AO16</f>
        <v>6</v>
      </c>
      <c r="AZ16" s="495">
        <f t="shared" si="21"/>
        <v>2.0741999999999998</v>
      </c>
    </row>
    <row r="17" spans="1:52" ht="13.5" customHeight="1" x14ac:dyDescent="0.2">
      <c r="A17" s="220">
        <v>2</v>
      </c>
      <c r="B17" s="221">
        <v>3449</v>
      </c>
      <c r="C17" s="221">
        <v>600078116</v>
      </c>
      <c r="D17" s="221">
        <v>70695016</v>
      </c>
      <c r="E17" s="219" t="s">
        <v>123</v>
      </c>
      <c r="F17" s="221">
        <v>3111</v>
      </c>
      <c r="G17" s="222" t="s">
        <v>313</v>
      </c>
      <c r="H17" s="223" t="s">
        <v>279</v>
      </c>
      <c r="I17" s="494">
        <v>470470</v>
      </c>
      <c r="J17" s="489">
        <v>346443</v>
      </c>
      <c r="K17" s="489">
        <v>0</v>
      </c>
      <c r="L17" s="489">
        <v>117098</v>
      </c>
      <c r="M17" s="489">
        <v>6929</v>
      </c>
      <c r="N17" s="489">
        <v>0</v>
      </c>
      <c r="O17" s="490">
        <v>1</v>
      </c>
      <c r="P17" s="491">
        <v>1</v>
      </c>
      <c r="Q17" s="500">
        <v>0</v>
      </c>
      <c r="R17" s="502">
        <f t="shared" si="2"/>
        <v>0</v>
      </c>
      <c r="S17" s="492">
        <v>0</v>
      </c>
      <c r="T17" s="492">
        <v>0</v>
      </c>
      <c r="U17" s="492">
        <v>0</v>
      </c>
      <c r="V17" s="492">
        <f t="shared" si="3"/>
        <v>0</v>
      </c>
      <c r="W17" s="492">
        <v>0</v>
      </c>
      <c r="X17" s="492">
        <v>0</v>
      </c>
      <c r="Y17" s="492">
        <v>0</v>
      </c>
      <c r="Z17" s="492">
        <f t="shared" si="4"/>
        <v>0</v>
      </c>
      <c r="AA17" s="492">
        <f t="shared" si="5"/>
        <v>0</v>
      </c>
      <c r="AB17" s="74">
        <f t="shared" si="6"/>
        <v>0</v>
      </c>
      <c r="AC17" s="74">
        <f t="shared" si="7"/>
        <v>0</v>
      </c>
      <c r="AD17" s="492">
        <v>0</v>
      </c>
      <c r="AE17" s="492">
        <v>0</v>
      </c>
      <c r="AF17" s="492">
        <f t="shared" si="8"/>
        <v>0</v>
      </c>
      <c r="AG17" s="492">
        <f t="shared" si="9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17"/>
        <v>0</v>
      </c>
      <c r="AP17" s="493">
        <f t="shared" si="18"/>
        <v>0</v>
      </c>
      <c r="AQ17" s="495">
        <f t="shared" si="15"/>
        <v>0</v>
      </c>
      <c r="AR17" s="501">
        <f t="shared" si="11"/>
        <v>470470</v>
      </c>
      <c r="AS17" s="492">
        <f t="shared" si="12"/>
        <v>346443</v>
      </c>
      <c r="AT17" s="492">
        <f t="shared" si="19"/>
        <v>0</v>
      </c>
      <c r="AU17" s="492">
        <f t="shared" si="20"/>
        <v>117098</v>
      </c>
      <c r="AV17" s="492">
        <f t="shared" si="20"/>
        <v>6929</v>
      </c>
      <c r="AW17" s="492">
        <f t="shared" si="13"/>
        <v>0</v>
      </c>
      <c r="AX17" s="493">
        <f t="shared" si="14"/>
        <v>1</v>
      </c>
      <c r="AY17" s="493">
        <f t="shared" si="21"/>
        <v>1</v>
      </c>
      <c r="AZ17" s="495">
        <f t="shared" si="21"/>
        <v>0</v>
      </c>
    </row>
    <row r="18" spans="1:52" ht="13.5" customHeight="1" x14ac:dyDescent="0.2">
      <c r="A18" s="220">
        <v>2</v>
      </c>
      <c r="B18" s="221">
        <v>3449</v>
      </c>
      <c r="C18" s="221">
        <v>600078116</v>
      </c>
      <c r="D18" s="221">
        <v>70695016</v>
      </c>
      <c r="E18" s="219" t="s">
        <v>123</v>
      </c>
      <c r="F18" s="221">
        <v>3141</v>
      </c>
      <c r="G18" s="222" t="s">
        <v>316</v>
      </c>
      <c r="H18" s="223" t="s">
        <v>279</v>
      </c>
      <c r="I18" s="494">
        <v>837962</v>
      </c>
      <c r="J18" s="489">
        <v>594981</v>
      </c>
      <c r="K18" s="489">
        <v>19500</v>
      </c>
      <c r="L18" s="489">
        <v>207695</v>
      </c>
      <c r="M18" s="489">
        <v>11900</v>
      </c>
      <c r="N18" s="489">
        <v>3886</v>
      </c>
      <c r="O18" s="490">
        <v>1.94</v>
      </c>
      <c r="P18" s="491">
        <v>0</v>
      </c>
      <c r="Q18" s="500">
        <v>1.94</v>
      </c>
      <c r="R18" s="502">
        <f t="shared" si="2"/>
        <v>0</v>
      </c>
      <c r="S18" s="492">
        <v>0</v>
      </c>
      <c r="T18" s="492">
        <v>0</v>
      </c>
      <c r="U18" s="492">
        <v>0</v>
      </c>
      <c r="V18" s="492">
        <f t="shared" si="3"/>
        <v>0</v>
      </c>
      <c r="W18" s="492">
        <v>0</v>
      </c>
      <c r="X18" s="492">
        <v>0</v>
      </c>
      <c r="Y18" s="492">
        <v>0</v>
      </c>
      <c r="Z18" s="492">
        <f t="shared" si="4"/>
        <v>0</v>
      </c>
      <c r="AA18" s="492">
        <f t="shared" si="5"/>
        <v>0</v>
      </c>
      <c r="AB18" s="74">
        <f t="shared" si="6"/>
        <v>0</v>
      </c>
      <c r="AC18" s="74">
        <f t="shared" si="7"/>
        <v>0</v>
      </c>
      <c r="AD18" s="492">
        <v>0</v>
      </c>
      <c r="AE18" s="492">
        <v>0</v>
      </c>
      <c r="AF18" s="492">
        <f t="shared" si="8"/>
        <v>0</v>
      </c>
      <c r="AG18" s="492">
        <f t="shared" si="9"/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si="17"/>
        <v>0</v>
      </c>
      <c r="AP18" s="493">
        <f t="shared" si="18"/>
        <v>0</v>
      </c>
      <c r="AQ18" s="495">
        <f t="shared" si="15"/>
        <v>0</v>
      </c>
      <c r="AR18" s="501">
        <f t="shared" si="11"/>
        <v>837962</v>
      </c>
      <c r="AS18" s="492">
        <f t="shared" si="12"/>
        <v>594981</v>
      </c>
      <c r="AT18" s="492">
        <f t="shared" si="19"/>
        <v>19500</v>
      </c>
      <c r="AU18" s="492">
        <f t="shared" si="20"/>
        <v>207695</v>
      </c>
      <c r="AV18" s="492">
        <f t="shared" si="20"/>
        <v>11900</v>
      </c>
      <c r="AW18" s="492">
        <f t="shared" si="13"/>
        <v>3886</v>
      </c>
      <c r="AX18" s="493">
        <f t="shared" si="14"/>
        <v>1.94</v>
      </c>
      <c r="AY18" s="493">
        <f t="shared" si="21"/>
        <v>0</v>
      </c>
      <c r="AZ18" s="495">
        <f t="shared" si="21"/>
        <v>1.94</v>
      </c>
    </row>
    <row r="19" spans="1:52" ht="13.5" customHeight="1" x14ac:dyDescent="0.2">
      <c r="A19" s="166">
        <v>2</v>
      </c>
      <c r="B19" s="20">
        <v>3449</v>
      </c>
      <c r="C19" s="20">
        <v>600078116</v>
      </c>
      <c r="D19" s="20">
        <v>70695016</v>
      </c>
      <c r="E19" s="175" t="s">
        <v>124</v>
      </c>
      <c r="F19" s="20"/>
      <c r="G19" s="165"/>
      <c r="H19" s="199"/>
      <c r="I19" s="553">
        <v>6319329</v>
      </c>
      <c r="J19" s="550">
        <v>4596323</v>
      </c>
      <c r="K19" s="550">
        <v>32500</v>
      </c>
      <c r="L19" s="550">
        <v>1564543</v>
      </c>
      <c r="M19" s="550">
        <v>91927</v>
      </c>
      <c r="N19" s="550">
        <v>34036</v>
      </c>
      <c r="O19" s="551">
        <v>11.014199999999999</v>
      </c>
      <c r="P19" s="551">
        <v>7</v>
      </c>
      <c r="Q19" s="555">
        <v>4.0141999999999998</v>
      </c>
      <c r="R19" s="553">
        <f t="shared" ref="R19:AZ19" si="22">SUM(R16:R18)</f>
        <v>0</v>
      </c>
      <c r="S19" s="550">
        <f t="shared" si="22"/>
        <v>0</v>
      </c>
      <c r="T19" s="550">
        <f t="shared" si="22"/>
        <v>0</v>
      </c>
      <c r="U19" s="550">
        <f t="shared" si="22"/>
        <v>0</v>
      </c>
      <c r="V19" s="550">
        <f t="shared" si="22"/>
        <v>0</v>
      </c>
      <c r="W19" s="550">
        <f t="shared" si="22"/>
        <v>0</v>
      </c>
      <c r="X19" s="550">
        <f t="shared" si="22"/>
        <v>0</v>
      </c>
      <c r="Y19" s="550">
        <f t="shared" si="22"/>
        <v>0</v>
      </c>
      <c r="Z19" s="550">
        <f t="shared" si="22"/>
        <v>0</v>
      </c>
      <c r="AA19" s="550">
        <f t="shared" si="22"/>
        <v>0</v>
      </c>
      <c r="AB19" s="550">
        <f t="shared" si="22"/>
        <v>0</v>
      </c>
      <c r="AC19" s="550">
        <f t="shared" si="22"/>
        <v>0</v>
      </c>
      <c r="AD19" s="550">
        <f t="shared" si="22"/>
        <v>0</v>
      </c>
      <c r="AE19" s="550">
        <f t="shared" si="22"/>
        <v>0</v>
      </c>
      <c r="AF19" s="550">
        <f t="shared" si="22"/>
        <v>0</v>
      </c>
      <c r="AG19" s="550">
        <f t="shared" si="22"/>
        <v>0</v>
      </c>
      <c r="AH19" s="551">
        <f t="shared" si="22"/>
        <v>0</v>
      </c>
      <c r="AI19" s="551">
        <f t="shared" si="22"/>
        <v>0</v>
      </c>
      <c r="AJ19" s="551">
        <f t="shared" si="22"/>
        <v>0</v>
      </c>
      <c r="AK19" s="551">
        <f t="shared" si="22"/>
        <v>0</v>
      </c>
      <c r="AL19" s="551">
        <f t="shared" si="22"/>
        <v>0</v>
      </c>
      <c r="AM19" s="551">
        <f t="shared" si="22"/>
        <v>0</v>
      </c>
      <c r="AN19" s="551">
        <f t="shared" si="22"/>
        <v>0</v>
      </c>
      <c r="AO19" s="551">
        <f t="shared" si="22"/>
        <v>0</v>
      </c>
      <c r="AP19" s="551">
        <f t="shared" si="22"/>
        <v>0</v>
      </c>
      <c r="AQ19" s="44">
        <f t="shared" si="22"/>
        <v>0</v>
      </c>
      <c r="AR19" s="557">
        <f t="shared" si="22"/>
        <v>6319329</v>
      </c>
      <c r="AS19" s="550">
        <f t="shared" si="22"/>
        <v>4596323</v>
      </c>
      <c r="AT19" s="550">
        <f t="shared" si="22"/>
        <v>32500</v>
      </c>
      <c r="AU19" s="550">
        <f t="shared" si="22"/>
        <v>1564543</v>
      </c>
      <c r="AV19" s="550">
        <f t="shared" si="22"/>
        <v>91927</v>
      </c>
      <c r="AW19" s="550">
        <f t="shared" si="22"/>
        <v>34036</v>
      </c>
      <c r="AX19" s="551">
        <f t="shared" si="22"/>
        <v>11.014199999999999</v>
      </c>
      <c r="AY19" s="551">
        <f t="shared" si="22"/>
        <v>7</v>
      </c>
      <c r="AZ19" s="44">
        <f t="shared" si="22"/>
        <v>4.0141999999999998</v>
      </c>
    </row>
    <row r="20" spans="1:52" ht="13.5" customHeight="1" x14ac:dyDescent="0.2">
      <c r="A20" s="220">
        <v>3</v>
      </c>
      <c r="B20" s="221">
        <v>3451</v>
      </c>
      <c r="C20" s="221">
        <v>600078621</v>
      </c>
      <c r="D20" s="221">
        <v>70694991</v>
      </c>
      <c r="E20" s="219" t="s">
        <v>125</v>
      </c>
      <c r="F20" s="221">
        <v>3111</v>
      </c>
      <c r="G20" s="222" t="s">
        <v>312</v>
      </c>
      <c r="H20" s="223" t="s">
        <v>278</v>
      </c>
      <c r="I20" s="494">
        <v>5185693</v>
      </c>
      <c r="J20" s="489">
        <v>3789870</v>
      </c>
      <c r="K20" s="489">
        <v>0</v>
      </c>
      <c r="L20" s="489">
        <v>1280976</v>
      </c>
      <c r="M20" s="489">
        <v>75797</v>
      </c>
      <c r="N20" s="489">
        <v>39050</v>
      </c>
      <c r="O20" s="490">
        <v>8.2311999999999994</v>
      </c>
      <c r="P20" s="491">
        <v>6</v>
      </c>
      <c r="Q20" s="500">
        <v>2.2311999999999999</v>
      </c>
      <c r="R20" s="502">
        <f t="shared" si="2"/>
        <v>0</v>
      </c>
      <c r="S20" s="492">
        <v>0</v>
      </c>
      <c r="T20" s="492">
        <v>0</v>
      </c>
      <c r="U20" s="492">
        <v>0</v>
      </c>
      <c r="V20" s="492">
        <f t="shared" si="3"/>
        <v>0</v>
      </c>
      <c r="W20" s="492">
        <v>0</v>
      </c>
      <c r="X20" s="492">
        <v>0</v>
      </c>
      <c r="Y20" s="492">
        <v>0</v>
      </c>
      <c r="Z20" s="492">
        <f t="shared" si="4"/>
        <v>0</v>
      </c>
      <c r="AA20" s="492">
        <f t="shared" si="5"/>
        <v>0</v>
      </c>
      <c r="AB20" s="74">
        <f t="shared" si="6"/>
        <v>0</v>
      </c>
      <c r="AC20" s="74">
        <f t="shared" si="7"/>
        <v>0</v>
      </c>
      <c r="AD20" s="492">
        <v>0</v>
      </c>
      <c r="AE20" s="492">
        <v>0</v>
      </c>
      <c r="AF20" s="492">
        <f t="shared" si="8"/>
        <v>0</v>
      </c>
      <c r="AG20" s="492">
        <f t="shared" si="9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ref="AO20:AO22" si="23">AH20+AJ20+AM20+AK20</f>
        <v>0</v>
      </c>
      <c r="AP20" s="493">
        <f t="shared" ref="AP20:AP22" si="24">AI20+AN20+AL20</f>
        <v>0</v>
      </c>
      <c r="AQ20" s="495">
        <f t="shared" si="15"/>
        <v>0</v>
      </c>
      <c r="AR20" s="501">
        <f t="shared" si="11"/>
        <v>5185693</v>
      </c>
      <c r="AS20" s="492">
        <f t="shared" si="12"/>
        <v>3789870</v>
      </c>
      <c r="AT20" s="492">
        <f t="shared" ref="AT20:AT22" si="25">K20+Z20</f>
        <v>0</v>
      </c>
      <c r="AU20" s="492">
        <f t="shared" ref="AU20:AV22" si="26">L20+AB20</f>
        <v>1280976</v>
      </c>
      <c r="AV20" s="492">
        <f t="shared" si="26"/>
        <v>75797</v>
      </c>
      <c r="AW20" s="492">
        <f t="shared" si="13"/>
        <v>39050</v>
      </c>
      <c r="AX20" s="493">
        <f t="shared" si="14"/>
        <v>8.2311999999999994</v>
      </c>
      <c r="AY20" s="493">
        <f t="shared" ref="AY20:AZ22" si="27">P20+AO20</f>
        <v>6</v>
      </c>
      <c r="AZ20" s="495">
        <f t="shared" si="27"/>
        <v>2.2311999999999999</v>
      </c>
    </row>
    <row r="21" spans="1:52" ht="13.5" customHeight="1" x14ac:dyDescent="0.2">
      <c r="A21" s="220">
        <v>3</v>
      </c>
      <c r="B21" s="221">
        <v>3451</v>
      </c>
      <c r="C21" s="221">
        <v>600078621</v>
      </c>
      <c r="D21" s="221">
        <v>70694991</v>
      </c>
      <c r="E21" s="219" t="s">
        <v>125</v>
      </c>
      <c r="F21" s="221">
        <v>3111</v>
      </c>
      <c r="G21" s="222" t="s">
        <v>313</v>
      </c>
      <c r="H21" s="223" t="s">
        <v>279</v>
      </c>
      <c r="I21" s="494">
        <v>235235</v>
      </c>
      <c r="J21" s="489">
        <v>173222</v>
      </c>
      <c r="K21" s="489">
        <v>0</v>
      </c>
      <c r="L21" s="489">
        <v>58549</v>
      </c>
      <c r="M21" s="489">
        <v>3464</v>
      </c>
      <c r="N21" s="489">
        <v>0</v>
      </c>
      <c r="O21" s="490">
        <v>0.5</v>
      </c>
      <c r="P21" s="491">
        <v>0.5</v>
      </c>
      <c r="Q21" s="500">
        <v>0</v>
      </c>
      <c r="R21" s="502">
        <f t="shared" si="2"/>
        <v>0</v>
      </c>
      <c r="S21" s="492">
        <v>0</v>
      </c>
      <c r="T21" s="492">
        <v>0</v>
      </c>
      <c r="U21" s="492">
        <v>0</v>
      </c>
      <c r="V21" s="492">
        <f t="shared" si="3"/>
        <v>0</v>
      </c>
      <c r="W21" s="492">
        <v>0</v>
      </c>
      <c r="X21" s="492">
        <v>0</v>
      </c>
      <c r="Y21" s="492">
        <v>0</v>
      </c>
      <c r="Z21" s="492">
        <f t="shared" si="4"/>
        <v>0</v>
      </c>
      <c r="AA21" s="492">
        <f t="shared" si="5"/>
        <v>0</v>
      </c>
      <c r="AB21" s="74">
        <f t="shared" si="6"/>
        <v>0</v>
      </c>
      <c r="AC21" s="74">
        <f t="shared" si="7"/>
        <v>0</v>
      </c>
      <c r="AD21" s="492">
        <v>0</v>
      </c>
      <c r="AE21" s="492">
        <v>0</v>
      </c>
      <c r="AF21" s="492">
        <f t="shared" si="8"/>
        <v>0</v>
      </c>
      <c r="AG21" s="492">
        <f t="shared" si="9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23"/>
        <v>0</v>
      </c>
      <c r="AP21" s="493">
        <f t="shared" si="24"/>
        <v>0</v>
      </c>
      <c r="AQ21" s="495">
        <f t="shared" si="15"/>
        <v>0</v>
      </c>
      <c r="AR21" s="501">
        <f t="shared" si="11"/>
        <v>235235</v>
      </c>
      <c r="AS21" s="492">
        <f t="shared" si="12"/>
        <v>173222</v>
      </c>
      <c r="AT21" s="492">
        <f t="shared" si="25"/>
        <v>0</v>
      </c>
      <c r="AU21" s="492">
        <f t="shared" si="26"/>
        <v>58549</v>
      </c>
      <c r="AV21" s="492">
        <f t="shared" si="26"/>
        <v>3464</v>
      </c>
      <c r="AW21" s="492">
        <f t="shared" si="13"/>
        <v>0</v>
      </c>
      <c r="AX21" s="493">
        <f t="shared" si="14"/>
        <v>0.5</v>
      </c>
      <c r="AY21" s="493">
        <f t="shared" si="27"/>
        <v>0.5</v>
      </c>
      <c r="AZ21" s="495">
        <f t="shared" si="27"/>
        <v>0</v>
      </c>
    </row>
    <row r="22" spans="1:52" ht="13.5" customHeight="1" x14ac:dyDescent="0.2">
      <c r="A22" s="220">
        <v>3</v>
      </c>
      <c r="B22" s="221">
        <v>3451</v>
      </c>
      <c r="C22" s="221">
        <v>600078621</v>
      </c>
      <c r="D22" s="221">
        <v>70694991</v>
      </c>
      <c r="E22" s="219" t="s">
        <v>125</v>
      </c>
      <c r="F22" s="221">
        <v>3141</v>
      </c>
      <c r="G22" s="222" t="s">
        <v>316</v>
      </c>
      <c r="H22" s="223" t="s">
        <v>279</v>
      </c>
      <c r="I22" s="494">
        <v>821395</v>
      </c>
      <c r="J22" s="489">
        <v>602080</v>
      </c>
      <c r="K22" s="489">
        <v>0</v>
      </c>
      <c r="L22" s="489">
        <v>203503</v>
      </c>
      <c r="M22" s="489">
        <v>12042</v>
      </c>
      <c r="N22" s="489">
        <v>3770</v>
      </c>
      <c r="O22" s="490">
        <v>1.9</v>
      </c>
      <c r="P22" s="491">
        <v>0</v>
      </c>
      <c r="Q22" s="500">
        <v>1.9</v>
      </c>
      <c r="R22" s="502">
        <f t="shared" si="2"/>
        <v>0</v>
      </c>
      <c r="S22" s="492">
        <v>0</v>
      </c>
      <c r="T22" s="492">
        <v>0</v>
      </c>
      <c r="U22" s="492">
        <v>0</v>
      </c>
      <c r="V22" s="492">
        <f t="shared" si="3"/>
        <v>0</v>
      </c>
      <c r="W22" s="492">
        <v>0</v>
      </c>
      <c r="X22" s="492">
        <v>0</v>
      </c>
      <c r="Y22" s="492">
        <v>0</v>
      </c>
      <c r="Z22" s="492">
        <f t="shared" si="4"/>
        <v>0</v>
      </c>
      <c r="AA22" s="492">
        <f t="shared" si="5"/>
        <v>0</v>
      </c>
      <c r="AB22" s="74">
        <f t="shared" si="6"/>
        <v>0</v>
      </c>
      <c r="AC22" s="74">
        <f t="shared" si="7"/>
        <v>0</v>
      </c>
      <c r="AD22" s="492">
        <v>0</v>
      </c>
      <c r="AE22" s="492">
        <v>0</v>
      </c>
      <c r="AF22" s="492">
        <f t="shared" si="8"/>
        <v>0</v>
      </c>
      <c r="AG22" s="492">
        <f t="shared" si="9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23"/>
        <v>0</v>
      </c>
      <c r="AP22" s="493">
        <f t="shared" si="24"/>
        <v>0</v>
      </c>
      <c r="AQ22" s="495">
        <f t="shared" si="15"/>
        <v>0</v>
      </c>
      <c r="AR22" s="501">
        <f t="shared" si="11"/>
        <v>821395</v>
      </c>
      <c r="AS22" s="492">
        <f t="shared" si="12"/>
        <v>602080</v>
      </c>
      <c r="AT22" s="492">
        <f t="shared" si="25"/>
        <v>0</v>
      </c>
      <c r="AU22" s="492">
        <f t="shared" si="26"/>
        <v>203503</v>
      </c>
      <c r="AV22" s="492">
        <f t="shared" si="26"/>
        <v>12042</v>
      </c>
      <c r="AW22" s="492">
        <f t="shared" si="13"/>
        <v>3770</v>
      </c>
      <c r="AX22" s="493">
        <f t="shared" si="14"/>
        <v>1.9</v>
      </c>
      <c r="AY22" s="493">
        <f t="shared" si="27"/>
        <v>0</v>
      </c>
      <c r="AZ22" s="495">
        <f t="shared" si="27"/>
        <v>1.9</v>
      </c>
    </row>
    <row r="23" spans="1:52" ht="13.5" customHeight="1" x14ac:dyDescent="0.2">
      <c r="A23" s="166">
        <v>3</v>
      </c>
      <c r="B23" s="20">
        <v>3451</v>
      </c>
      <c r="C23" s="20">
        <v>600078621</v>
      </c>
      <c r="D23" s="20">
        <v>70694991</v>
      </c>
      <c r="E23" s="175" t="s">
        <v>126</v>
      </c>
      <c r="F23" s="20"/>
      <c r="G23" s="165"/>
      <c r="H23" s="199"/>
      <c r="I23" s="553">
        <v>6242323</v>
      </c>
      <c r="J23" s="550">
        <v>4565172</v>
      </c>
      <c r="K23" s="550">
        <v>0</v>
      </c>
      <c r="L23" s="550">
        <v>1543028</v>
      </c>
      <c r="M23" s="550">
        <v>91303</v>
      </c>
      <c r="N23" s="550">
        <v>42820</v>
      </c>
      <c r="O23" s="551">
        <v>10.6312</v>
      </c>
      <c r="P23" s="551">
        <v>6.5</v>
      </c>
      <c r="Q23" s="555">
        <v>4.1311999999999998</v>
      </c>
      <c r="R23" s="553">
        <f t="shared" ref="R23:AZ23" si="28">SUM(R20:R22)</f>
        <v>0</v>
      </c>
      <c r="S23" s="550">
        <f t="shared" si="28"/>
        <v>0</v>
      </c>
      <c r="T23" s="550">
        <f t="shared" si="28"/>
        <v>0</v>
      </c>
      <c r="U23" s="550">
        <f t="shared" si="28"/>
        <v>0</v>
      </c>
      <c r="V23" s="550">
        <f t="shared" si="28"/>
        <v>0</v>
      </c>
      <c r="W23" s="550">
        <f t="shared" si="28"/>
        <v>0</v>
      </c>
      <c r="X23" s="550">
        <f t="shared" si="28"/>
        <v>0</v>
      </c>
      <c r="Y23" s="550">
        <f t="shared" si="28"/>
        <v>0</v>
      </c>
      <c r="Z23" s="550">
        <f t="shared" si="28"/>
        <v>0</v>
      </c>
      <c r="AA23" s="550">
        <f t="shared" si="28"/>
        <v>0</v>
      </c>
      <c r="AB23" s="550">
        <f t="shared" si="28"/>
        <v>0</v>
      </c>
      <c r="AC23" s="550">
        <f t="shared" si="28"/>
        <v>0</v>
      </c>
      <c r="AD23" s="550">
        <f t="shared" si="28"/>
        <v>0</v>
      </c>
      <c r="AE23" s="550">
        <f t="shared" si="28"/>
        <v>0</v>
      </c>
      <c r="AF23" s="550">
        <f t="shared" si="28"/>
        <v>0</v>
      </c>
      <c r="AG23" s="550">
        <f t="shared" si="28"/>
        <v>0</v>
      </c>
      <c r="AH23" s="551">
        <f t="shared" si="28"/>
        <v>0</v>
      </c>
      <c r="AI23" s="551">
        <f t="shared" si="28"/>
        <v>0</v>
      </c>
      <c r="AJ23" s="551">
        <f t="shared" si="28"/>
        <v>0</v>
      </c>
      <c r="AK23" s="551">
        <f t="shared" si="28"/>
        <v>0</v>
      </c>
      <c r="AL23" s="551">
        <f t="shared" si="28"/>
        <v>0</v>
      </c>
      <c r="AM23" s="551">
        <f t="shared" si="28"/>
        <v>0</v>
      </c>
      <c r="AN23" s="551">
        <f t="shared" si="28"/>
        <v>0</v>
      </c>
      <c r="AO23" s="551">
        <f t="shared" si="28"/>
        <v>0</v>
      </c>
      <c r="AP23" s="551">
        <f t="shared" si="28"/>
        <v>0</v>
      </c>
      <c r="AQ23" s="44">
        <f t="shared" si="28"/>
        <v>0</v>
      </c>
      <c r="AR23" s="557">
        <f t="shared" si="28"/>
        <v>6242323</v>
      </c>
      <c r="AS23" s="550">
        <f t="shared" si="28"/>
        <v>4565172</v>
      </c>
      <c r="AT23" s="550">
        <f t="shared" si="28"/>
        <v>0</v>
      </c>
      <c r="AU23" s="550">
        <f t="shared" si="28"/>
        <v>1543028</v>
      </c>
      <c r="AV23" s="550">
        <f t="shared" si="28"/>
        <v>91303</v>
      </c>
      <c r="AW23" s="550">
        <f t="shared" si="28"/>
        <v>42820</v>
      </c>
      <c r="AX23" s="551">
        <f t="shared" si="28"/>
        <v>10.6312</v>
      </c>
      <c r="AY23" s="551">
        <f t="shared" si="28"/>
        <v>6.5</v>
      </c>
      <c r="AZ23" s="44">
        <f t="shared" si="28"/>
        <v>4.1311999999999998</v>
      </c>
    </row>
    <row r="24" spans="1:52" ht="13.5" customHeight="1" x14ac:dyDescent="0.2">
      <c r="A24" s="220">
        <v>4</v>
      </c>
      <c r="B24" s="221">
        <v>3456</v>
      </c>
      <c r="C24" s="221">
        <v>600029051</v>
      </c>
      <c r="D24" s="221">
        <v>75125439</v>
      </c>
      <c r="E24" s="219" t="s">
        <v>127</v>
      </c>
      <c r="F24" s="221">
        <v>3233</v>
      </c>
      <c r="G24" s="222" t="s">
        <v>319</v>
      </c>
      <c r="H24" s="223" t="s">
        <v>279</v>
      </c>
      <c r="I24" s="494">
        <v>3302809</v>
      </c>
      <c r="J24" s="489">
        <v>2300811</v>
      </c>
      <c r="K24" s="489">
        <v>130000</v>
      </c>
      <c r="L24" s="489">
        <v>821614</v>
      </c>
      <c r="M24" s="489">
        <v>46016</v>
      </c>
      <c r="N24" s="489">
        <v>4368</v>
      </c>
      <c r="O24" s="490">
        <v>5.07</v>
      </c>
      <c r="P24" s="491">
        <v>3.2800000000000002</v>
      </c>
      <c r="Q24" s="500">
        <v>1.79</v>
      </c>
      <c r="R24" s="502">
        <f t="shared" si="2"/>
        <v>0</v>
      </c>
      <c r="S24" s="492">
        <v>0</v>
      </c>
      <c r="T24" s="492">
        <v>0</v>
      </c>
      <c r="U24" s="492">
        <v>0</v>
      </c>
      <c r="V24" s="492">
        <f t="shared" si="3"/>
        <v>0</v>
      </c>
      <c r="W24" s="492">
        <v>0</v>
      </c>
      <c r="X24" s="492">
        <v>0</v>
      </c>
      <c r="Y24" s="492">
        <v>0</v>
      </c>
      <c r="Z24" s="492">
        <f t="shared" si="4"/>
        <v>0</v>
      </c>
      <c r="AA24" s="492">
        <f t="shared" si="5"/>
        <v>0</v>
      </c>
      <c r="AB24" s="74">
        <f t="shared" si="6"/>
        <v>0</v>
      </c>
      <c r="AC24" s="74">
        <f t="shared" si="7"/>
        <v>0</v>
      </c>
      <c r="AD24" s="492">
        <v>0</v>
      </c>
      <c r="AE24" s="492">
        <v>25662</v>
      </c>
      <c r="AF24" s="492">
        <f t="shared" si="8"/>
        <v>25662</v>
      </c>
      <c r="AG24" s="492">
        <f t="shared" si="9"/>
        <v>25662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>AH24+AJ24+AM24+AK24</f>
        <v>0</v>
      </c>
      <c r="AP24" s="493">
        <f>AI24+AN24+AL24</f>
        <v>0</v>
      </c>
      <c r="AQ24" s="495">
        <f t="shared" si="15"/>
        <v>0</v>
      </c>
      <c r="AR24" s="501">
        <f t="shared" si="11"/>
        <v>3328471</v>
      </c>
      <c r="AS24" s="492">
        <f t="shared" si="12"/>
        <v>2300811</v>
      </c>
      <c r="AT24" s="492">
        <f>K24+Z24</f>
        <v>130000</v>
      </c>
      <c r="AU24" s="492">
        <f>L24+AB24</f>
        <v>821614</v>
      </c>
      <c r="AV24" s="492">
        <f>M24+AC24</f>
        <v>46016</v>
      </c>
      <c r="AW24" s="492">
        <f t="shared" si="13"/>
        <v>30030</v>
      </c>
      <c r="AX24" s="493">
        <f t="shared" si="14"/>
        <v>5.07</v>
      </c>
      <c r="AY24" s="493">
        <f>P24+AO24</f>
        <v>3.2800000000000002</v>
      </c>
      <c r="AZ24" s="495">
        <f>Q24+AP24</f>
        <v>1.79</v>
      </c>
    </row>
    <row r="25" spans="1:52" ht="13.5" customHeight="1" x14ac:dyDescent="0.2">
      <c r="A25" s="166">
        <v>4</v>
      </c>
      <c r="B25" s="20">
        <v>3456</v>
      </c>
      <c r="C25" s="20">
        <v>600029051</v>
      </c>
      <c r="D25" s="20">
        <v>75125439</v>
      </c>
      <c r="E25" s="175" t="s">
        <v>128</v>
      </c>
      <c r="F25" s="20"/>
      <c r="G25" s="165"/>
      <c r="H25" s="199"/>
      <c r="I25" s="553">
        <v>3302809</v>
      </c>
      <c r="J25" s="550">
        <v>2300811</v>
      </c>
      <c r="K25" s="550">
        <v>130000</v>
      </c>
      <c r="L25" s="550">
        <v>821614</v>
      </c>
      <c r="M25" s="550">
        <v>46016</v>
      </c>
      <c r="N25" s="550">
        <v>4368</v>
      </c>
      <c r="O25" s="551">
        <v>5.07</v>
      </c>
      <c r="P25" s="551">
        <v>3.2800000000000002</v>
      </c>
      <c r="Q25" s="555">
        <v>1.79</v>
      </c>
      <c r="R25" s="553">
        <f t="shared" ref="R25:AZ25" si="29">SUM(R24)</f>
        <v>0</v>
      </c>
      <c r="S25" s="550">
        <f t="shared" si="29"/>
        <v>0</v>
      </c>
      <c r="T25" s="550">
        <f t="shared" si="29"/>
        <v>0</v>
      </c>
      <c r="U25" s="550">
        <f t="shared" si="29"/>
        <v>0</v>
      </c>
      <c r="V25" s="550">
        <f t="shared" si="29"/>
        <v>0</v>
      </c>
      <c r="W25" s="550">
        <f t="shared" si="29"/>
        <v>0</v>
      </c>
      <c r="X25" s="550">
        <f t="shared" si="29"/>
        <v>0</v>
      </c>
      <c r="Y25" s="550">
        <f t="shared" si="29"/>
        <v>0</v>
      </c>
      <c r="Z25" s="550">
        <f t="shared" si="29"/>
        <v>0</v>
      </c>
      <c r="AA25" s="550">
        <f t="shared" si="29"/>
        <v>0</v>
      </c>
      <c r="AB25" s="550">
        <f t="shared" si="29"/>
        <v>0</v>
      </c>
      <c r="AC25" s="550">
        <f t="shared" si="29"/>
        <v>0</v>
      </c>
      <c r="AD25" s="550">
        <f t="shared" si="29"/>
        <v>0</v>
      </c>
      <c r="AE25" s="550">
        <f t="shared" si="29"/>
        <v>25662</v>
      </c>
      <c r="AF25" s="550">
        <f t="shared" si="29"/>
        <v>25662</v>
      </c>
      <c r="AG25" s="550">
        <f t="shared" si="29"/>
        <v>25662</v>
      </c>
      <c r="AH25" s="551">
        <f t="shared" si="29"/>
        <v>0</v>
      </c>
      <c r="AI25" s="551">
        <f t="shared" si="29"/>
        <v>0</v>
      </c>
      <c r="AJ25" s="551">
        <f t="shared" si="29"/>
        <v>0</v>
      </c>
      <c r="AK25" s="551">
        <f t="shared" si="29"/>
        <v>0</v>
      </c>
      <c r="AL25" s="551">
        <f t="shared" si="29"/>
        <v>0</v>
      </c>
      <c r="AM25" s="551">
        <f t="shared" si="29"/>
        <v>0</v>
      </c>
      <c r="AN25" s="551">
        <f t="shared" si="29"/>
        <v>0</v>
      </c>
      <c r="AO25" s="551">
        <f t="shared" si="29"/>
        <v>0</v>
      </c>
      <c r="AP25" s="551">
        <f t="shared" si="29"/>
        <v>0</v>
      </c>
      <c r="AQ25" s="44">
        <f t="shared" si="29"/>
        <v>0</v>
      </c>
      <c r="AR25" s="557">
        <f t="shared" si="29"/>
        <v>3328471</v>
      </c>
      <c r="AS25" s="550">
        <f t="shared" si="29"/>
        <v>2300811</v>
      </c>
      <c r="AT25" s="550">
        <f t="shared" si="29"/>
        <v>130000</v>
      </c>
      <c r="AU25" s="550">
        <f t="shared" si="29"/>
        <v>821614</v>
      </c>
      <c r="AV25" s="550">
        <f t="shared" si="29"/>
        <v>46016</v>
      </c>
      <c r="AW25" s="550">
        <f t="shared" si="29"/>
        <v>30030</v>
      </c>
      <c r="AX25" s="551">
        <f t="shared" si="29"/>
        <v>5.07</v>
      </c>
      <c r="AY25" s="551">
        <f t="shared" si="29"/>
        <v>3.2800000000000002</v>
      </c>
      <c r="AZ25" s="44">
        <f t="shared" si="29"/>
        <v>1.79</v>
      </c>
    </row>
    <row r="26" spans="1:52" ht="13.5" customHeight="1" x14ac:dyDescent="0.2">
      <c r="A26" s="220">
        <v>5</v>
      </c>
      <c r="B26" s="221">
        <v>3447</v>
      </c>
      <c r="C26" s="221">
        <v>600078531</v>
      </c>
      <c r="D26" s="221">
        <v>70694982</v>
      </c>
      <c r="E26" s="219" t="s">
        <v>129</v>
      </c>
      <c r="F26" s="221">
        <v>3113</v>
      </c>
      <c r="G26" s="222" t="s">
        <v>315</v>
      </c>
      <c r="H26" s="223" t="s">
        <v>278</v>
      </c>
      <c r="I26" s="494">
        <v>17816057</v>
      </c>
      <c r="J26" s="489">
        <v>12864549</v>
      </c>
      <c r="K26" s="489">
        <v>0</v>
      </c>
      <c r="L26" s="489">
        <v>4348218</v>
      </c>
      <c r="M26" s="489">
        <v>257290</v>
      </c>
      <c r="N26" s="489">
        <v>346000</v>
      </c>
      <c r="O26" s="490">
        <v>23.293700000000001</v>
      </c>
      <c r="P26" s="491">
        <v>17.636600000000001</v>
      </c>
      <c r="Q26" s="500">
        <v>5.6570999999999998</v>
      </c>
      <c r="R26" s="502">
        <f t="shared" si="2"/>
        <v>0</v>
      </c>
      <c r="S26" s="492">
        <v>0</v>
      </c>
      <c r="T26" s="492">
        <v>0</v>
      </c>
      <c r="U26" s="492">
        <v>0</v>
      </c>
      <c r="V26" s="492">
        <f t="shared" si="3"/>
        <v>0</v>
      </c>
      <c r="W26" s="492">
        <v>0</v>
      </c>
      <c r="X26" s="492">
        <v>0</v>
      </c>
      <c r="Y26" s="492">
        <v>0</v>
      </c>
      <c r="Z26" s="492">
        <f t="shared" si="4"/>
        <v>0</v>
      </c>
      <c r="AA26" s="492">
        <f t="shared" si="5"/>
        <v>0</v>
      </c>
      <c r="AB26" s="74">
        <f t="shared" si="6"/>
        <v>0</v>
      </c>
      <c r="AC26" s="74">
        <f t="shared" si="7"/>
        <v>0</v>
      </c>
      <c r="AD26" s="492">
        <v>0</v>
      </c>
      <c r="AE26" s="492">
        <v>0</v>
      </c>
      <c r="AF26" s="492">
        <f t="shared" si="8"/>
        <v>0</v>
      </c>
      <c r="AG26" s="492">
        <f t="shared" si="9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ref="AO26:AO31" si="30">AH26+AJ26+AM26+AK26</f>
        <v>0</v>
      </c>
      <c r="AP26" s="493">
        <f t="shared" ref="AP26:AP31" si="31">AI26+AN26+AL26</f>
        <v>0</v>
      </c>
      <c r="AQ26" s="495">
        <f t="shared" si="15"/>
        <v>0</v>
      </c>
      <c r="AR26" s="501">
        <f t="shared" si="11"/>
        <v>17816057</v>
      </c>
      <c r="AS26" s="492">
        <f t="shared" si="12"/>
        <v>12864549</v>
      </c>
      <c r="AT26" s="492">
        <f t="shared" ref="AT26:AT31" si="32">K26+Z26</f>
        <v>0</v>
      </c>
      <c r="AU26" s="492">
        <f t="shared" ref="AU26:AV31" si="33">L26+AB26</f>
        <v>4348218</v>
      </c>
      <c r="AV26" s="492">
        <f t="shared" si="33"/>
        <v>257290</v>
      </c>
      <c r="AW26" s="492">
        <f t="shared" si="13"/>
        <v>346000</v>
      </c>
      <c r="AX26" s="493">
        <f t="shared" si="14"/>
        <v>23.293700000000001</v>
      </c>
      <c r="AY26" s="493">
        <f t="shared" ref="AY26:AZ31" si="34">P26+AO26</f>
        <v>17.636600000000001</v>
      </c>
      <c r="AZ26" s="495">
        <f t="shared" si="34"/>
        <v>5.6570999999999998</v>
      </c>
    </row>
    <row r="27" spans="1:52" ht="13.5" customHeight="1" x14ac:dyDescent="0.2">
      <c r="A27" s="220">
        <v>5</v>
      </c>
      <c r="B27" s="221">
        <v>3447</v>
      </c>
      <c r="C27" s="221">
        <v>600078531</v>
      </c>
      <c r="D27" s="221">
        <v>70694982</v>
      </c>
      <c r="E27" s="219" t="s">
        <v>129</v>
      </c>
      <c r="F27" s="221">
        <v>3113</v>
      </c>
      <c r="G27" s="222" t="s">
        <v>314</v>
      </c>
      <c r="H27" s="223" t="s">
        <v>278</v>
      </c>
      <c r="I27" s="494">
        <v>452092</v>
      </c>
      <c r="J27" s="489">
        <v>332910</v>
      </c>
      <c r="K27" s="489">
        <v>0</v>
      </c>
      <c r="L27" s="489">
        <v>112524</v>
      </c>
      <c r="M27" s="489">
        <v>6658</v>
      </c>
      <c r="N27" s="489">
        <v>0</v>
      </c>
      <c r="O27" s="490">
        <v>0.75</v>
      </c>
      <c r="P27" s="491">
        <v>0.75</v>
      </c>
      <c r="Q27" s="500">
        <v>0</v>
      </c>
      <c r="R27" s="502">
        <f t="shared" si="2"/>
        <v>0</v>
      </c>
      <c r="S27" s="492">
        <v>0</v>
      </c>
      <c r="T27" s="492">
        <v>0</v>
      </c>
      <c r="U27" s="492">
        <v>0</v>
      </c>
      <c r="V27" s="492">
        <f t="shared" si="3"/>
        <v>0</v>
      </c>
      <c r="W27" s="492">
        <v>0</v>
      </c>
      <c r="X27" s="492">
        <v>0</v>
      </c>
      <c r="Y27" s="492">
        <v>0</v>
      </c>
      <c r="Z27" s="492">
        <f t="shared" si="4"/>
        <v>0</v>
      </c>
      <c r="AA27" s="492">
        <f t="shared" si="5"/>
        <v>0</v>
      </c>
      <c r="AB27" s="74">
        <f t="shared" si="6"/>
        <v>0</v>
      </c>
      <c r="AC27" s="74">
        <f t="shared" si="7"/>
        <v>0</v>
      </c>
      <c r="AD27" s="492">
        <v>0</v>
      </c>
      <c r="AE27" s="492">
        <v>0</v>
      </c>
      <c r="AF27" s="492">
        <f t="shared" si="8"/>
        <v>0</v>
      </c>
      <c r="AG27" s="492">
        <f t="shared" si="9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si="30"/>
        <v>0</v>
      </c>
      <c r="AP27" s="493">
        <f t="shared" si="31"/>
        <v>0</v>
      </c>
      <c r="AQ27" s="495">
        <f t="shared" si="15"/>
        <v>0</v>
      </c>
      <c r="AR27" s="501">
        <f t="shared" si="11"/>
        <v>452092</v>
      </c>
      <c r="AS27" s="492">
        <f t="shared" si="12"/>
        <v>332910</v>
      </c>
      <c r="AT27" s="492">
        <f t="shared" si="32"/>
        <v>0</v>
      </c>
      <c r="AU27" s="492">
        <f t="shared" si="33"/>
        <v>112524</v>
      </c>
      <c r="AV27" s="492">
        <f t="shared" si="33"/>
        <v>6658</v>
      </c>
      <c r="AW27" s="492">
        <f t="shared" si="13"/>
        <v>0</v>
      </c>
      <c r="AX27" s="493">
        <f t="shared" si="14"/>
        <v>0.75</v>
      </c>
      <c r="AY27" s="493">
        <f t="shared" si="34"/>
        <v>0.75</v>
      </c>
      <c r="AZ27" s="495">
        <f t="shared" si="34"/>
        <v>0</v>
      </c>
    </row>
    <row r="28" spans="1:52" ht="13.5" customHeight="1" x14ac:dyDescent="0.2">
      <c r="A28" s="220">
        <v>5</v>
      </c>
      <c r="B28" s="221">
        <v>3447</v>
      </c>
      <c r="C28" s="221">
        <v>600078531</v>
      </c>
      <c r="D28" s="221">
        <v>70694982</v>
      </c>
      <c r="E28" s="219" t="s">
        <v>129</v>
      </c>
      <c r="F28" s="221">
        <v>3113</v>
      </c>
      <c r="G28" s="222" t="s">
        <v>320</v>
      </c>
      <c r="H28" s="223" t="s">
        <v>279</v>
      </c>
      <c r="I28" s="494">
        <v>1717637</v>
      </c>
      <c r="J28" s="489">
        <v>1264828</v>
      </c>
      <c r="K28" s="489">
        <v>0</v>
      </c>
      <c r="L28" s="489">
        <v>427512</v>
      </c>
      <c r="M28" s="489">
        <v>25297</v>
      </c>
      <c r="N28" s="489">
        <v>0</v>
      </c>
      <c r="O28" s="490">
        <v>3.52</v>
      </c>
      <c r="P28" s="491">
        <v>3.52</v>
      </c>
      <c r="Q28" s="500">
        <v>0</v>
      </c>
      <c r="R28" s="502">
        <f t="shared" si="2"/>
        <v>0</v>
      </c>
      <c r="S28" s="492">
        <v>0</v>
      </c>
      <c r="T28" s="492">
        <v>0</v>
      </c>
      <c r="U28" s="492">
        <v>0</v>
      </c>
      <c r="V28" s="492">
        <f t="shared" si="3"/>
        <v>0</v>
      </c>
      <c r="W28" s="492">
        <v>0</v>
      </c>
      <c r="X28" s="492">
        <v>0</v>
      </c>
      <c r="Y28" s="492">
        <v>0</v>
      </c>
      <c r="Z28" s="492">
        <f t="shared" si="4"/>
        <v>0</v>
      </c>
      <c r="AA28" s="492">
        <f t="shared" si="5"/>
        <v>0</v>
      </c>
      <c r="AB28" s="74">
        <f t="shared" si="6"/>
        <v>0</v>
      </c>
      <c r="AC28" s="74">
        <f t="shared" si="7"/>
        <v>0</v>
      </c>
      <c r="AD28" s="492">
        <v>0</v>
      </c>
      <c r="AE28" s="492">
        <v>0</v>
      </c>
      <c r="AF28" s="492">
        <f t="shared" si="8"/>
        <v>0</v>
      </c>
      <c r="AG28" s="492">
        <f t="shared" si="9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si="30"/>
        <v>0</v>
      </c>
      <c r="AP28" s="493">
        <f t="shared" si="31"/>
        <v>0</v>
      </c>
      <c r="AQ28" s="495">
        <f t="shared" si="15"/>
        <v>0</v>
      </c>
      <c r="AR28" s="501">
        <f t="shared" si="11"/>
        <v>1717637</v>
      </c>
      <c r="AS28" s="492">
        <f t="shared" si="12"/>
        <v>1264828</v>
      </c>
      <c r="AT28" s="492">
        <f t="shared" si="32"/>
        <v>0</v>
      </c>
      <c r="AU28" s="492">
        <f t="shared" si="33"/>
        <v>427512</v>
      </c>
      <c r="AV28" s="492">
        <f t="shared" si="33"/>
        <v>25297</v>
      </c>
      <c r="AW28" s="492">
        <f t="shared" si="13"/>
        <v>0</v>
      </c>
      <c r="AX28" s="493">
        <f t="shared" si="14"/>
        <v>3.52</v>
      </c>
      <c r="AY28" s="493">
        <f t="shared" si="34"/>
        <v>3.52</v>
      </c>
      <c r="AZ28" s="495">
        <f t="shared" si="34"/>
        <v>0</v>
      </c>
    </row>
    <row r="29" spans="1:52" ht="13.5" customHeight="1" x14ac:dyDescent="0.2">
      <c r="A29" s="220">
        <v>5</v>
      </c>
      <c r="B29" s="221">
        <v>3447</v>
      </c>
      <c r="C29" s="221">
        <v>600078531</v>
      </c>
      <c r="D29" s="221">
        <v>70694982</v>
      </c>
      <c r="E29" s="219" t="s">
        <v>129</v>
      </c>
      <c r="F29" s="221">
        <v>3141</v>
      </c>
      <c r="G29" s="222" t="s">
        <v>316</v>
      </c>
      <c r="H29" s="223" t="s">
        <v>279</v>
      </c>
      <c r="I29" s="494">
        <v>1538579</v>
      </c>
      <c r="J29" s="489">
        <v>1120419</v>
      </c>
      <c r="K29" s="489">
        <v>3900</v>
      </c>
      <c r="L29" s="489">
        <v>380020</v>
      </c>
      <c r="M29" s="489">
        <v>22408</v>
      </c>
      <c r="N29" s="489">
        <v>11832</v>
      </c>
      <c r="O29" s="490">
        <v>3.54</v>
      </c>
      <c r="P29" s="491">
        <v>0</v>
      </c>
      <c r="Q29" s="500">
        <v>3.54</v>
      </c>
      <c r="R29" s="502">
        <f t="shared" si="2"/>
        <v>0</v>
      </c>
      <c r="S29" s="492">
        <v>0</v>
      </c>
      <c r="T29" s="492">
        <v>0</v>
      </c>
      <c r="U29" s="492">
        <v>0</v>
      </c>
      <c r="V29" s="492">
        <f t="shared" si="3"/>
        <v>0</v>
      </c>
      <c r="W29" s="492">
        <v>0</v>
      </c>
      <c r="X29" s="492">
        <v>0</v>
      </c>
      <c r="Y29" s="492">
        <v>0</v>
      </c>
      <c r="Z29" s="492">
        <f t="shared" si="4"/>
        <v>0</v>
      </c>
      <c r="AA29" s="492">
        <f t="shared" si="5"/>
        <v>0</v>
      </c>
      <c r="AB29" s="74">
        <f t="shared" si="6"/>
        <v>0</v>
      </c>
      <c r="AC29" s="74">
        <f t="shared" si="7"/>
        <v>0</v>
      </c>
      <c r="AD29" s="492">
        <v>0</v>
      </c>
      <c r="AE29" s="492">
        <v>0</v>
      </c>
      <c r="AF29" s="492">
        <f t="shared" si="8"/>
        <v>0</v>
      </c>
      <c r="AG29" s="492">
        <f t="shared" si="9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30"/>
        <v>0</v>
      </c>
      <c r="AP29" s="493">
        <f t="shared" si="31"/>
        <v>0</v>
      </c>
      <c r="AQ29" s="495">
        <f t="shared" si="15"/>
        <v>0</v>
      </c>
      <c r="AR29" s="501">
        <f t="shared" si="11"/>
        <v>1538579</v>
      </c>
      <c r="AS29" s="492">
        <f t="shared" si="12"/>
        <v>1120419</v>
      </c>
      <c r="AT29" s="492">
        <f t="shared" si="32"/>
        <v>3900</v>
      </c>
      <c r="AU29" s="492">
        <f t="shared" si="33"/>
        <v>380020</v>
      </c>
      <c r="AV29" s="492">
        <f t="shared" si="33"/>
        <v>22408</v>
      </c>
      <c r="AW29" s="492">
        <f t="shared" si="13"/>
        <v>11832</v>
      </c>
      <c r="AX29" s="493">
        <f t="shared" si="14"/>
        <v>3.54</v>
      </c>
      <c r="AY29" s="493">
        <f t="shared" si="34"/>
        <v>0</v>
      </c>
      <c r="AZ29" s="495">
        <f t="shared" si="34"/>
        <v>3.54</v>
      </c>
    </row>
    <row r="30" spans="1:52" ht="13.5" customHeight="1" x14ac:dyDescent="0.2">
      <c r="A30" s="220">
        <v>5</v>
      </c>
      <c r="B30" s="221">
        <v>3447</v>
      </c>
      <c r="C30" s="221">
        <v>600078531</v>
      </c>
      <c r="D30" s="221">
        <v>70694982</v>
      </c>
      <c r="E30" s="219" t="s">
        <v>129</v>
      </c>
      <c r="F30" s="221">
        <v>3143</v>
      </c>
      <c r="G30" s="222" t="s">
        <v>629</v>
      </c>
      <c r="H30" s="243" t="s">
        <v>278</v>
      </c>
      <c r="I30" s="494">
        <v>1570752</v>
      </c>
      <c r="J30" s="489">
        <v>1150902</v>
      </c>
      <c r="K30" s="489">
        <v>5850</v>
      </c>
      <c r="L30" s="489">
        <v>390982</v>
      </c>
      <c r="M30" s="489">
        <v>23018</v>
      </c>
      <c r="N30" s="489">
        <v>0</v>
      </c>
      <c r="O30" s="490">
        <v>2.5</v>
      </c>
      <c r="P30" s="491">
        <v>2.5</v>
      </c>
      <c r="Q30" s="500">
        <v>0</v>
      </c>
      <c r="R30" s="502">
        <f t="shared" si="2"/>
        <v>0</v>
      </c>
      <c r="S30" s="492">
        <v>0</v>
      </c>
      <c r="T30" s="492">
        <v>0</v>
      </c>
      <c r="U30" s="492">
        <v>0</v>
      </c>
      <c r="V30" s="492">
        <f t="shared" si="3"/>
        <v>0</v>
      </c>
      <c r="W30" s="492">
        <v>0</v>
      </c>
      <c r="X30" s="492">
        <v>0</v>
      </c>
      <c r="Y30" s="492">
        <v>0</v>
      </c>
      <c r="Z30" s="492">
        <f t="shared" si="4"/>
        <v>0</v>
      </c>
      <c r="AA30" s="492">
        <f t="shared" si="5"/>
        <v>0</v>
      </c>
      <c r="AB30" s="74">
        <f t="shared" si="6"/>
        <v>0</v>
      </c>
      <c r="AC30" s="74">
        <f t="shared" si="7"/>
        <v>0</v>
      </c>
      <c r="AD30" s="492">
        <v>0</v>
      </c>
      <c r="AE30" s="492">
        <v>0</v>
      </c>
      <c r="AF30" s="492">
        <f t="shared" si="8"/>
        <v>0</v>
      </c>
      <c r="AG30" s="492">
        <f t="shared" si="9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si="30"/>
        <v>0</v>
      </c>
      <c r="AP30" s="493">
        <f t="shared" si="31"/>
        <v>0</v>
      </c>
      <c r="AQ30" s="495">
        <f t="shared" si="15"/>
        <v>0</v>
      </c>
      <c r="AR30" s="501">
        <f t="shared" si="11"/>
        <v>1570752</v>
      </c>
      <c r="AS30" s="492">
        <f t="shared" si="12"/>
        <v>1150902</v>
      </c>
      <c r="AT30" s="492">
        <f t="shared" si="32"/>
        <v>5850</v>
      </c>
      <c r="AU30" s="492">
        <f t="shared" si="33"/>
        <v>390982</v>
      </c>
      <c r="AV30" s="492">
        <f t="shared" si="33"/>
        <v>23018</v>
      </c>
      <c r="AW30" s="492">
        <f t="shared" si="13"/>
        <v>0</v>
      </c>
      <c r="AX30" s="493">
        <f t="shared" si="14"/>
        <v>2.5</v>
      </c>
      <c r="AY30" s="493">
        <f t="shared" si="34"/>
        <v>2.5</v>
      </c>
      <c r="AZ30" s="495">
        <f t="shared" si="34"/>
        <v>0</v>
      </c>
    </row>
    <row r="31" spans="1:52" ht="13.5" customHeight="1" x14ac:dyDescent="0.2">
      <c r="A31" s="220">
        <v>5</v>
      </c>
      <c r="B31" s="221">
        <v>3447</v>
      </c>
      <c r="C31" s="221">
        <v>600078531</v>
      </c>
      <c r="D31" s="221">
        <v>70694982</v>
      </c>
      <c r="E31" s="219" t="s">
        <v>129</v>
      </c>
      <c r="F31" s="221">
        <v>3143</v>
      </c>
      <c r="G31" s="222" t="s">
        <v>630</v>
      </c>
      <c r="H31" s="243" t="s">
        <v>279</v>
      </c>
      <c r="I31" s="494">
        <v>45361</v>
      </c>
      <c r="J31" s="489">
        <v>32077</v>
      </c>
      <c r="K31" s="489">
        <v>0</v>
      </c>
      <c r="L31" s="489">
        <v>10842</v>
      </c>
      <c r="M31" s="489">
        <v>642</v>
      </c>
      <c r="N31" s="489">
        <v>1800</v>
      </c>
      <c r="O31" s="490">
        <v>0.13</v>
      </c>
      <c r="P31" s="491">
        <v>0</v>
      </c>
      <c r="Q31" s="500">
        <v>0.13</v>
      </c>
      <c r="R31" s="502">
        <f t="shared" si="2"/>
        <v>0</v>
      </c>
      <c r="S31" s="492">
        <v>0</v>
      </c>
      <c r="T31" s="492">
        <v>0</v>
      </c>
      <c r="U31" s="492">
        <v>0</v>
      </c>
      <c r="V31" s="492">
        <f t="shared" si="3"/>
        <v>0</v>
      </c>
      <c r="W31" s="492">
        <v>0</v>
      </c>
      <c r="X31" s="492">
        <v>0</v>
      </c>
      <c r="Y31" s="492">
        <v>0</v>
      </c>
      <c r="Z31" s="492">
        <f t="shared" si="4"/>
        <v>0</v>
      </c>
      <c r="AA31" s="492">
        <f t="shared" si="5"/>
        <v>0</v>
      </c>
      <c r="AB31" s="74">
        <f t="shared" si="6"/>
        <v>0</v>
      </c>
      <c r="AC31" s="74">
        <f t="shared" si="7"/>
        <v>0</v>
      </c>
      <c r="AD31" s="492">
        <v>0</v>
      </c>
      <c r="AE31" s="492">
        <v>0</v>
      </c>
      <c r="AF31" s="492">
        <f t="shared" si="8"/>
        <v>0</v>
      </c>
      <c r="AG31" s="492">
        <f t="shared" si="9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si="30"/>
        <v>0</v>
      </c>
      <c r="AP31" s="493">
        <f t="shared" si="31"/>
        <v>0</v>
      </c>
      <c r="AQ31" s="495">
        <f t="shared" si="15"/>
        <v>0</v>
      </c>
      <c r="AR31" s="501">
        <f t="shared" si="11"/>
        <v>45361</v>
      </c>
      <c r="AS31" s="492">
        <f t="shared" si="12"/>
        <v>32077</v>
      </c>
      <c r="AT31" s="492">
        <f t="shared" si="32"/>
        <v>0</v>
      </c>
      <c r="AU31" s="492">
        <f t="shared" si="33"/>
        <v>10842</v>
      </c>
      <c r="AV31" s="492">
        <f t="shared" si="33"/>
        <v>642</v>
      </c>
      <c r="AW31" s="492">
        <f t="shared" si="13"/>
        <v>1800</v>
      </c>
      <c r="AX31" s="493">
        <f t="shared" si="14"/>
        <v>0.13</v>
      </c>
      <c r="AY31" s="493">
        <f t="shared" si="34"/>
        <v>0</v>
      </c>
      <c r="AZ31" s="495">
        <f t="shared" si="34"/>
        <v>0.13</v>
      </c>
    </row>
    <row r="32" spans="1:52" ht="13.5" customHeight="1" x14ac:dyDescent="0.2">
      <c r="A32" s="166">
        <v>5</v>
      </c>
      <c r="B32" s="20">
        <v>3447</v>
      </c>
      <c r="C32" s="20">
        <v>600078531</v>
      </c>
      <c r="D32" s="20">
        <v>70694982</v>
      </c>
      <c r="E32" s="175" t="s">
        <v>130</v>
      </c>
      <c r="F32" s="20"/>
      <c r="G32" s="165"/>
      <c r="H32" s="199"/>
      <c r="I32" s="553">
        <v>23140478</v>
      </c>
      <c r="J32" s="550">
        <v>16765685</v>
      </c>
      <c r="K32" s="550">
        <v>9750</v>
      </c>
      <c r="L32" s="550">
        <v>5670098</v>
      </c>
      <c r="M32" s="550">
        <v>335313</v>
      </c>
      <c r="N32" s="550">
        <v>359632</v>
      </c>
      <c r="O32" s="551">
        <v>33.733700000000006</v>
      </c>
      <c r="P32" s="551">
        <v>24.406600000000001</v>
      </c>
      <c r="Q32" s="555">
        <v>9.3270999999999997</v>
      </c>
      <c r="R32" s="553">
        <f t="shared" ref="R32:AZ32" si="35">SUM(R26:R31)</f>
        <v>0</v>
      </c>
      <c r="S32" s="550">
        <f t="shared" si="35"/>
        <v>0</v>
      </c>
      <c r="T32" s="550">
        <f t="shared" si="35"/>
        <v>0</v>
      </c>
      <c r="U32" s="550">
        <f t="shared" si="35"/>
        <v>0</v>
      </c>
      <c r="V32" s="550">
        <f t="shared" si="35"/>
        <v>0</v>
      </c>
      <c r="W32" s="550">
        <f t="shared" si="35"/>
        <v>0</v>
      </c>
      <c r="X32" s="550">
        <f t="shared" si="35"/>
        <v>0</v>
      </c>
      <c r="Y32" s="550">
        <f t="shared" si="35"/>
        <v>0</v>
      </c>
      <c r="Z32" s="550">
        <f t="shared" si="35"/>
        <v>0</v>
      </c>
      <c r="AA32" s="550">
        <f t="shared" si="35"/>
        <v>0</v>
      </c>
      <c r="AB32" s="550">
        <f t="shared" si="35"/>
        <v>0</v>
      </c>
      <c r="AC32" s="550">
        <f t="shared" si="35"/>
        <v>0</v>
      </c>
      <c r="AD32" s="550">
        <f t="shared" si="35"/>
        <v>0</v>
      </c>
      <c r="AE32" s="550">
        <f t="shared" si="35"/>
        <v>0</v>
      </c>
      <c r="AF32" s="550">
        <f t="shared" si="35"/>
        <v>0</v>
      </c>
      <c r="AG32" s="550">
        <f t="shared" si="35"/>
        <v>0</v>
      </c>
      <c r="AH32" s="551">
        <f t="shared" si="35"/>
        <v>0</v>
      </c>
      <c r="AI32" s="551">
        <f t="shared" si="35"/>
        <v>0</v>
      </c>
      <c r="AJ32" s="551">
        <f t="shared" si="35"/>
        <v>0</v>
      </c>
      <c r="AK32" s="551">
        <f t="shared" si="35"/>
        <v>0</v>
      </c>
      <c r="AL32" s="551">
        <f t="shared" si="35"/>
        <v>0</v>
      </c>
      <c r="AM32" s="551">
        <f t="shared" si="35"/>
        <v>0</v>
      </c>
      <c r="AN32" s="551">
        <f t="shared" si="35"/>
        <v>0</v>
      </c>
      <c r="AO32" s="551">
        <f t="shared" si="35"/>
        <v>0</v>
      </c>
      <c r="AP32" s="551">
        <f t="shared" si="35"/>
        <v>0</v>
      </c>
      <c r="AQ32" s="44">
        <f t="shared" si="35"/>
        <v>0</v>
      </c>
      <c r="AR32" s="557">
        <f t="shared" si="35"/>
        <v>23140478</v>
      </c>
      <c r="AS32" s="550">
        <f t="shared" si="35"/>
        <v>16765685</v>
      </c>
      <c r="AT32" s="550">
        <f t="shared" si="35"/>
        <v>9750</v>
      </c>
      <c r="AU32" s="550">
        <f t="shared" si="35"/>
        <v>5670098</v>
      </c>
      <c r="AV32" s="550">
        <f t="shared" si="35"/>
        <v>335313</v>
      </c>
      <c r="AW32" s="550">
        <f t="shared" si="35"/>
        <v>359632</v>
      </c>
      <c r="AX32" s="551">
        <f t="shared" si="35"/>
        <v>33.733700000000006</v>
      </c>
      <c r="AY32" s="551">
        <f t="shared" si="35"/>
        <v>24.406600000000001</v>
      </c>
      <c r="AZ32" s="44">
        <f t="shared" si="35"/>
        <v>9.3270999999999997</v>
      </c>
    </row>
    <row r="33" spans="1:52" ht="13.5" customHeight="1" x14ac:dyDescent="0.2">
      <c r="A33" s="220">
        <v>6</v>
      </c>
      <c r="B33" s="221">
        <v>3446</v>
      </c>
      <c r="C33" s="221">
        <v>600078515</v>
      </c>
      <c r="D33" s="221">
        <v>70694974</v>
      </c>
      <c r="E33" s="219" t="s">
        <v>131</v>
      </c>
      <c r="F33" s="221">
        <v>3113</v>
      </c>
      <c r="G33" s="222" t="s">
        <v>315</v>
      </c>
      <c r="H33" s="223" t="s">
        <v>278</v>
      </c>
      <c r="I33" s="494">
        <v>25019221</v>
      </c>
      <c r="J33" s="489">
        <v>18022760</v>
      </c>
      <c r="K33" s="489">
        <v>13000</v>
      </c>
      <c r="L33" s="489">
        <v>6096086</v>
      </c>
      <c r="M33" s="489">
        <v>360455</v>
      </c>
      <c r="N33" s="489">
        <v>526920</v>
      </c>
      <c r="O33" s="490">
        <v>33.093699999999998</v>
      </c>
      <c r="P33" s="491">
        <v>25.851900000000001</v>
      </c>
      <c r="Q33" s="500">
        <v>7.2417999999999996</v>
      </c>
      <c r="R33" s="502">
        <f t="shared" si="2"/>
        <v>0</v>
      </c>
      <c r="S33" s="492">
        <v>0</v>
      </c>
      <c r="T33" s="492">
        <v>0</v>
      </c>
      <c r="U33" s="492">
        <v>0</v>
      </c>
      <c r="V33" s="492">
        <f t="shared" si="3"/>
        <v>0</v>
      </c>
      <c r="W33" s="492">
        <v>0</v>
      </c>
      <c r="X33" s="492">
        <v>0</v>
      </c>
      <c r="Y33" s="492">
        <v>0</v>
      </c>
      <c r="Z33" s="492">
        <f t="shared" si="4"/>
        <v>0</v>
      </c>
      <c r="AA33" s="492">
        <f t="shared" si="5"/>
        <v>0</v>
      </c>
      <c r="AB33" s="74">
        <f t="shared" si="6"/>
        <v>0</v>
      </c>
      <c r="AC33" s="74">
        <f t="shared" si="7"/>
        <v>0</v>
      </c>
      <c r="AD33" s="492">
        <v>0</v>
      </c>
      <c r="AE33" s="492">
        <v>0</v>
      </c>
      <c r="AF33" s="492">
        <f t="shared" si="8"/>
        <v>0</v>
      </c>
      <c r="AG33" s="492">
        <f t="shared" si="9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ref="AO33:AO37" si="36">AH33+AJ33+AM33+AK33</f>
        <v>0</v>
      </c>
      <c r="AP33" s="493">
        <f t="shared" ref="AP33:AP37" si="37">AI33+AN33+AL33</f>
        <v>0</v>
      </c>
      <c r="AQ33" s="495">
        <f t="shared" si="15"/>
        <v>0</v>
      </c>
      <c r="AR33" s="501">
        <f t="shared" si="11"/>
        <v>25019221</v>
      </c>
      <c r="AS33" s="492">
        <f t="shared" si="12"/>
        <v>18022760</v>
      </c>
      <c r="AT33" s="492">
        <f t="shared" ref="AT33:AT37" si="38">K33+Z33</f>
        <v>13000</v>
      </c>
      <c r="AU33" s="492">
        <f t="shared" ref="AU33:AV37" si="39">L33+AB33</f>
        <v>6096086</v>
      </c>
      <c r="AV33" s="492">
        <f t="shared" si="39"/>
        <v>360455</v>
      </c>
      <c r="AW33" s="492">
        <f t="shared" si="13"/>
        <v>526920</v>
      </c>
      <c r="AX33" s="493">
        <f t="shared" si="14"/>
        <v>33.093699999999998</v>
      </c>
      <c r="AY33" s="493">
        <f t="shared" ref="AY33:AZ37" si="40">P33+AO33</f>
        <v>25.851900000000001</v>
      </c>
      <c r="AZ33" s="495">
        <f t="shared" si="40"/>
        <v>7.2417999999999996</v>
      </c>
    </row>
    <row r="34" spans="1:52" ht="13.5" customHeight="1" x14ac:dyDescent="0.2">
      <c r="A34" s="220">
        <v>6</v>
      </c>
      <c r="B34" s="221">
        <v>3446</v>
      </c>
      <c r="C34" s="221">
        <v>600078515</v>
      </c>
      <c r="D34" s="221">
        <v>70694974</v>
      </c>
      <c r="E34" s="219" t="s">
        <v>131</v>
      </c>
      <c r="F34" s="221">
        <v>3113</v>
      </c>
      <c r="G34" s="222" t="s">
        <v>313</v>
      </c>
      <c r="H34" s="223" t="s">
        <v>279</v>
      </c>
      <c r="I34" s="494">
        <v>1272943</v>
      </c>
      <c r="J34" s="489">
        <v>937366</v>
      </c>
      <c r="K34" s="489">
        <v>0</v>
      </c>
      <c r="L34" s="489">
        <v>316830</v>
      </c>
      <c r="M34" s="489">
        <v>18747</v>
      </c>
      <c r="N34" s="489">
        <v>0</v>
      </c>
      <c r="O34" s="490">
        <v>2.69</v>
      </c>
      <c r="P34" s="491">
        <v>2.69</v>
      </c>
      <c r="Q34" s="500">
        <v>0</v>
      </c>
      <c r="R34" s="502">
        <f t="shared" si="2"/>
        <v>0</v>
      </c>
      <c r="S34" s="492">
        <v>0</v>
      </c>
      <c r="T34" s="492">
        <v>0</v>
      </c>
      <c r="U34" s="492">
        <v>0</v>
      </c>
      <c r="V34" s="492">
        <f t="shared" si="3"/>
        <v>0</v>
      </c>
      <c r="W34" s="492">
        <v>0</v>
      </c>
      <c r="X34" s="492">
        <v>0</v>
      </c>
      <c r="Y34" s="492">
        <v>0</v>
      </c>
      <c r="Z34" s="492">
        <f t="shared" si="4"/>
        <v>0</v>
      </c>
      <c r="AA34" s="492">
        <f t="shared" si="5"/>
        <v>0</v>
      </c>
      <c r="AB34" s="74">
        <f t="shared" si="6"/>
        <v>0</v>
      </c>
      <c r="AC34" s="74">
        <f t="shared" si="7"/>
        <v>0</v>
      </c>
      <c r="AD34" s="492">
        <v>0</v>
      </c>
      <c r="AE34" s="492">
        <v>0</v>
      </c>
      <c r="AF34" s="492">
        <f t="shared" si="8"/>
        <v>0</v>
      </c>
      <c r="AG34" s="492">
        <f t="shared" si="9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36"/>
        <v>0</v>
      </c>
      <c r="AP34" s="493">
        <f t="shared" si="37"/>
        <v>0</v>
      </c>
      <c r="AQ34" s="495">
        <f t="shared" si="15"/>
        <v>0</v>
      </c>
      <c r="AR34" s="501">
        <f t="shared" si="11"/>
        <v>1272943</v>
      </c>
      <c r="AS34" s="492">
        <f t="shared" si="12"/>
        <v>937366</v>
      </c>
      <c r="AT34" s="492">
        <f t="shared" si="38"/>
        <v>0</v>
      </c>
      <c r="AU34" s="492">
        <f t="shared" si="39"/>
        <v>316830</v>
      </c>
      <c r="AV34" s="492">
        <f t="shared" si="39"/>
        <v>18747</v>
      </c>
      <c r="AW34" s="492">
        <f t="shared" si="13"/>
        <v>0</v>
      </c>
      <c r="AX34" s="493">
        <f t="shared" si="14"/>
        <v>2.69</v>
      </c>
      <c r="AY34" s="493">
        <f t="shared" si="40"/>
        <v>2.69</v>
      </c>
      <c r="AZ34" s="495">
        <f t="shared" si="40"/>
        <v>0</v>
      </c>
    </row>
    <row r="35" spans="1:52" ht="13.5" customHeight="1" x14ac:dyDescent="0.2">
      <c r="A35" s="220">
        <v>6</v>
      </c>
      <c r="B35" s="221">
        <v>3446</v>
      </c>
      <c r="C35" s="221">
        <v>600078515</v>
      </c>
      <c r="D35" s="221">
        <v>70694974</v>
      </c>
      <c r="E35" s="219" t="s">
        <v>131</v>
      </c>
      <c r="F35" s="221">
        <v>3141</v>
      </c>
      <c r="G35" s="222" t="s">
        <v>316</v>
      </c>
      <c r="H35" s="223" t="s">
        <v>279</v>
      </c>
      <c r="I35" s="494">
        <v>2201525</v>
      </c>
      <c r="J35" s="489">
        <v>1607485</v>
      </c>
      <c r="K35" s="489">
        <v>0</v>
      </c>
      <c r="L35" s="489">
        <v>543330</v>
      </c>
      <c r="M35" s="489">
        <v>32150</v>
      </c>
      <c r="N35" s="489">
        <v>18560</v>
      </c>
      <c r="O35" s="490">
        <v>5.0599999999999996</v>
      </c>
      <c r="P35" s="491">
        <v>0</v>
      </c>
      <c r="Q35" s="500">
        <v>5.0599999999999996</v>
      </c>
      <c r="R35" s="502">
        <f t="shared" si="2"/>
        <v>0</v>
      </c>
      <c r="S35" s="492">
        <v>0</v>
      </c>
      <c r="T35" s="492">
        <v>0</v>
      </c>
      <c r="U35" s="492">
        <v>0</v>
      </c>
      <c r="V35" s="492">
        <f t="shared" si="3"/>
        <v>0</v>
      </c>
      <c r="W35" s="492">
        <v>0</v>
      </c>
      <c r="X35" s="492">
        <v>0</v>
      </c>
      <c r="Y35" s="492">
        <v>0</v>
      </c>
      <c r="Z35" s="492">
        <f t="shared" si="4"/>
        <v>0</v>
      </c>
      <c r="AA35" s="492">
        <f t="shared" si="5"/>
        <v>0</v>
      </c>
      <c r="AB35" s="74">
        <f t="shared" si="6"/>
        <v>0</v>
      </c>
      <c r="AC35" s="74">
        <f t="shared" si="7"/>
        <v>0</v>
      </c>
      <c r="AD35" s="492">
        <v>0</v>
      </c>
      <c r="AE35" s="492">
        <v>0</v>
      </c>
      <c r="AF35" s="492">
        <f t="shared" si="8"/>
        <v>0</v>
      </c>
      <c r="AG35" s="492">
        <f t="shared" si="9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36"/>
        <v>0</v>
      </c>
      <c r="AP35" s="493">
        <f t="shared" si="37"/>
        <v>0</v>
      </c>
      <c r="AQ35" s="495">
        <f t="shared" si="15"/>
        <v>0</v>
      </c>
      <c r="AR35" s="501">
        <f t="shared" si="11"/>
        <v>2201525</v>
      </c>
      <c r="AS35" s="492">
        <f t="shared" si="12"/>
        <v>1607485</v>
      </c>
      <c r="AT35" s="492">
        <f t="shared" si="38"/>
        <v>0</v>
      </c>
      <c r="AU35" s="492">
        <f t="shared" si="39"/>
        <v>543330</v>
      </c>
      <c r="AV35" s="492">
        <f t="shared" si="39"/>
        <v>32150</v>
      </c>
      <c r="AW35" s="492">
        <f t="shared" si="13"/>
        <v>18560</v>
      </c>
      <c r="AX35" s="493">
        <f t="shared" si="14"/>
        <v>5.0599999999999996</v>
      </c>
      <c r="AY35" s="493">
        <f t="shared" si="40"/>
        <v>0</v>
      </c>
      <c r="AZ35" s="495">
        <f t="shared" si="40"/>
        <v>5.0599999999999996</v>
      </c>
    </row>
    <row r="36" spans="1:52" ht="13.5" customHeight="1" x14ac:dyDescent="0.2">
      <c r="A36" s="220">
        <v>6</v>
      </c>
      <c r="B36" s="221">
        <v>3446</v>
      </c>
      <c r="C36" s="221">
        <v>600078515</v>
      </c>
      <c r="D36" s="221">
        <v>70694974</v>
      </c>
      <c r="E36" s="219" t="s">
        <v>131</v>
      </c>
      <c r="F36" s="221">
        <v>3143</v>
      </c>
      <c r="G36" s="222" t="s">
        <v>629</v>
      </c>
      <c r="H36" s="243" t="s">
        <v>278</v>
      </c>
      <c r="I36" s="494">
        <v>1677024</v>
      </c>
      <c r="J36" s="489">
        <v>1234922</v>
      </c>
      <c r="K36" s="489">
        <v>0</v>
      </c>
      <c r="L36" s="489">
        <v>417404</v>
      </c>
      <c r="M36" s="489">
        <v>24698</v>
      </c>
      <c r="N36" s="489">
        <v>0</v>
      </c>
      <c r="O36" s="490">
        <v>2.75</v>
      </c>
      <c r="P36" s="491">
        <v>2.75</v>
      </c>
      <c r="Q36" s="500">
        <v>0</v>
      </c>
      <c r="R36" s="502">
        <f t="shared" si="2"/>
        <v>0</v>
      </c>
      <c r="S36" s="492">
        <v>0</v>
      </c>
      <c r="T36" s="492">
        <v>0</v>
      </c>
      <c r="U36" s="492">
        <v>0</v>
      </c>
      <c r="V36" s="492">
        <f t="shared" si="3"/>
        <v>0</v>
      </c>
      <c r="W36" s="492">
        <v>0</v>
      </c>
      <c r="X36" s="492">
        <v>0</v>
      </c>
      <c r="Y36" s="492">
        <v>0</v>
      </c>
      <c r="Z36" s="492">
        <f t="shared" si="4"/>
        <v>0</v>
      </c>
      <c r="AA36" s="492">
        <f t="shared" si="5"/>
        <v>0</v>
      </c>
      <c r="AB36" s="74">
        <f t="shared" si="6"/>
        <v>0</v>
      </c>
      <c r="AC36" s="74">
        <f t="shared" si="7"/>
        <v>0</v>
      </c>
      <c r="AD36" s="492">
        <v>0</v>
      </c>
      <c r="AE36" s="492">
        <v>0</v>
      </c>
      <c r="AF36" s="492">
        <f t="shared" si="8"/>
        <v>0</v>
      </c>
      <c r="AG36" s="492">
        <f t="shared" si="9"/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36"/>
        <v>0</v>
      </c>
      <c r="AP36" s="493">
        <f t="shared" si="37"/>
        <v>0</v>
      </c>
      <c r="AQ36" s="495">
        <f t="shared" si="15"/>
        <v>0</v>
      </c>
      <c r="AR36" s="501">
        <f t="shared" si="11"/>
        <v>1677024</v>
      </c>
      <c r="AS36" s="492">
        <f t="shared" si="12"/>
        <v>1234922</v>
      </c>
      <c r="AT36" s="492">
        <f t="shared" si="38"/>
        <v>0</v>
      </c>
      <c r="AU36" s="492">
        <f t="shared" si="39"/>
        <v>417404</v>
      </c>
      <c r="AV36" s="492">
        <f t="shared" si="39"/>
        <v>24698</v>
      </c>
      <c r="AW36" s="492">
        <f t="shared" si="13"/>
        <v>0</v>
      </c>
      <c r="AX36" s="493">
        <f t="shared" si="14"/>
        <v>2.75</v>
      </c>
      <c r="AY36" s="493">
        <f t="shared" si="40"/>
        <v>2.75</v>
      </c>
      <c r="AZ36" s="495">
        <f t="shared" si="40"/>
        <v>0</v>
      </c>
    </row>
    <row r="37" spans="1:52" ht="13.5" customHeight="1" x14ac:dyDescent="0.2">
      <c r="A37" s="220">
        <v>6</v>
      </c>
      <c r="B37" s="221">
        <v>3446</v>
      </c>
      <c r="C37" s="221">
        <v>600078515</v>
      </c>
      <c r="D37" s="221">
        <v>70694974</v>
      </c>
      <c r="E37" s="219" t="s">
        <v>131</v>
      </c>
      <c r="F37" s="221">
        <v>3143</v>
      </c>
      <c r="G37" s="222" t="s">
        <v>630</v>
      </c>
      <c r="H37" s="243" t="s">
        <v>279</v>
      </c>
      <c r="I37" s="494">
        <v>55189</v>
      </c>
      <c r="J37" s="489">
        <v>39027</v>
      </c>
      <c r="K37" s="489">
        <v>0</v>
      </c>
      <c r="L37" s="489">
        <v>13191</v>
      </c>
      <c r="M37" s="489">
        <v>781</v>
      </c>
      <c r="N37" s="489">
        <v>2190</v>
      </c>
      <c r="O37" s="490">
        <v>0.15</v>
      </c>
      <c r="P37" s="491">
        <v>0</v>
      </c>
      <c r="Q37" s="500">
        <v>0.15</v>
      </c>
      <c r="R37" s="502">
        <f t="shared" si="2"/>
        <v>0</v>
      </c>
      <c r="S37" s="492">
        <v>0</v>
      </c>
      <c r="T37" s="492">
        <v>0</v>
      </c>
      <c r="U37" s="492">
        <v>0</v>
      </c>
      <c r="V37" s="492">
        <f t="shared" si="3"/>
        <v>0</v>
      </c>
      <c r="W37" s="492">
        <v>0</v>
      </c>
      <c r="X37" s="492">
        <v>0</v>
      </c>
      <c r="Y37" s="492">
        <v>0</v>
      </c>
      <c r="Z37" s="492">
        <f t="shared" si="4"/>
        <v>0</v>
      </c>
      <c r="AA37" s="492">
        <f t="shared" si="5"/>
        <v>0</v>
      </c>
      <c r="AB37" s="74">
        <f t="shared" si="6"/>
        <v>0</v>
      </c>
      <c r="AC37" s="74">
        <f t="shared" si="7"/>
        <v>0</v>
      </c>
      <c r="AD37" s="492">
        <v>0</v>
      </c>
      <c r="AE37" s="492">
        <v>0</v>
      </c>
      <c r="AF37" s="492">
        <f t="shared" si="8"/>
        <v>0</v>
      </c>
      <c r="AG37" s="492">
        <f t="shared" si="9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36"/>
        <v>0</v>
      </c>
      <c r="AP37" s="493">
        <f t="shared" si="37"/>
        <v>0</v>
      </c>
      <c r="AQ37" s="495">
        <f t="shared" si="15"/>
        <v>0</v>
      </c>
      <c r="AR37" s="501">
        <f t="shared" si="11"/>
        <v>55189</v>
      </c>
      <c r="AS37" s="492">
        <f t="shared" si="12"/>
        <v>39027</v>
      </c>
      <c r="AT37" s="492">
        <f t="shared" si="38"/>
        <v>0</v>
      </c>
      <c r="AU37" s="492">
        <f t="shared" si="39"/>
        <v>13191</v>
      </c>
      <c r="AV37" s="492">
        <f t="shared" si="39"/>
        <v>781</v>
      </c>
      <c r="AW37" s="492">
        <f t="shared" si="13"/>
        <v>2190</v>
      </c>
      <c r="AX37" s="493">
        <f t="shared" si="14"/>
        <v>0.15</v>
      </c>
      <c r="AY37" s="493">
        <f t="shared" si="40"/>
        <v>0</v>
      </c>
      <c r="AZ37" s="495">
        <f t="shared" si="40"/>
        <v>0.15</v>
      </c>
    </row>
    <row r="38" spans="1:52" ht="13.5" customHeight="1" x14ac:dyDescent="0.2">
      <c r="A38" s="166">
        <v>6</v>
      </c>
      <c r="B38" s="20">
        <v>3446</v>
      </c>
      <c r="C38" s="20">
        <v>600078515</v>
      </c>
      <c r="D38" s="20">
        <v>70694974</v>
      </c>
      <c r="E38" s="175" t="s">
        <v>132</v>
      </c>
      <c r="F38" s="20"/>
      <c r="G38" s="165"/>
      <c r="H38" s="199"/>
      <c r="I38" s="553">
        <v>30225902</v>
      </c>
      <c r="J38" s="550">
        <v>21841560</v>
      </c>
      <c r="K38" s="550">
        <v>13000</v>
      </c>
      <c r="L38" s="550">
        <v>7386841</v>
      </c>
      <c r="M38" s="550">
        <v>436831</v>
      </c>
      <c r="N38" s="550">
        <v>547670</v>
      </c>
      <c r="O38" s="551">
        <v>43.743699999999997</v>
      </c>
      <c r="P38" s="551">
        <v>31.291900000000002</v>
      </c>
      <c r="Q38" s="555">
        <v>12.4518</v>
      </c>
      <c r="R38" s="553">
        <f t="shared" ref="R38:AZ38" si="41">SUM(R33:R37)</f>
        <v>0</v>
      </c>
      <c r="S38" s="550">
        <f t="shared" si="41"/>
        <v>0</v>
      </c>
      <c r="T38" s="550">
        <f t="shared" si="41"/>
        <v>0</v>
      </c>
      <c r="U38" s="550">
        <f t="shared" si="41"/>
        <v>0</v>
      </c>
      <c r="V38" s="550">
        <f t="shared" si="41"/>
        <v>0</v>
      </c>
      <c r="W38" s="550">
        <f t="shared" si="41"/>
        <v>0</v>
      </c>
      <c r="X38" s="550">
        <f t="shared" si="41"/>
        <v>0</v>
      </c>
      <c r="Y38" s="550">
        <f t="shared" si="41"/>
        <v>0</v>
      </c>
      <c r="Z38" s="550">
        <f t="shared" si="41"/>
        <v>0</v>
      </c>
      <c r="AA38" s="550">
        <f t="shared" si="41"/>
        <v>0</v>
      </c>
      <c r="AB38" s="550">
        <f t="shared" si="41"/>
        <v>0</v>
      </c>
      <c r="AC38" s="550">
        <f t="shared" si="41"/>
        <v>0</v>
      </c>
      <c r="AD38" s="550">
        <f t="shared" si="41"/>
        <v>0</v>
      </c>
      <c r="AE38" s="550">
        <f t="shared" si="41"/>
        <v>0</v>
      </c>
      <c r="AF38" s="550">
        <f t="shared" si="41"/>
        <v>0</v>
      </c>
      <c r="AG38" s="550">
        <f t="shared" si="41"/>
        <v>0</v>
      </c>
      <c r="AH38" s="551">
        <f t="shared" si="41"/>
        <v>0</v>
      </c>
      <c r="AI38" s="551">
        <f t="shared" si="41"/>
        <v>0</v>
      </c>
      <c r="AJ38" s="551">
        <f t="shared" si="41"/>
        <v>0</v>
      </c>
      <c r="AK38" s="551">
        <f t="shared" si="41"/>
        <v>0</v>
      </c>
      <c r="AL38" s="551">
        <f t="shared" si="41"/>
        <v>0</v>
      </c>
      <c r="AM38" s="551">
        <f t="shared" si="41"/>
        <v>0</v>
      </c>
      <c r="AN38" s="551">
        <f t="shared" si="41"/>
        <v>0</v>
      </c>
      <c r="AO38" s="551">
        <f t="shared" si="41"/>
        <v>0</v>
      </c>
      <c r="AP38" s="551">
        <f t="shared" si="41"/>
        <v>0</v>
      </c>
      <c r="AQ38" s="44">
        <f t="shared" si="41"/>
        <v>0</v>
      </c>
      <c r="AR38" s="557">
        <f t="shared" si="41"/>
        <v>30225902</v>
      </c>
      <c r="AS38" s="550">
        <f t="shared" si="41"/>
        <v>21841560</v>
      </c>
      <c r="AT38" s="550">
        <f t="shared" si="41"/>
        <v>13000</v>
      </c>
      <c r="AU38" s="550">
        <f t="shared" si="41"/>
        <v>7386841</v>
      </c>
      <c r="AV38" s="550">
        <f t="shared" si="41"/>
        <v>436831</v>
      </c>
      <c r="AW38" s="550">
        <f t="shared" si="41"/>
        <v>547670</v>
      </c>
      <c r="AX38" s="551">
        <f t="shared" si="41"/>
        <v>43.743699999999997</v>
      </c>
      <c r="AY38" s="551">
        <f t="shared" si="41"/>
        <v>31.291900000000002</v>
      </c>
      <c r="AZ38" s="44">
        <f t="shared" si="41"/>
        <v>12.4518</v>
      </c>
    </row>
    <row r="39" spans="1:52" ht="13.5" customHeight="1" x14ac:dyDescent="0.2">
      <c r="A39" s="220">
        <v>7</v>
      </c>
      <c r="B39" s="221">
        <v>3457</v>
      </c>
      <c r="C39" s="221">
        <v>651040230</v>
      </c>
      <c r="D39" s="221">
        <v>75125412</v>
      </c>
      <c r="E39" s="219" t="s">
        <v>133</v>
      </c>
      <c r="F39" s="221">
        <v>3231</v>
      </c>
      <c r="G39" s="222"/>
      <c r="H39" s="223" t="s">
        <v>278</v>
      </c>
      <c r="I39" s="494">
        <v>10349507</v>
      </c>
      <c r="J39" s="489">
        <v>7588283</v>
      </c>
      <c r="K39" s="489">
        <v>8288</v>
      </c>
      <c r="L39" s="489">
        <v>2567641</v>
      </c>
      <c r="M39" s="489">
        <v>151765</v>
      </c>
      <c r="N39" s="489">
        <v>33530</v>
      </c>
      <c r="O39" s="490">
        <v>14.093900000000001</v>
      </c>
      <c r="P39" s="491">
        <v>12.507400000000001</v>
      </c>
      <c r="Q39" s="500">
        <v>1.5865</v>
      </c>
      <c r="R39" s="502">
        <f t="shared" si="2"/>
        <v>0</v>
      </c>
      <c r="S39" s="492">
        <v>0</v>
      </c>
      <c r="T39" s="492">
        <v>0</v>
      </c>
      <c r="U39" s="492">
        <v>0</v>
      </c>
      <c r="V39" s="492">
        <f t="shared" si="3"/>
        <v>0</v>
      </c>
      <c r="W39" s="492">
        <v>0</v>
      </c>
      <c r="X39" s="492">
        <v>0</v>
      </c>
      <c r="Y39" s="492">
        <v>0</v>
      </c>
      <c r="Z39" s="492">
        <f t="shared" si="4"/>
        <v>0</v>
      </c>
      <c r="AA39" s="492">
        <f t="shared" si="5"/>
        <v>0</v>
      </c>
      <c r="AB39" s="74">
        <f t="shared" si="6"/>
        <v>0</v>
      </c>
      <c r="AC39" s="74">
        <f t="shared" si="7"/>
        <v>0</v>
      </c>
      <c r="AD39" s="492">
        <v>0</v>
      </c>
      <c r="AE39" s="492">
        <v>0</v>
      </c>
      <c r="AF39" s="492">
        <f t="shared" si="8"/>
        <v>0</v>
      </c>
      <c r="AG39" s="492">
        <f t="shared" si="9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>AH39+AJ39+AM39+AK39</f>
        <v>0</v>
      </c>
      <c r="AP39" s="493">
        <f>AI39+AN39+AL39</f>
        <v>0</v>
      </c>
      <c r="AQ39" s="495">
        <f t="shared" si="15"/>
        <v>0</v>
      </c>
      <c r="AR39" s="501">
        <f t="shared" si="11"/>
        <v>10349507</v>
      </c>
      <c r="AS39" s="492">
        <f t="shared" si="12"/>
        <v>7588283</v>
      </c>
      <c r="AT39" s="492">
        <f>K39+Z39</f>
        <v>8288</v>
      </c>
      <c r="AU39" s="492">
        <f>L39+AB39</f>
        <v>2567641</v>
      </c>
      <c r="AV39" s="492">
        <f>M39+AC39</f>
        <v>151765</v>
      </c>
      <c r="AW39" s="492">
        <f t="shared" si="13"/>
        <v>33530</v>
      </c>
      <c r="AX39" s="493">
        <f t="shared" si="14"/>
        <v>14.093900000000001</v>
      </c>
      <c r="AY39" s="493">
        <f>P39+AO39</f>
        <v>12.507400000000001</v>
      </c>
      <c r="AZ39" s="495">
        <f>Q39+AP39</f>
        <v>1.5865</v>
      </c>
    </row>
    <row r="40" spans="1:52" ht="13.5" customHeight="1" x14ac:dyDescent="0.2">
      <c r="A40" s="166">
        <v>7</v>
      </c>
      <c r="B40" s="20">
        <v>3457</v>
      </c>
      <c r="C40" s="20">
        <v>651040230</v>
      </c>
      <c r="D40" s="20">
        <v>75125412</v>
      </c>
      <c r="E40" s="175" t="s">
        <v>134</v>
      </c>
      <c r="F40" s="20"/>
      <c r="G40" s="165"/>
      <c r="H40" s="199"/>
      <c r="I40" s="552">
        <v>10349507</v>
      </c>
      <c r="J40" s="548">
        <v>7588283</v>
      </c>
      <c r="K40" s="548">
        <v>8288</v>
      </c>
      <c r="L40" s="548">
        <v>2567641</v>
      </c>
      <c r="M40" s="548">
        <v>151765</v>
      </c>
      <c r="N40" s="548">
        <v>33530</v>
      </c>
      <c r="O40" s="549">
        <v>14.093900000000001</v>
      </c>
      <c r="P40" s="549">
        <v>12.507400000000001</v>
      </c>
      <c r="Q40" s="554">
        <v>1.5865</v>
      </c>
      <c r="R40" s="552">
        <f t="shared" ref="R40:AZ40" si="42">SUM(R39)</f>
        <v>0</v>
      </c>
      <c r="S40" s="548">
        <f t="shared" si="42"/>
        <v>0</v>
      </c>
      <c r="T40" s="548">
        <f t="shared" si="42"/>
        <v>0</v>
      </c>
      <c r="U40" s="548">
        <f t="shared" si="42"/>
        <v>0</v>
      </c>
      <c r="V40" s="548">
        <f t="shared" si="42"/>
        <v>0</v>
      </c>
      <c r="W40" s="548">
        <f t="shared" si="42"/>
        <v>0</v>
      </c>
      <c r="X40" s="548">
        <f t="shared" si="42"/>
        <v>0</v>
      </c>
      <c r="Y40" s="548">
        <f t="shared" si="42"/>
        <v>0</v>
      </c>
      <c r="Z40" s="548">
        <f t="shared" si="42"/>
        <v>0</v>
      </c>
      <c r="AA40" s="548">
        <f t="shared" si="42"/>
        <v>0</v>
      </c>
      <c r="AB40" s="548">
        <f t="shared" si="42"/>
        <v>0</v>
      </c>
      <c r="AC40" s="548">
        <f t="shared" si="42"/>
        <v>0</v>
      </c>
      <c r="AD40" s="548">
        <f t="shared" si="42"/>
        <v>0</v>
      </c>
      <c r="AE40" s="548">
        <f t="shared" si="42"/>
        <v>0</v>
      </c>
      <c r="AF40" s="548">
        <f t="shared" si="42"/>
        <v>0</v>
      </c>
      <c r="AG40" s="548">
        <f t="shared" si="42"/>
        <v>0</v>
      </c>
      <c r="AH40" s="549">
        <f t="shared" si="42"/>
        <v>0</v>
      </c>
      <c r="AI40" s="549">
        <f t="shared" si="42"/>
        <v>0</v>
      </c>
      <c r="AJ40" s="549">
        <f t="shared" si="42"/>
        <v>0</v>
      </c>
      <c r="AK40" s="549">
        <f t="shared" si="42"/>
        <v>0</v>
      </c>
      <c r="AL40" s="549">
        <f t="shared" si="42"/>
        <v>0</v>
      </c>
      <c r="AM40" s="549">
        <f t="shared" si="42"/>
        <v>0</v>
      </c>
      <c r="AN40" s="549">
        <f t="shared" si="42"/>
        <v>0</v>
      </c>
      <c r="AO40" s="549">
        <f t="shared" si="42"/>
        <v>0</v>
      </c>
      <c r="AP40" s="549">
        <f t="shared" si="42"/>
        <v>0</v>
      </c>
      <c r="AQ40" s="45">
        <f t="shared" si="42"/>
        <v>0</v>
      </c>
      <c r="AR40" s="556">
        <f t="shared" si="42"/>
        <v>10349507</v>
      </c>
      <c r="AS40" s="548">
        <f t="shared" si="42"/>
        <v>7588283</v>
      </c>
      <c r="AT40" s="548">
        <f t="shared" si="42"/>
        <v>8288</v>
      </c>
      <c r="AU40" s="548">
        <f t="shared" si="42"/>
        <v>2567641</v>
      </c>
      <c r="AV40" s="548">
        <f t="shared" si="42"/>
        <v>151765</v>
      </c>
      <c r="AW40" s="548">
        <f t="shared" si="42"/>
        <v>33530</v>
      </c>
      <c r="AX40" s="549">
        <f t="shared" si="42"/>
        <v>14.093900000000001</v>
      </c>
      <c r="AY40" s="549">
        <f t="shared" si="42"/>
        <v>12.507400000000001</v>
      </c>
      <c r="AZ40" s="45">
        <f t="shared" si="42"/>
        <v>1.5865</v>
      </c>
    </row>
    <row r="41" spans="1:52" ht="13.5" customHeight="1" x14ac:dyDescent="0.2">
      <c r="A41" s="220">
        <v>8</v>
      </c>
      <c r="B41" s="221">
        <v>3423</v>
      </c>
      <c r="C41" s="221">
        <v>600078108</v>
      </c>
      <c r="D41" s="221">
        <v>70695059</v>
      </c>
      <c r="E41" s="219" t="s">
        <v>135</v>
      </c>
      <c r="F41" s="221">
        <v>3111</v>
      </c>
      <c r="G41" s="222" t="s">
        <v>312</v>
      </c>
      <c r="H41" s="223" t="s">
        <v>278</v>
      </c>
      <c r="I41" s="494">
        <v>3418208</v>
      </c>
      <c r="J41" s="489">
        <v>2487713</v>
      </c>
      <c r="K41" s="489">
        <v>13000</v>
      </c>
      <c r="L41" s="489">
        <v>845241</v>
      </c>
      <c r="M41" s="489">
        <v>49754</v>
      </c>
      <c r="N41" s="489">
        <v>22500</v>
      </c>
      <c r="O41" s="490">
        <v>5.3636000000000008</v>
      </c>
      <c r="P41" s="491">
        <v>3.8738000000000001</v>
      </c>
      <c r="Q41" s="500">
        <v>1.4898</v>
      </c>
      <c r="R41" s="502">
        <f t="shared" si="2"/>
        <v>0</v>
      </c>
      <c r="S41" s="492">
        <v>0</v>
      </c>
      <c r="T41" s="492">
        <v>0</v>
      </c>
      <c r="U41" s="492">
        <v>0</v>
      </c>
      <c r="V41" s="492">
        <f t="shared" si="3"/>
        <v>0</v>
      </c>
      <c r="W41" s="492">
        <v>0</v>
      </c>
      <c r="X41" s="492">
        <v>0</v>
      </c>
      <c r="Y41" s="492">
        <v>0</v>
      </c>
      <c r="Z41" s="492">
        <f t="shared" si="4"/>
        <v>0</v>
      </c>
      <c r="AA41" s="492">
        <f t="shared" si="5"/>
        <v>0</v>
      </c>
      <c r="AB41" s="74">
        <f t="shared" si="6"/>
        <v>0</v>
      </c>
      <c r="AC41" s="74">
        <f t="shared" si="7"/>
        <v>0</v>
      </c>
      <c r="AD41" s="492">
        <v>0</v>
      </c>
      <c r="AE41" s="492">
        <v>0</v>
      </c>
      <c r="AF41" s="492">
        <f t="shared" si="8"/>
        <v>0</v>
      </c>
      <c r="AG41" s="492">
        <f t="shared" si="9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ref="AO41:AO42" si="43">AH41+AJ41+AM41+AK41</f>
        <v>0</v>
      </c>
      <c r="AP41" s="493">
        <f t="shared" ref="AP41:AP42" si="44">AI41+AN41+AL41</f>
        <v>0</v>
      </c>
      <c r="AQ41" s="495">
        <f t="shared" si="15"/>
        <v>0</v>
      </c>
      <c r="AR41" s="501">
        <f t="shared" si="11"/>
        <v>3418208</v>
      </c>
      <c r="AS41" s="492">
        <f t="shared" si="12"/>
        <v>2487713</v>
      </c>
      <c r="AT41" s="492">
        <f t="shared" ref="AT41:AT42" si="45">K41+Z41</f>
        <v>13000</v>
      </c>
      <c r="AU41" s="492">
        <f>L41+AB41</f>
        <v>845241</v>
      </c>
      <c r="AV41" s="492">
        <f>M41+AC41</f>
        <v>49754</v>
      </c>
      <c r="AW41" s="492">
        <f t="shared" si="13"/>
        <v>22500</v>
      </c>
      <c r="AX41" s="493">
        <f t="shared" si="14"/>
        <v>5.3636000000000008</v>
      </c>
      <c r="AY41" s="493">
        <f>P41+AO41</f>
        <v>3.8738000000000001</v>
      </c>
      <c r="AZ41" s="495">
        <f>Q41+AP41</f>
        <v>1.4898</v>
      </c>
    </row>
    <row r="42" spans="1:52" ht="13.5" customHeight="1" x14ac:dyDescent="0.2">
      <c r="A42" s="220">
        <v>8</v>
      </c>
      <c r="B42" s="221">
        <v>3423</v>
      </c>
      <c r="C42" s="221">
        <v>600078108</v>
      </c>
      <c r="D42" s="221">
        <v>70695059</v>
      </c>
      <c r="E42" s="219" t="s">
        <v>135</v>
      </c>
      <c r="F42" s="221">
        <v>3141</v>
      </c>
      <c r="G42" s="222" t="s">
        <v>316</v>
      </c>
      <c r="H42" s="223" t="s">
        <v>279</v>
      </c>
      <c r="I42" s="494">
        <v>1296319</v>
      </c>
      <c r="J42" s="489">
        <v>943434</v>
      </c>
      <c r="K42" s="489">
        <v>6500</v>
      </c>
      <c r="L42" s="489">
        <v>321078</v>
      </c>
      <c r="M42" s="489">
        <v>18869</v>
      </c>
      <c r="N42" s="489">
        <v>6438</v>
      </c>
      <c r="O42" s="490">
        <v>2.99</v>
      </c>
      <c r="P42" s="491">
        <v>0</v>
      </c>
      <c r="Q42" s="500">
        <v>2.99</v>
      </c>
      <c r="R42" s="502">
        <f t="shared" si="2"/>
        <v>0</v>
      </c>
      <c r="S42" s="492">
        <v>0</v>
      </c>
      <c r="T42" s="492">
        <v>0</v>
      </c>
      <c r="U42" s="492">
        <v>0</v>
      </c>
      <c r="V42" s="492">
        <f t="shared" si="3"/>
        <v>0</v>
      </c>
      <c r="W42" s="492">
        <v>0</v>
      </c>
      <c r="X42" s="492">
        <v>0</v>
      </c>
      <c r="Y42" s="492">
        <v>0</v>
      </c>
      <c r="Z42" s="492">
        <f t="shared" si="4"/>
        <v>0</v>
      </c>
      <c r="AA42" s="492">
        <f t="shared" si="5"/>
        <v>0</v>
      </c>
      <c r="AB42" s="74">
        <f t="shared" si="6"/>
        <v>0</v>
      </c>
      <c r="AC42" s="74">
        <f t="shared" si="7"/>
        <v>0</v>
      </c>
      <c r="AD42" s="492">
        <v>0</v>
      </c>
      <c r="AE42" s="492">
        <v>0</v>
      </c>
      <c r="AF42" s="492">
        <f t="shared" si="8"/>
        <v>0</v>
      </c>
      <c r="AG42" s="492">
        <f t="shared" si="9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 t="shared" si="43"/>
        <v>0</v>
      </c>
      <c r="AP42" s="493">
        <f t="shared" si="44"/>
        <v>0</v>
      </c>
      <c r="AQ42" s="495">
        <f t="shared" si="15"/>
        <v>0</v>
      </c>
      <c r="AR42" s="501">
        <f t="shared" si="11"/>
        <v>1296319</v>
      </c>
      <c r="AS42" s="492">
        <f t="shared" si="12"/>
        <v>943434</v>
      </c>
      <c r="AT42" s="492">
        <f t="shared" si="45"/>
        <v>6500</v>
      </c>
      <c r="AU42" s="492">
        <f>L42+AB42</f>
        <v>321078</v>
      </c>
      <c r="AV42" s="492">
        <f>M42+AC42</f>
        <v>18869</v>
      </c>
      <c r="AW42" s="492">
        <f t="shared" si="13"/>
        <v>6438</v>
      </c>
      <c r="AX42" s="493">
        <f t="shared" si="14"/>
        <v>2.99</v>
      </c>
      <c r="AY42" s="493">
        <f>P42+AO42</f>
        <v>0</v>
      </c>
      <c r="AZ42" s="495">
        <f>Q42+AP42</f>
        <v>2.99</v>
      </c>
    </row>
    <row r="43" spans="1:52" ht="13.5" customHeight="1" x14ac:dyDescent="0.2">
      <c r="A43" s="166">
        <v>8</v>
      </c>
      <c r="B43" s="20">
        <v>3423</v>
      </c>
      <c r="C43" s="20">
        <v>600078108</v>
      </c>
      <c r="D43" s="20">
        <v>70695059</v>
      </c>
      <c r="E43" s="175" t="s">
        <v>136</v>
      </c>
      <c r="F43" s="20"/>
      <c r="G43" s="165"/>
      <c r="H43" s="199"/>
      <c r="I43" s="553">
        <v>4714527</v>
      </c>
      <c r="J43" s="550">
        <v>3431147</v>
      </c>
      <c r="K43" s="550">
        <v>19500</v>
      </c>
      <c r="L43" s="550">
        <v>1166319</v>
      </c>
      <c r="M43" s="550">
        <v>68623</v>
      </c>
      <c r="N43" s="550">
        <v>28938</v>
      </c>
      <c r="O43" s="551">
        <v>8.3536000000000001</v>
      </c>
      <c r="P43" s="551">
        <v>3.8738000000000001</v>
      </c>
      <c r="Q43" s="555">
        <v>4.4798</v>
      </c>
      <c r="R43" s="553">
        <f t="shared" ref="R43:AZ43" si="46">SUM(R41:R42)</f>
        <v>0</v>
      </c>
      <c r="S43" s="550">
        <f t="shared" si="46"/>
        <v>0</v>
      </c>
      <c r="T43" s="550">
        <f t="shared" si="46"/>
        <v>0</v>
      </c>
      <c r="U43" s="550">
        <f t="shared" si="46"/>
        <v>0</v>
      </c>
      <c r="V43" s="550">
        <f t="shared" si="46"/>
        <v>0</v>
      </c>
      <c r="W43" s="550">
        <f t="shared" si="46"/>
        <v>0</v>
      </c>
      <c r="X43" s="550">
        <f t="shared" si="46"/>
        <v>0</v>
      </c>
      <c r="Y43" s="550">
        <f t="shared" si="46"/>
        <v>0</v>
      </c>
      <c r="Z43" s="550">
        <f t="shared" si="46"/>
        <v>0</v>
      </c>
      <c r="AA43" s="550">
        <f t="shared" si="46"/>
        <v>0</v>
      </c>
      <c r="AB43" s="550">
        <f t="shared" si="46"/>
        <v>0</v>
      </c>
      <c r="AC43" s="550">
        <f t="shared" si="46"/>
        <v>0</v>
      </c>
      <c r="AD43" s="550">
        <f t="shared" si="46"/>
        <v>0</v>
      </c>
      <c r="AE43" s="550">
        <f t="shared" si="46"/>
        <v>0</v>
      </c>
      <c r="AF43" s="550">
        <f t="shared" si="46"/>
        <v>0</v>
      </c>
      <c r="AG43" s="550">
        <f t="shared" si="46"/>
        <v>0</v>
      </c>
      <c r="AH43" s="551">
        <f t="shared" si="46"/>
        <v>0</v>
      </c>
      <c r="AI43" s="551">
        <f t="shared" si="46"/>
        <v>0</v>
      </c>
      <c r="AJ43" s="551">
        <f t="shared" si="46"/>
        <v>0</v>
      </c>
      <c r="AK43" s="551">
        <f t="shared" si="46"/>
        <v>0</v>
      </c>
      <c r="AL43" s="551">
        <f t="shared" si="46"/>
        <v>0</v>
      </c>
      <c r="AM43" s="551">
        <f t="shared" si="46"/>
        <v>0</v>
      </c>
      <c r="AN43" s="551">
        <f t="shared" si="46"/>
        <v>0</v>
      </c>
      <c r="AO43" s="551">
        <f t="shared" si="46"/>
        <v>0</v>
      </c>
      <c r="AP43" s="551">
        <f t="shared" si="46"/>
        <v>0</v>
      </c>
      <c r="AQ43" s="44">
        <f t="shared" si="46"/>
        <v>0</v>
      </c>
      <c r="AR43" s="557">
        <f t="shared" si="46"/>
        <v>4714527</v>
      </c>
      <c r="AS43" s="550">
        <f t="shared" si="46"/>
        <v>3431147</v>
      </c>
      <c r="AT43" s="550">
        <f t="shared" si="46"/>
        <v>19500</v>
      </c>
      <c r="AU43" s="550">
        <f t="shared" si="46"/>
        <v>1166319</v>
      </c>
      <c r="AV43" s="550">
        <f t="shared" si="46"/>
        <v>68623</v>
      </c>
      <c r="AW43" s="550">
        <f t="shared" si="46"/>
        <v>28938</v>
      </c>
      <c r="AX43" s="551">
        <f t="shared" si="46"/>
        <v>8.3536000000000001</v>
      </c>
      <c r="AY43" s="551">
        <f t="shared" si="46"/>
        <v>3.8738000000000001</v>
      </c>
      <c r="AZ43" s="44">
        <f t="shared" si="46"/>
        <v>4.4798</v>
      </c>
    </row>
    <row r="44" spans="1:52" ht="13.5" customHeight="1" x14ac:dyDescent="0.2">
      <c r="A44" s="220">
        <v>9</v>
      </c>
      <c r="B44" s="221">
        <v>3448</v>
      </c>
      <c r="C44" s="221">
        <v>600078299</v>
      </c>
      <c r="D44" s="221">
        <v>70695041</v>
      </c>
      <c r="E44" s="219" t="s">
        <v>137</v>
      </c>
      <c r="F44" s="221">
        <v>3117</v>
      </c>
      <c r="G44" s="222" t="s">
        <v>315</v>
      </c>
      <c r="H44" s="223" t="s">
        <v>278</v>
      </c>
      <c r="I44" s="494">
        <v>4942434</v>
      </c>
      <c r="J44" s="489">
        <v>3548240</v>
      </c>
      <c r="K44" s="489">
        <v>12103</v>
      </c>
      <c r="L44" s="489">
        <v>1203396</v>
      </c>
      <c r="M44" s="489">
        <v>70965</v>
      </c>
      <c r="N44" s="489">
        <v>107730</v>
      </c>
      <c r="O44" s="490">
        <v>7.0647000000000002</v>
      </c>
      <c r="P44" s="491">
        <v>5.1105</v>
      </c>
      <c r="Q44" s="500">
        <v>1.9541999999999999</v>
      </c>
      <c r="R44" s="502">
        <f t="shared" si="2"/>
        <v>0</v>
      </c>
      <c r="S44" s="492">
        <v>0</v>
      </c>
      <c r="T44" s="492">
        <v>0</v>
      </c>
      <c r="U44" s="492">
        <v>0</v>
      </c>
      <c r="V44" s="492">
        <f t="shared" si="3"/>
        <v>0</v>
      </c>
      <c r="W44" s="492">
        <v>0</v>
      </c>
      <c r="X44" s="492">
        <v>0</v>
      </c>
      <c r="Y44" s="492">
        <v>0</v>
      </c>
      <c r="Z44" s="492">
        <f t="shared" si="4"/>
        <v>0</v>
      </c>
      <c r="AA44" s="492">
        <f t="shared" si="5"/>
        <v>0</v>
      </c>
      <c r="AB44" s="74">
        <f t="shared" si="6"/>
        <v>0</v>
      </c>
      <c r="AC44" s="74">
        <f t="shared" si="7"/>
        <v>0</v>
      </c>
      <c r="AD44" s="492">
        <v>0</v>
      </c>
      <c r="AE44" s="492">
        <v>0</v>
      </c>
      <c r="AF44" s="492">
        <f t="shared" si="8"/>
        <v>0</v>
      </c>
      <c r="AG44" s="492">
        <f t="shared" si="9"/>
        <v>0</v>
      </c>
      <c r="AH44" s="493">
        <v>0</v>
      </c>
      <c r="AI44" s="493">
        <v>0</v>
      </c>
      <c r="AJ44" s="493">
        <v>0</v>
      </c>
      <c r="AK44" s="493">
        <v>0</v>
      </c>
      <c r="AL44" s="493">
        <v>0</v>
      </c>
      <c r="AM44" s="493">
        <v>0</v>
      </c>
      <c r="AN44" s="493">
        <v>0</v>
      </c>
      <c r="AO44" s="493">
        <f t="shared" ref="AO44:AO47" si="47">AH44+AJ44+AM44+AK44</f>
        <v>0</v>
      </c>
      <c r="AP44" s="493">
        <f t="shared" ref="AP44:AP47" si="48">AI44+AN44+AL44</f>
        <v>0</v>
      </c>
      <c r="AQ44" s="495">
        <f t="shared" si="15"/>
        <v>0</v>
      </c>
      <c r="AR44" s="501">
        <f t="shared" si="11"/>
        <v>4942434</v>
      </c>
      <c r="AS44" s="492">
        <f t="shared" si="12"/>
        <v>3548240</v>
      </c>
      <c r="AT44" s="492">
        <f t="shared" ref="AT44:AT47" si="49">K44+Z44</f>
        <v>12103</v>
      </c>
      <c r="AU44" s="492">
        <f t="shared" ref="AU44:AV47" si="50">L44+AB44</f>
        <v>1203396</v>
      </c>
      <c r="AV44" s="492">
        <f t="shared" si="50"/>
        <v>70965</v>
      </c>
      <c r="AW44" s="492">
        <f t="shared" si="13"/>
        <v>107730</v>
      </c>
      <c r="AX44" s="493">
        <f t="shared" si="14"/>
        <v>7.0647000000000002</v>
      </c>
      <c r="AY44" s="493">
        <f t="shared" ref="AY44:AZ47" si="51">P44+AO44</f>
        <v>5.1105</v>
      </c>
      <c r="AZ44" s="495">
        <f t="shared" si="51"/>
        <v>1.9541999999999999</v>
      </c>
    </row>
    <row r="45" spans="1:52" ht="13.5" customHeight="1" x14ac:dyDescent="0.2">
      <c r="A45" s="220">
        <v>9</v>
      </c>
      <c r="B45" s="221">
        <v>3448</v>
      </c>
      <c r="C45" s="221">
        <v>600078299</v>
      </c>
      <c r="D45" s="221">
        <v>70695041</v>
      </c>
      <c r="E45" s="219" t="s">
        <v>137</v>
      </c>
      <c r="F45" s="221">
        <v>3117</v>
      </c>
      <c r="G45" s="222" t="s">
        <v>313</v>
      </c>
      <c r="H45" s="223" t="s">
        <v>279</v>
      </c>
      <c r="I45" s="494">
        <v>588089</v>
      </c>
      <c r="J45" s="489">
        <v>433055</v>
      </c>
      <c r="K45" s="489">
        <v>0</v>
      </c>
      <c r="L45" s="489">
        <v>146373</v>
      </c>
      <c r="M45" s="489">
        <v>8661</v>
      </c>
      <c r="N45" s="489">
        <v>0</v>
      </c>
      <c r="O45" s="490">
        <v>1.25</v>
      </c>
      <c r="P45" s="491">
        <v>1.25</v>
      </c>
      <c r="Q45" s="500">
        <v>0</v>
      </c>
      <c r="R45" s="502">
        <f t="shared" si="2"/>
        <v>0</v>
      </c>
      <c r="S45" s="492">
        <v>0</v>
      </c>
      <c r="T45" s="492">
        <v>0</v>
      </c>
      <c r="U45" s="492">
        <v>0</v>
      </c>
      <c r="V45" s="492">
        <f t="shared" si="3"/>
        <v>0</v>
      </c>
      <c r="W45" s="492">
        <v>0</v>
      </c>
      <c r="X45" s="492">
        <v>0</v>
      </c>
      <c r="Y45" s="492">
        <v>0</v>
      </c>
      <c r="Z45" s="492">
        <f t="shared" si="4"/>
        <v>0</v>
      </c>
      <c r="AA45" s="492">
        <f t="shared" si="5"/>
        <v>0</v>
      </c>
      <c r="AB45" s="74">
        <f t="shared" si="6"/>
        <v>0</v>
      </c>
      <c r="AC45" s="74">
        <f t="shared" si="7"/>
        <v>0</v>
      </c>
      <c r="AD45" s="492">
        <v>0</v>
      </c>
      <c r="AE45" s="492">
        <v>0</v>
      </c>
      <c r="AF45" s="492">
        <f t="shared" si="8"/>
        <v>0</v>
      </c>
      <c r="AG45" s="492">
        <f t="shared" si="9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si="47"/>
        <v>0</v>
      </c>
      <c r="AP45" s="493">
        <f t="shared" si="48"/>
        <v>0</v>
      </c>
      <c r="AQ45" s="495">
        <f t="shared" si="15"/>
        <v>0</v>
      </c>
      <c r="AR45" s="501">
        <f t="shared" si="11"/>
        <v>588089</v>
      </c>
      <c r="AS45" s="492">
        <f t="shared" si="12"/>
        <v>433055</v>
      </c>
      <c r="AT45" s="492">
        <f t="shared" si="49"/>
        <v>0</v>
      </c>
      <c r="AU45" s="492">
        <f t="shared" si="50"/>
        <v>146373</v>
      </c>
      <c r="AV45" s="492">
        <f t="shared" si="50"/>
        <v>8661</v>
      </c>
      <c r="AW45" s="492">
        <f t="shared" si="13"/>
        <v>0</v>
      </c>
      <c r="AX45" s="493">
        <f t="shared" si="14"/>
        <v>1.25</v>
      </c>
      <c r="AY45" s="493">
        <f t="shared" si="51"/>
        <v>1.25</v>
      </c>
      <c r="AZ45" s="495">
        <f t="shared" si="51"/>
        <v>0</v>
      </c>
    </row>
    <row r="46" spans="1:52" ht="13.5" customHeight="1" x14ac:dyDescent="0.2">
      <c r="A46" s="220">
        <v>9</v>
      </c>
      <c r="B46" s="221">
        <v>3448</v>
      </c>
      <c r="C46" s="221">
        <v>600078299</v>
      </c>
      <c r="D46" s="221">
        <v>70695041</v>
      </c>
      <c r="E46" s="219" t="s">
        <v>137</v>
      </c>
      <c r="F46" s="221">
        <v>3143</v>
      </c>
      <c r="G46" s="222" t="s">
        <v>629</v>
      </c>
      <c r="H46" s="243" t="s">
        <v>278</v>
      </c>
      <c r="I46" s="494">
        <v>511166</v>
      </c>
      <c r="J46" s="489">
        <v>376411</v>
      </c>
      <c r="K46" s="489">
        <v>0</v>
      </c>
      <c r="L46" s="489">
        <v>127227</v>
      </c>
      <c r="M46" s="489">
        <v>7528</v>
      </c>
      <c r="N46" s="489">
        <v>0</v>
      </c>
      <c r="O46" s="490">
        <v>0.75</v>
      </c>
      <c r="P46" s="491">
        <v>0.75</v>
      </c>
      <c r="Q46" s="500">
        <v>0</v>
      </c>
      <c r="R46" s="502">
        <f t="shared" si="2"/>
        <v>0</v>
      </c>
      <c r="S46" s="492">
        <v>0</v>
      </c>
      <c r="T46" s="492">
        <v>0</v>
      </c>
      <c r="U46" s="492">
        <v>0</v>
      </c>
      <c r="V46" s="492">
        <f t="shared" si="3"/>
        <v>0</v>
      </c>
      <c r="W46" s="492">
        <v>0</v>
      </c>
      <c r="X46" s="492">
        <v>0</v>
      </c>
      <c r="Y46" s="492">
        <v>0</v>
      </c>
      <c r="Z46" s="492">
        <f t="shared" si="4"/>
        <v>0</v>
      </c>
      <c r="AA46" s="492">
        <f t="shared" si="5"/>
        <v>0</v>
      </c>
      <c r="AB46" s="74">
        <f t="shared" si="6"/>
        <v>0</v>
      </c>
      <c r="AC46" s="74">
        <f t="shared" si="7"/>
        <v>0</v>
      </c>
      <c r="AD46" s="492">
        <v>0</v>
      </c>
      <c r="AE46" s="492">
        <v>0</v>
      </c>
      <c r="AF46" s="492">
        <f t="shared" si="8"/>
        <v>0</v>
      </c>
      <c r="AG46" s="492">
        <f t="shared" si="9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47"/>
        <v>0</v>
      </c>
      <c r="AP46" s="493">
        <f t="shared" si="48"/>
        <v>0</v>
      </c>
      <c r="AQ46" s="495">
        <f t="shared" si="15"/>
        <v>0</v>
      </c>
      <c r="AR46" s="501">
        <f t="shared" si="11"/>
        <v>511166</v>
      </c>
      <c r="AS46" s="492">
        <f t="shared" si="12"/>
        <v>376411</v>
      </c>
      <c r="AT46" s="492">
        <f t="shared" si="49"/>
        <v>0</v>
      </c>
      <c r="AU46" s="492">
        <f t="shared" si="50"/>
        <v>127227</v>
      </c>
      <c r="AV46" s="492">
        <f t="shared" si="50"/>
        <v>7528</v>
      </c>
      <c r="AW46" s="492">
        <f t="shared" si="13"/>
        <v>0</v>
      </c>
      <c r="AX46" s="493">
        <f t="shared" si="14"/>
        <v>0.75</v>
      </c>
      <c r="AY46" s="493">
        <f t="shared" si="51"/>
        <v>0.75</v>
      </c>
      <c r="AZ46" s="495">
        <f t="shared" si="51"/>
        <v>0</v>
      </c>
    </row>
    <row r="47" spans="1:52" ht="13.5" customHeight="1" x14ac:dyDescent="0.2">
      <c r="A47" s="220">
        <v>9</v>
      </c>
      <c r="B47" s="221">
        <v>3448</v>
      </c>
      <c r="C47" s="221">
        <v>600078299</v>
      </c>
      <c r="D47" s="221">
        <v>70695041</v>
      </c>
      <c r="E47" s="219" t="s">
        <v>137</v>
      </c>
      <c r="F47" s="221">
        <v>3143</v>
      </c>
      <c r="G47" s="222" t="s">
        <v>630</v>
      </c>
      <c r="H47" s="243" t="s">
        <v>279</v>
      </c>
      <c r="I47" s="494">
        <v>22680</v>
      </c>
      <c r="J47" s="489">
        <v>16038</v>
      </c>
      <c r="K47" s="489">
        <v>0</v>
      </c>
      <c r="L47" s="489">
        <v>5421</v>
      </c>
      <c r="M47" s="489">
        <v>321</v>
      </c>
      <c r="N47" s="489">
        <v>900</v>
      </c>
      <c r="O47" s="490">
        <v>0.06</v>
      </c>
      <c r="P47" s="491">
        <v>0</v>
      </c>
      <c r="Q47" s="500">
        <v>0.06</v>
      </c>
      <c r="R47" s="502">
        <f t="shared" si="2"/>
        <v>0</v>
      </c>
      <c r="S47" s="492">
        <v>0</v>
      </c>
      <c r="T47" s="492">
        <v>0</v>
      </c>
      <c r="U47" s="492">
        <v>0</v>
      </c>
      <c r="V47" s="492">
        <f t="shared" si="3"/>
        <v>0</v>
      </c>
      <c r="W47" s="492">
        <v>0</v>
      </c>
      <c r="X47" s="492">
        <v>0</v>
      </c>
      <c r="Y47" s="492">
        <v>0</v>
      </c>
      <c r="Z47" s="492">
        <f t="shared" si="4"/>
        <v>0</v>
      </c>
      <c r="AA47" s="492">
        <f t="shared" si="5"/>
        <v>0</v>
      </c>
      <c r="AB47" s="74">
        <f t="shared" si="6"/>
        <v>0</v>
      </c>
      <c r="AC47" s="74">
        <f t="shared" si="7"/>
        <v>0</v>
      </c>
      <c r="AD47" s="492">
        <v>0</v>
      </c>
      <c r="AE47" s="492">
        <v>0</v>
      </c>
      <c r="AF47" s="492">
        <f t="shared" si="8"/>
        <v>0</v>
      </c>
      <c r="AG47" s="492">
        <f t="shared" si="9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47"/>
        <v>0</v>
      </c>
      <c r="AP47" s="493">
        <f t="shared" si="48"/>
        <v>0</v>
      </c>
      <c r="AQ47" s="495">
        <f t="shared" si="15"/>
        <v>0</v>
      </c>
      <c r="AR47" s="501">
        <f t="shared" si="11"/>
        <v>22680</v>
      </c>
      <c r="AS47" s="492">
        <f t="shared" si="12"/>
        <v>16038</v>
      </c>
      <c r="AT47" s="492">
        <f t="shared" si="49"/>
        <v>0</v>
      </c>
      <c r="AU47" s="492">
        <f t="shared" si="50"/>
        <v>5421</v>
      </c>
      <c r="AV47" s="492">
        <f t="shared" si="50"/>
        <v>321</v>
      </c>
      <c r="AW47" s="492">
        <f t="shared" si="13"/>
        <v>900</v>
      </c>
      <c r="AX47" s="493">
        <f t="shared" si="14"/>
        <v>0.06</v>
      </c>
      <c r="AY47" s="493">
        <f t="shared" si="51"/>
        <v>0</v>
      </c>
      <c r="AZ47" s="495">
        <f t="shared" si="51"/>
        <v>0.06</v>
      </c>
    </row>
    <row r="48" spans="1:52" ht="13.5" customHeight="1" x14ac:dyDescent="0.2">
      <c r="A48" s="166">
        <v>9</v>
      </c>
      <c r="B48" s="20">
        <v>3448</v>
      </c>
      <c r="C48" s="20">
        <v>600078299</v>
      </c>
      <c r="D48" s="20">
        <v>70695041</v>
      </c>
      <c r="E48" s="175" t="s">
        <v>138</v>
      </c>
      <c r="F48" s="20"/>
      <c r="G48" s="165"/>
      <c r="H48" s="199"/>
      <c r="I48" s="553">
        <v>6064369</v>
      </c>
      <c r="J48" s="550">
        <v>4373744</v>
      </c>
      <c r="K48" s="550">
        <v>12103</v>
      </c>
      <c r="L48" s="550">
        <v>1482417</v>
      </c>
      <c r="M48" s="550">
        <v>87475</v>
      </c>
      <c r="N48" s="550">
        <v>108630</v>
      </c>
      <c r="O48" s="551">
        <v>9.1247000000000007</v>
      </c>
      <c r="P48" s="551">
        <v>7.1105</v>
      </c>
      <c r="Q48" s="555">
        <v>2.0141999999999998</v>
      </c>
      <c r="R48" s="553">
        <f t="shared" ref="R48:AZ48" si="52">SUM(R44:R47)</f>
        <v>0</v>
      </c>
      <c r="S48" s="550">
        <f t="shared" si="52"/>
        <v>0</v>
      </c>
      <c r="T48" s="550">
        <f t="shared" si="52"/>
        <v>0</v>
      </c>
      <c r="U48" s="550">
        <f t="shared" si="52"/>
        <v>0</v>
      </c>
      <c r="V48" s="550">
        <f t="shared" si="52"/>
        <v>0</v>
      </c>
      <c r="W48" s="550">
        <f t="shared" si="52"/>
        <v>0</v>
      </c>
      <c r="X48" s="550">
        <f t="shared" si="52"/>
        <v>0</v>
      </c>
      <c r="Y48" s="550">
        <f t="shared" si="52"/>
        <v>0</v>
      </c>
      <c r="Z48" s="550">
        <f t="shared" si="52"/>
        <v>0</v>
      </c>
      <c r="AA48" s="550">
        <f t="shared" si="52"/>
        <v>0</v>
      </c>
      <c r="AB48" s="550">
        <f t="shared" si="52"/>
        <v>0</v>
      </c>
      <c r="AC48" s="550">
        <f t="shared" si="52"/>
        <v>0</v>
      </c>
      <c r="AD48" s="550">
        <f t="shared" si="52"/>
        <v>0</v>
      </c>
      <c r="AE48" s="550">
        <f t="shared" si="52"/>
        <v>0</v>
      </c>
      <c r="AF48" s="550">
        <f t="shared" si="52"/>
        <v>0</v>
      </c>
      <c r="AG48" s="550">
        <f t="shared" si="52"/>
        <v>0</v>
      </c>
      <c r="AH48" s="551">
        <f t="shared" si="52"/>
        <v>0</v>
      </c>
      <c r="AI48" s="551">
        <f t="shared" si="52"/>
        <v>0</v>
      </c>
      <c r="AJ48" s="551">
        <f t="shared" si="52"/>
        <v>0</v>
      </c>
      <c r="AK48" s="551">
        <f t="shared" si="52"/>
        <v>0</v>
      </c>
      <c r="AL48" s="551">
        <f t="shared" si="52"/>
        <v>0</v>
      </c>
      <c r="AM48" s="551">
        <f t="shared" si="52"/>
        <v>0</v>
      </c>
      <c r="AN48" s="551">
        <f t="shared" si="52"/>
        <v>0</v>
      </c>
      <c r="AO48" s="551">
        <f t="shared" si="52"/>
        <v>0</v>
      </c>
      <c r="AP48" s="551">
        <f t="shared" si="52"/>
        <v>0</v>
      </c>
      <c r="AQ48" s="44">
        <f t="shared" si="52"/>
        <v>0</v>
      </c>
      <c r="AR48" s="557">
        <f t="shared" si="52"/>
        <v>6064369</v>
      </c>
      <c r="AS48" s="550">
        <f t="shared" si="52"/>
        <v>4373744</v>
      </c>
      <c r="AT48" s="550">
        <f t="shared" si="52"/>
        <v>12103</v>
      </c>
      <c r="AU48" s="550">
        <f t="shared" si="52"/>
        <v>1482417</v>
      </c>
      <c r="AV48" s="550">
        <f t="shared" si="52"/>
        <v>87475</v>
      </c>
      <c r="AW48" s="550">
        <f t="shared" si="52"/>
        <v>108630</v>
      </c>
      <c r="AX48" s="551">
        <f t="shared" si="52"/>
        <v>9.1247000000000007</v>
      </c>
      <c r="AY48" s="551">
        <f t="shared" si="52"/>
        <v>7.1105</v>
      </c>
      <c r="AZ48" s="44">
        <f t="shared" si="52"/>
        <v>2.0141999999999998</v>
      </c>
    </row>
    <row r="49" spans="1:52" ht="13.5" customHeight="1" x14ac:dyDescent="0.2">
      <c r="A49" s="220">
        <v>10</v>
      </c>
      <c r="B49" s="221">
        <v>3402</v>
      </c>
      <c r="C49" s="221">
        <v>600078124</v>
      </c>
      <c r="D49" s="221">
        <v>70982643</v>
      </c>
      <c r="E49" s="219" t="s">
        <v>139</v>
      </c>
      <c r="F49" s="221">
        <v>3111</v>
      </c>
      <c r="G49" s="222" t="s">
        <v>312</v>
      </c>
      <c r="H49" s="223" t="s">
        <v>278</v>
      </c>
      <c r="I49" s="494">
        <v>5212086</v>
      </c>
      <c r="J49" s="489">
        <v>3812214</v>
      </c>
      <c r="K49" s="489">
        <v>0</v>
      </c>
      <c r="L49" s="489">
        <v>1288528</v>
      </c>
      <c r="M49" s="489">
        <v>76244</v>
      </c>
      <c r="N49" s="489">
        <v>35100</v>
      </c>
      <c r="O49" s="490">
        <v>8.2341999999999995</v>
      </c>
      <c r="P49" s="491">
        <v>6.1</v>
      </c>
      <c r="Q49" s="500">
        <v>2.1341999999999999</v>
      </c>
      <c r="R49" s="502">
        <f t="shared" si="2"/>
        <v>0</v>
      </c>
      <c r="S49" s="492">
        <v>0</v>
      </c>
      <c r="T49" s="492">
        <v>0</v>
      </c>
      <c r="U49" s="492">
        <v>0</v>
      </c>
      <c r="V49" s="492">
        <f t="shared" si="3"/>
        <v>0</v>
      </c>
      <c r="W49" s="492">
        <v>0</v>
      </c>
      <c r="X49" s="492">
        <v>0</v>
      </c>
      <c r="Y49" s="492">
        <v>0</v>
      </c>
      <c r="Z49" s="492">
        <f t="shared" si="4"/>
        <v>0</v>
      </c>
      <c r="AA49" s="492">
        <f t="shared" si="5"/>
        <v>0</v>
      </c>
      <c r="AB49" s="74">
        <f t="shared" si="6"/>
        <v>0</v>
      </c>
      <c r="AC49" s="74">
        <f t="shared" si="7"/>
        <v>0</v>
      </c>
      <c r="AD49" s="492">
        <v>0</v>
      </c>
      <c r="AE49" s="492">
        <v>0</v>
      </c>
      <c r="AF49" s="492">
        <f t="shared" si="8"/>
        <v>0</v>
      </c>
      <c r="AG49" s="492">
        <f t="shared" si="9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ref="AO49:AO51" si="53">AH49+AJ49+AM49+AK49</f>
        <v>0</v>
      </c>
      <c r="AP49" s="493">
        <f t="shared" ref="AP49:AP51" si="54">AI49+AN49+AL49</f>
        <v>0</v>
      </c>
      <c r="AQ49" s="495">
        <f t="shared" si="15"/>
        <v>0</v>
      </c>
      <c r="AR49" s="501">
        <f t="shared" si="11"/>
        <v>5212086</v>
      </c>
      <c r="AS49" s="492">
        <f t="shared" si="12"/>
        <v>3812214</v>
      </c>
      <c r="AT49" s="492">
        <f t="shared" ref="AT49:AT51" si="55">K49+Z49</f>
        <v>0</v>
      </c>
      <c r="AU49" s="492">
        <f t="shared" ref="AU49:AV51" si="56">L49+AB49</f>
        <v>1288528</v>
      </c>
      <c r="AV49" s="492">
        <f t="shared" si="56"/>
        <v>76244</v>
      </c>
      <c r="AW49" s="492">
        <f t="shared" si="13"/>
        <v>35100</v>
      </c>
      <c r="AX49" s="493">
        <f t="shared" si="14"/>
        <v>8.2341999999999995</v>
      </c>
      <c r="AY49" s="493">
        <f t="shared" ref="AY49:AZ51" si="57">P49+AO49</f>
        <v>6.1</v>
      </c>
      <c r="AZ49" s="495">
        <f t="shared" si="57"/>
        <v>2.1341999999999999</v>
      </c>
    </row>
    <row r="50" spans="1:52" ht="13.5" customHeight="1" x14ac:dyDescent="0.2">
      <c r="A50" s="220">
        <v>10</v>
      </c>
      <c r="B50" s="221">
        <v>3402</v>
      </c>
      <c r="C50" s="221">
        <v>600078124</v>
      </c>
      <c r="D50" s="221">
        <v>70982643</v>
      </c>
      <c r="E50" s="219" t="s">
        <v>139</v>
      </c>
      <c r="F50" s="221">
        <v>3111</v>
      </c>
      <c r="G50" s="222" t="s">
        <v>313</v>
      </c>
      <c r="H50" s="223" t="s">
        <v>279</v>
      </c>
      <c r="I50" s="494">
        <v>1074229</v>
      </c>
      <c r="J50" s="489">
        <v>791037</v>
      </c>
      <c r="K50" s="489">
        <v>0</v>
      </c>
      <c r="L50" s="489">
        <v>267371</v>
      </c>
      <c r="M50" s="489">
        <v>15821</v>
      </c>
      <c r="N50" s="489">
        <v>0</v>
      </c>
      <c r="O50" s="490">
        <v>2.42</v>
      </c>
      <c r="P50" s="491">
        <v>2.42</v>
      </c>
      <c r="Q50" s="500">
        <v>0</v>
      </c>
      <c r="R50" s="502">
        <f t="shared" si="2"/>
        <v>0</v>
      </c>
      <c r="S50" s="492">
        <v>0</v>
      </c>
      <c r="T50" s="492">
        <v>0</v>
      </c>
      <c r="U50" s="492">
        <v>0</v>
      </c>
      <c r="V50" s="492">
        <f t="shared" si="3"/>
        <v>0</v>
      </c>
      <c r="W50" s="492">
        <v>0</v>
      </c>
      <c r="X50" s="492">
        <v>0</v>
      </c>
      <c r="Y50" s="492">
        <v>0</v>
      </c>
      <c r="Z50" s="492">
        <f t="shared" si="4"/>
        <v>0</v>
      </c>
      <c r="AA50" s="492">
        <f t="shared" si="5"/>
        <v>0</v>
      </c>
      <c r="AB50" s="74">
        <f t="shared" si="6"/>
        <v>0</v>
      </c>
      <c r="AC50" s="74">
        <f t="shared" si="7"/>
        <v>0</v>
      </c>
      <c r="AD50" s="492">
        <v>0</v>
      </c>
      <c r="AE50" s="492">
        <v>0</v>
      </c>
      <c r="AF50" s="492">
        <f t="shared" si="8"/>
        <v>0</v>
      </c>
      <c r="AG50" s="492">
        <f t="shared" si="9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53"/>
        <v>0</v>
      </c>
      <c r="AP50" s="493">
        <f t="shared" si="54"/>
        <v>0</v>
      </c>
      <c r="AQ50" s="495">
        <f t="shared" si="15"/>
        <v>0</v>
      </c>
      <c r="AR50" s="501">
        <f t="shared" si="11"/>
        <v>1074229</v>
      </c>
      <c r="AS50" s="492">
        <f t="shared" si="12"/>
        <v>791037</v>
      </c>
      <c r="AT50" s="492">
        <f t="shared" si="55"/>
        <v>0</v>
      </c>
      <c r="AU50" s="492">
        <f t="shared" si="56"/>
        <v>267371</v>
      </c>
      <c r="AV50" s="492">
        <f t="shared" si="56"/>
        <v>15821</v>
      </c>
      <c r="AW50" s="492">
        <f t="shared" si="13"/>
        <v>0</v>
      </c>
      <c r="AX50" s="493">
        <f t="shared" si="14"/>
        <v>2.42</v>
      </c>
      <c r="AY50" s="493">
        <f t="shared" si="57"/>
        <v>2.42</v>
      </c>
      <c r="AZ50" s="495">
        <f t="shared" si="57"/>
        <v>0</v>
      </c>
    </row>
    <row r="51" spans="1:52" x14ac:dyDescent="0.2">
      <c r="A51" s="220">
        <v>10</v>
      </c>
      <c r="B51" s="221">
        <v>3402</v>
      </c>
      <c r="C51" s="221">
        <v>600078124</v>
      </c>
      <c r="D51" s="221">
        <v>70982643</v>
      </c>
      <c r="E51" s="219" t="s">
        <v>139</v>
      </c>
      <c r="F51" s="221">
        <v>3141</v>
      </c>
      <c r="G51" s="222" t="s">
        <v>316</v>
      </c>
      <c r="H51" s="223" t="s">
        <v>279</v>
      </c>
      <c r="I51" s="494">
        <v>2502043</v>
      </c>
      <c r="J51" s="489">
        <v>1830189</v>
      </c>
      <c r="K51" s="489">
        <v>0</v>
      </c>
      <c r="L51" s="489">
        <v>618604</v>
      </c>
      <c r="M51" s="489">
        <v>36604</v>
      </c>
      <c r="N51" s="489">
        <v>16646</v>
      </c>
      <c r="O51" s="490">
        <v>5.76</v>
      </c>
      <c r="P51" s="491">
        <v>0</v>
      </c>
      <c r="Q51" s="500">
        <v>5.76</v>
      </c>
      <c r="R51" s="502">
        <f t="shared" si="2"/>
        <v>0</v>
      </c>
      <c r="S51" s="492">
        <v>0</v>
      </c>
      <c r="T51" s="492">
        <v>0</v>
      </c>
      <c r="U51" s="492">
        <v>0</v>
      </c>
      <c r="V51" s="492">
        <f t="shared" si="3"/>
        <v>0</v>
      </c>
      <c r="W51" s="492">
        <v>0</v>
      </c>
      <c r="X51" s="492">
        <v>0</v>
      </c>
      <c r="Y51" s="492">
        <v>0</v>
      </c>
      <c r="Z51" s="492">
        <f t="shared" si="4"/>
        <v>0</v>
      </c>
      <c r="AA51" s="492">
        <f t="shared" si="5"/>
        <v>0</v>
      </c>
      <c r="AB51" s="74">
        <f t="shared" si="6"/>
        <v>0</v>
      </c>
      <c r="AC51" s="74">
        <f t="shared" si="7"/>
        <v>0</v>
      </c>
      <c r="AD51" s="492">
        <v>0</v>
      </c>
      <c r="AE51" s="492">
        <v>0</v>
      </c>
      <c r="AF51" s="492">
        <f t="shared" si="8"/>
        <v>0</v>
      </c>
      <c r="AG51" s="492">
        <f t="shared" si="9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si="53"/>
        <v>0</v>
      </c>
      <c r="AP51" s="493">
        <f t="shared" si="54"/>
        <v>0</v>
      </c>
      <c r="AQ51" s="495">
        <f t="shared" si="15"/>
        <v>0</v>
      </c>
      <c r="AR51" s="501">
        <f t="shared" si="11"/>
        <v>2502043</v>
      </c>
      <c r="AS51" s="492">
        <f t="shared" si="12"/>
        <v>1830189</v>
      </c>
      <c r="AT51" s="492">
        <f t="shared" si="55"/>
        <v>0</v>
      </c>
      <c r="AU51" s="492">
        <f t="shared" si="56"/>
        <v>618604</v>
      </c>
      <c r="AV51" s="492">
        <f t="shared" si="56"/>
        <v>36604</v>
      </c>
      <c r="AW51" s="492">
        <f t="shared" si="13"/>
        <v>16646</v>
      </c>
      <c r="AX51" s="493">
        <f t="shared" si="14"/>
        <v>5.76</v>
      </c>
      <c r="AY51" s="493">
        <f t="shared" si="57"/>
        <v>0</v>
      </c>
      <c r="AZ51" s="495">
        <f t="shared" si="57"/>
        <v>5.76</v>
      </c>
    </row>
    <row r="52" spans="1:52" x14ac:dyDescent="0.2">
      <c r="A52" s="166">
        <v>10</v>
      </c>
      <c r="B52" s="20">
        <v>3402</v>
      </c>
      <c r="C52" s="20">
        <v>600078124</v>
      </c>
      <c r="D52" s="20">
        <v>70982643</v>
      </c>
      <c r="E52" s="175" t="s">
        <v>140</v>
      </c>
      <c r="F52" s="20"/>
      <c r="G52" s="165"/>
      <c r="H52" s="199"/>
      <c r="I52" s="553">
        <v>8788358</v>
      </c>
      <c r="J52" s="550">
        <v>6433440</v>
      </c>
      <c r="K52" s="550">
        <v>0</v>
      </c>
      <c r="L52" s="550">
        <v>2174503</v>
      </c>
      <c r="M52" s="550">
        <v>128669</v>
      </c>
      <c r="N52" s="550">
        <v>51746</v>
      </c>
      <c r="O52" s="551">
        <v>16.414200000000001</v>
      </c>
      <c r="P52" s="551">
        <v>8.52</v>
      </c>
      <c r="Q52" s="555">
        <v>7.8941999999999997</v>
      </c>
      <c r="R52" s="553">
        <f t="shared" ref="R52:AZ52" si="58">SUM(R49:R51)</f>
        <v>0</v>
      </c>
      <c r="S52" s="550">
        <f t="shared" si="58"/>
        <v>0</v>
      </c>
      <c r="T52" s="550">
        <f t="shared" si="58"/>
        <v>0</v>
      </c>
      <c r="U52" s="550">
        <f t="shared" si="58"/>
        <v>0</v>
      </c>
      <c r="V52" s="550">
        <f t="shared" si="58"/>
        <v>0</v>
      </c>
      <c r="W52" s="550">
        <f t="shared" si="58"/>
        <v>0</v>
      </c>
      <c r="X52" s="550">
        <f t="shared" si="58"/>
        <v>0</v>
      </c>
      <c r="Y52" s="550">
        <f t="shared" si="58"/>
        <v>0</v>
      </c>
      <c r="Z52" s="550">
        <f t="shared" si="58"/>
        <v>0</v>
      </c>
      <c r="AA52" s="550">
        <f t="shared" si="58"/>
        <v>0</v>
      </c>
      <c r="AB52" s="550">
        <f t="shared" si="58"/>
        <v>0</v>
      </c>
      <c r="AC52" s="550">
        <f t="shared" si="58"/>
        <v>0</v>
      </c>
      <c r="AD52" s="550">
        <f t="shared" si="58"/>
        <v>0</v>
      </c>
      <c r="AE52" s="550">
        <f t="shared" si="58"/>
        <v>0</v>
      </c>
      <c r="AF52" s="550">
        <f t="shared" si="58"/>
        <v>0</v>
      </c>
      <c r="AG52" s="550">
        <f t="shared" si="58"/>
        <v>0</v>
      </c>
      <c r="AH52" s="551">
        <f t="shared" si="58"/>
        <v>0</v>
      </c>
      <c r="AI52" s="551">
        <f t="shared" si="58"/>
        <v>0</v>
      </c>
      <c r="AJ52" s="551">
        <f t="shared" si="58"/>
        <v>0</v>
      </c>
      <c r="AK52" s="551">
        <f t="shared" si="58"/>
        <v>0</v>
      </c>
      <c r="AL52" s="551">
        <f t="shared" si="58"/>
        <v>0</v>
      </c>
      <c r="AM52" s="551">
        <f t="shared" si="58"/>
        <v>0</v>
      </c>
      <c r="AN52" s="551">
        <f t="shared" si="58"/>
        <v>0</v>
      </c>
      <c r="AO52" s="551">
        <f t="shared" si="58"/>
        <v>0</v>
      </c>
      <c r="AP52" s="551">
        <f t="shared" si="58"/>
        <v>0</v>
      </c>
      <c r="AQ52" s="44">
        <f t="shared" si="58"/>
        <v>0</v>
      </c>
      <c r="AR52" s="557">
        <f t="shared" si="58"/>
        <v>8788358</v>
      </c>
      <c r="AS52" s="550">
        <f t="shared" si="58"/>
        <v>6433440</v>
      </c>
      <c r="AT52" s="550">
        <f t="shared" si="58"/>
        <v>0</v>
      </c>
      <c r="AU52" s="550">
        <f t="shared" si="58"/>
        <v>2174503</v>
      </c>
      <c r="AV52" s="550">
        <f t="shared" si="58"/>
        <v>128669</v>
      </c>
      <c r="AW52" s="550">
        <f t="shared" si="58"/>
        <v>51746</v>
      </c>
      <c r="AX52" s="551">
        <f t="shared" si="58"/>
        <v>16.414200000000001</v>
      </c>
      <c r="AY52" s="551">
        <f t="shared" si="58"/>
        <v>8.52</v>
      </c>
      <c r="AZ52" s="44">
        <f t="shared" si="58"/>
        <v>7.8941999999999997</v>
      </c>
    </row>
    <row r="53" spans="1:52" x14ac:dyDescent="0.2">
      <c r="A53" s="220">
        <v>11</v>
      </c>
      <c r="B53" s="221">
        <v>3429</v>
      </c>
      <c r="C53" s="221">
        <v>600078256</v>
      </c>
      <c r="D53" s="221">
        <v>43257151</v>
      </c>
      <c r="E53" s="219" t="s">
        <v>141</v>
      </c>
      <c r="F53" s="221">
        <v>3113</v>
      </c>
      <c r="G53" s="222" t="s">
        <v>315</v>
      </c>
      <c r="H53" s="223" t="s">
        <v>278</v>
      </c>
      <c r="I53" s="494">
        <v>15935798</v>
      </c>
      <c r="J53" s="489">
        <v>11367716</v>
      </c>
      <c r="K53" s="489">
        <v>130000</v>
      </c>
      <c r="L53" s="489">
        <v>3886228</v>
      </c>
      <c r="M53" s="489">
        <v>227354</v>
      </c>
      <c r="N53" s="489">
        <v>324500</v>
      </c>
      <c r="O53" s="490">
        <v>19.217400000000001</v>
      </c>
      <c r="P53" s="491">
        <v>14.732900000000001</v>
      </c>
      <c r="Q53" s="500">
        <v>4.4845000000000006</v>
      </c>
      <c r="R53" s="502">
        <f t="shared" si="2"/>
        <v>0</v>
      </c>
      <c r="S53" s="492">
        <v>0</v>
      </c>
      <c r="T53" s="492">
        <v>546106</v>
      </c>
      <c r="U53" s="492">
        <v>0</v>
      </c>
      <c r="V53" s="492">
        <f t="shared" si="3"/>
        <v>546106</v>
      </c>
      <c r="W53" s="492">
        <v>0</v>
      </c>
      <c r="X53" s="492">
        <v>0</v>
      </c>
      <c r="Y53" s="492">
        <v>0</v>
      </c>
      <c r="Z53" s="492">
        <f t="shared" si="4"/>
        <v>0</v>
      </c>
      <c r="AA53" s="492">
        <f t="shared" si="5"/>
        <v>546106</v>
      </c>
      <c r="AB53" s="74">
        <f t="shared" si="6"/>
        <v>184584</v>
      </c>
      <c r="AC53" s="74">
        <f t="shared" si="7"/>
        <v>10922</v>
      </c>
      <c r="AD53" s="492">
        <v>0</v>
      </c>
      <c r="AE53" s="492">
        <v>0</v>
      </c>
      <c r="AF53" s="492">
        <f t="shared" si="8"/>
        <v>0</v>
      </c>
      <c r="AG53" s="492">
        <f t="shared" si="9"/>
        <v>741612</v>
      </c>
      <c r="AH53" s="493">
        <v>0</v>
      </c>
      <c r="AI53" s="493">
        <v>0</v>
      </c>
      <c r="AJ53" s="493">
        <v>0</v>
      </c>
      <c r="AK53" s="493">
        <v>0.87</v>
      </c>
      <c r="AL53" s="493">
        <v>0</v>
      </c>
      <c r="AM53" s="493">
        <v>0</v>
      </c>
      <c r="AN53" s="493">
        <v>0</v>
      </c>
      <c r="AO53" s="493">
        <f t="shared" ref="AO53:AO56" si="59">AH53+AJ53+AM53+AK53</f>
        <v>0.87</v>
      </c>
      <c r="AP53" s="493">
        <f t="shared" ref="AP53:AP56" si="60">AI53+AN53+AL53</f>
        <v>0</v>
      </c>
      <c r="AQ53" s="495">
        <f t="shared" si="15"/>
        <v>0.87</v>
      </c>
      <c r="AR53" s="501">
        <f t="shared" si="11"/>
        <v>16677410</v>
      </c>
      <c r="AS53" s="492">
        <f t="shared" si="12"/>
        <v>11913822</v>
      </c>
      <c r="AT53" s="492">
        <f t="shared" ref="AT53:AT56" si="61">K53+Z53</f>
        <v>130000</v>
      </c>
      <c r="AU53" s="492">
        <f t="shared" ref="AU53:AV56" si="62">L53+AB53</f>
        <v>4070812</v>
      </c>
      <c r="AV53" s="492">
        <f t="shared" si="62"/>
        <v>238276</v>
      </c>
      <c r="AW53" s="492">
        <f t="shared" si="13"/>
        <v>324500</v>
      </c>
      <c r="AX53" s="493">
        <f t="shared" si="14"/>
        <v>20.087400000000002</v>
      </c>
      <c r="AY53" s="493">
        <f t="shared" ref="AY53:AZ56" si="63">P53+AO53</f>
        <v>15.6029</v>
      </c>
      <c r="AZ53" s="495">
        <f t="shared" si="63"/>
        <v>4.4845000000000006</v>
      </c>
    </row>
    <row r="54" spans="1:52" x14ac:dyDescent="0.2">
      <c r="A54" s="220">
        <v>11</v>
      </c>
      <c r="B54" s="221">
        <v>3429</v>
      </c>
      <c r="C54" s="221">
        <v>600078256</v>
      </c>
      <c r="D54" s="221">
        <v>43257151</v>
      </c>
      <c r="E54" s="219" t="s">
        <v>141</v>
      </c>
      <c r="F54" s="221">
        <v>3113</v>
      </c>
      <c r="G54" s="222" t="s">
        <v>313</v>
      </c>
      <c r="H54" s="223" t="s">
        <v>279</v>
      </c>
      <c r="I54" s="494">
        <v>1356633</v>
      </c>
      <c r="J54" s="489">
        <v>998993</v>
      </c>
      <c r="K54" s="489">
        <v>0</v>
      </c>
      <c r="L54" s="489">
        <v>337660</v>
      </c>
      <c r="M54" s="489">
        <v>19980</v>
      </c>
      <c r="N54" s="489">
        <v>0</v>
      </c>
      <c r="O54" s="490">
        <v>2.85</v>
      </c>
      <c r="P54" s="491">
        <v>2.85</v>
      </c>
      <c r="Q54" s="500">
        <v>0</v>
      </c>
      <c r="R54" s="502">
        <f t="shared" si="2"/>
        <v>0</v>
      </c>
      <c r="S54" s="492">
        <v>-17352</v>
      </c>
      <c r="T54" s="492">
        <v>0</v>
      </c>
      <c r="U54" s="492">
        <v>0</v>
      </c>
      <c r="V54" s="492">
        <f t="shared" si="3"/>
        <v>-17352</v>
      </c>
      <c r="W54" s="492">
        <v>0</v>
      </c>
      <c r="X54" s="492">
        <v>0</v>
      </c>
      <c r="Y54" s="492">
        <v>0</v>
      </c>
      <c r="Z54" s="492">
        <f t="shared" si="4"/>
        <v>0</v>
      </c>
      <c r="AA54" s="492">
        <f t="shared" si="5"/>
        <v>-17352</v>
      </c>
      <c r="AB54" s="74">
        <f t="shared" si="6"/>
        <v>-5865</v>
      </c>
      <c r="AC54" s="74">
        <f t="shared" si="7"/>
        <v>-347</v>
      </c>
      <c r="AD54" s="492">
        <v>0</v>
      </c>
      <c r="AE54" s="492">
        <v>0</v>
      </c>
      <c r="AF54" s="492">
        <f t="shared" si="8"/>
        <v>0</v>
      </c>
      <c r="AG54" s="492">
        <f t="shared" si="9"/>
        <v>-23564</v>
      </c>
      <c r="AH54" s="493">
        <v>0</v>
      </c>
      <c r="AI54" s="493">
        <v>0</v>
      </c>
      <c r="AJ54" s="493">
        <v>-0.04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59"/>
        <v>-0.04</v>
      </c>
      <c r="AP54" s="493">
        <f t="shared" si="60"/>
        <v>0</v>
      </c>
      <c r="AQ54" s="495">
        <f t="shared" si="15"/>
        <v>-0.04</v>
      </c>
      <c r="AR54" s="501">
        <f t="shared" si="11"/>
        <v>1333069</v>
      </c>
      <c r="AS54" s="492">
        <f t="shared" si="12"/>
        <v>981641</v>
      </c>
      <c r="AT54" s="492">
        <f t="shared" si="61"/>
        <v>0</v>
      </c>
      <c r="AU54" s="492">
        <f t="shared" si="62"/>
        <v>331795</v>
      </c>
      <c r="AV54" s="492">
        <f t="shared" si="62"/>
        <v>19633</v>
      </c>
      <c r="AW54" s="492">
        <f t="shared" si="13"/>
        <v>0</v>
      </c>
      <c r="AX54" s="493">
        <f t="shared" si="14"/>
        <v>2.81</v>
      </c>
      <c r="AY54" s="493">
        <f t="shared" si="63"/>
        <v>2.81</v>
      </c>
      <c r="AZ54" s="495">
        <f t="shared" si="63"/>
        <v>0</v>
      </c>
    </row>
    <row r="55" spans="1:52" s="3" customFormat="1" x14ac:dyDescent="0.2">
      <c r="A55" s="220">
        <v>11</v>
      </c>
      <c r="B55" s="221">
        <v>3429</v>
      </c>
      <c r="C55" s="221">
        <v>600078256</v>
      </c>
      <c r="D55" s="221">
        <v>43257151</v>
      </c>
      <c r="E55" s="219" t="s">
        <v>141</v>
      </c>
      <c r="F55" s="221">
        <v>3143</v>
      </c>
      <c r="G55" s="222" t="s">
        <v>629</v>
      </c>
      <c r="H55" s="243" t="s">
        <v>278</v>
      </c>
      <c r="I55" s="494">
        <v>1403888</v>
      </c>
      <c r="J55" s="489">
        <v>1033791</v>
      </c>
      <c r="K55" s="489">
        <v>0</v>
      </c>
      <c r="L55" s="489">
        <v>349421</v>
      </c>
      <c r="M55" s="489">
        <v>20676</v>
      </c>
      <c r="N55" s="489">
        <v>0</v>
      </c>
      <c r="O55" s="490">
        <v>2.2599999999999998</v>
      </c>
      <c r="P55" s="491">
        <v>2.2599999999999998</v>
      </c>
      <c r="Q55" s="500">
        <v>0</v>
      </c>
      <c r="R55" s="502">
        <f t="shared" si="2"/>
        <v>0</v>
      </c>
      <c r="S55" s="492">
        <v>0</v>
      </c>
      <c r="T55" s="492">
        <v>0</v>
      </c>
      <c r="U55" s="492">
        <v>0</v>
      </c>
      <c r="V55" s="492">
        <f t="shared" si="3"/>
        <v>0</v>
      </c>
      <c r="W55" s="492">
        <v>0</v>
      </c>
      <c r="X55" s="492">
        <v>0</v>
      </c>
      <c r="Y55" s="492">
        <v>0</v>
      </c>
      <c r="Z55" s="492">
        <f t="shared" si="4"/>
        <v>0</v>
      </c>
      <c r="AA55" s="492">
        <f t="shared" si="5"/>
        <v>0</v>
      </c>
      <c r="AB55" s="74">
        <f t="shared" si="6"/>
        <v>0</v>
      </c>
      <c r="AC55" s="74">
        <f t="shared" si="7"/>
        <v>0</v>
      </c>
      <c r="AD55" s="492">
        <v>0</v>
      </c>
      <c r="AE55" s="492">
        <v>0</v>
      </c>
      <c r="AF55" s="492">
        <f t="shared" si="8"/>
        <v>0</v>
      </c>
      <c r="AG55" s="492">
        <f t="shared" si="9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59"/>
        <v>0</v>
      </c>
      <c r="AP55" s="493">
        <f t="shared" si="60"/>
        <v>0</v>
      </c>
      <c r="AQ55" s="495">
        <f t="shared" si="15"/>
        <v>0</v>
      </c>
      <c r="AR55" s="501">
        <f t="shared" si="11"/>
        <v>1403888</v>
      </c>
      <c r="AS55" s="492">
        <f t="shared" si="12"/>
        <v>1033791</v>
      </c>
      <c r="AT55" s="492">
        <f t="shared" si="61"/>
        <v>0</v>
      </c>
      <c r="AU55" s="492">
        <f t="shared" si="62"/>
        <v>349421</v>
      </c>
      <c r="AV55" s="492">
        <f t="shared" si="62"/>
        <v>20676</v>
      </c>
      <c r="AW55" s="492">
        <f t="shared" si="13"/>
        <v>0</v>
      </c>
      <c r="AX55" s="493">
        <f t="shared" si="14"/>
        <v>2.2599999999999998</v>
      </c>
      <c r="AY55" s="493">
        <f t="shared" si="63"/>
        <v>2.2599999999999998</v>
      </c>
      <c r="AZ55" s="495">
        <f t="shared" si="63"/>
        <v>0</v>
      </c>
    </row>
    <row r="56" spans="1:52" s="3" customFormat="1" x14ac:dyDescent="0.2">
      <c r="A56" s="220">
        <v>11</v>
      </c>
      <c r="B56" s="221">
        <v>3429</v>
      </c>
      <c r="C56" s="221">
        <v>600078256</v>
      </c>
      <c r="D56" s="221">
        <v>43257151</v>
      </c>
      <c r="E56" s="219" t="s">
        <v>141</v>
      </c>
      <c r="F56" s="221">
        <v>3143</v>
      </c>
      <c r="G56" s="222" t="s">
        <v>630</v>
      </c>
      <c r="H56" s="243" t="s">
        <v>279</v>
      </c>
      <c r="I56" s="494">
        <v>40824</v>
      </c>
      <c r="J56" s="489">
        <v>28869</v>
      </c>
      <c r="K56" s="489">
        <v>0</v>
      </c>
      <c r="L56" s="489">
        <v>9758</v>
      </c>
      <c r="M56" s="489">
        <v>577</v>
      </c>
      <c r="N56" s="489">
        <v>1620</v>
      </c>
      <c r="O56" s="490">
        <v>0.11</v>
      </c>
      <c r="P56" s="491">
        <v>0</v>
      </c>
      <c r="Q56" s="500">
        <v>0.11</v>
      </c>
      <c r="R56" s="502">
        <f t="shared" si="2"/>
        <v>0</v>
      </c>
      <c r="S56" s="492">
        <v>0</v>
      </c>
      <c r="T56" s="492">
        <v>0</v>
      </c>
      <c r="U56" s="492">
        <v>0</v>
      </c>
      <c r="V56" s="492">
        <f t="shared" si="3"/>
        <v>0</v>
      </c>
      <c r="W56" s="492">
        <v>0</v>
      </c>
      <c r="X56" s="492">
        <v>0</v>
      </c>
      <c r="Y56" s="492">
        <v>0</v>
      </c>
      <c r="Z56" s="492">
        <f t="shared" si="4"/>
        <v>0</v>
      </c>
      <c r="AA56" s="492">
        <f t="shared" si="5"/>
        <v>0</v>
      </c>
      <c r="AB56" s="74">
        <f t="shared" si="6"/>
        <v>0</v>
      </c>
      <c r="AC56" s="74">
        <f t="shared" si="7"/>
        <v>0</v>
      </c>
      <c r="AD56" s="492">
        <v>0</v>
      </c>
      <c r="AE56" s="492">
        <v>0</v>
      </c>
      <c r="AF56" s="492">
        <f t="shared" si="8"/>
        <v>0</v>
      </c>
      <c r="AG56" s="492">
        <f t="shared" si="9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59"/>
        <v>0</v>
      </c>
      <c r="AP56" s="493">
        <f t="shared" si="60"/>
        <v>0</v>
      </c>
      <c r="AQ56" s="495">
        <f t="shared" si="15"/>
        <v>0</v>
      </c>
      <c r="AR56" s="501">
        <f t="shared" si="11"/>
        <v>40824</v>
      </c>
      <c r="AS56" s="492">
        <f t="shared" si="12"/>
        <v>28869</v>
      </c>
      <c r="AT56" s="492">
        <f t="shared" si="61"/>
        <v>0</v>
      </c>
      <c r="AU56" s="492">
        <f t="shared" si="62"/>
        <v>9758</v>
      </c>
      <c r="AV56" s="492">
        <f t="shared" si="62"/>
        <v>577</v>
      </c>
      <c r="AW56" s="492">
        <f t="shared" si="13"/>
        <v>1620</v>
      </c>
      <c r="AX56" s="493">
        <f t="shared" si="14"/>
        <v>0.11</v>
      </c>
      <c r="AY56" s="493">
        <f t="shared" si="63"/>
        <v>0</v>
      </c>
      <c r="AZ56" s="495">
        <f t="shared" si="63"/>
        <v>0.11</v>
      </c>
    </row>
    <row r="57" spans="1:52" x14ac:dyDescent="0.2">
      <c r="A57" s="166">
        <v>11</v>
      </c>
      <c r="B57" s="20">
        <v>3429</v>
      </c>
      <c r="C57" s="20">
        <v>600078256</v>
      </c>
      <c r="D57" s="20">
        <v>43257151</v>
      </c>
      <c r="E57" s="175" t="s">
        <v>142</v>
      </c>
      <c r="F57" s="20"/>
      <c r="G57" s="165"/>
      <c r="H57" s="199"/>
      <c r="I57" s="553">
        <v>18737143</v>
      </c>
      <c r="J57" s="550">
        <v>13429369</v>
      </c>
      <c r="K57" s="550">
        <v>130000</v>
      </c>
      <c r="L57" s="550">
        <v>4583067</v>
      </c>
      <c r="M57" s="550">
        <v>268587</v>
      </c>
      <c r="N57" s="550">
        <v>326120</v>
      </c>
      <c r="O57" s="551">
        <v>24.437400000000004</v>
      </c>
      <c r="P57" s="551">
        <v>19.8429</v>
      </c>
      <c r="Q57" s="555">
        <v>4.5945000000000009</v>
      </c>
      <c r="R57" s="553">
        <f t="shared" ref="R57:AZ57" si="64">SUM(R53:R56)</f>
        <v>0</v>
      </c>
      <c r="S57" s="550">
        <f t="shared" si="64"/>
        <v>-17352</v>
      </c>
      <c r="T57" s="550">
        <f t="shared" si="64"/>
        <v>546106</v>
      </c>
      <c r="U57" s="550">
        <f t="shared" si="64"/>
        <v>0</v>
      </c>
      <c r="V57" s="550">
        <f t="shared" si="64"/>
        <v>528754</v>
      </c>
      <c r="W57" s="550">
        <f t="shared" si="64"/>
        <v>0</v>
      </c>
      <c r="X57" s="550">
        <f t="shared" si="64"/>
        <v>0</v>
      </c>
      <c r="Y57" s="550">
        <f t="shared" si="64"/>
        <v>0</v>
      </c>
      <c r="Z57" s="550">
        <f t="shared" si="64"/>
        <v>0</v>
      </c>
      <c r="AA57" s="550">
        <f t="shared" si="64"/>
        <v>528754</v>
      </c>
      <c r="AB57" s="550">
        <f t="shared" si="64"/>
        <v>178719</v>
      </c>
      <c r="AC57" s="550">
        <f t="shared" si="64"/>
        <v>10575</v>
      </c>
      <c r="AD57" s="550">
        <f t="shared" si="64"/>
        <v>0</v>
      </c>
      <c r="AE57" s="550">
        <f t="shared" si="64"/>
        <v>0</v>
      </c>
      <c r="AF57" s="550">
        <f t="shared" si="64"/>
        <v>0</v>
      </c>
      <c r="AG57" s="550">
        <f t="shared" si="64"/>
        <v>718048</v>
      </c>
      <c r="AH57" s="551">
        <f t="shared" si="64"/>
        <v>0</v>
      </c>
      <c r="AI57" s="551">
        <f t="shared" si="64"/>
        <v>0</v>
      </c>
      <c r="AJ57" s="551">
        <f t="shared" si="64"/>
        <v>-0.04</v>
      </c>
      <c r="AK57" s="551">
        <f t="shared" si="64"/>
        <v>0.87</v>
      </c>
      <c r="AL57" s="551">
        <f t="shared" si="64"/>
        <v>0</v>
      </c>
      <c r="AM57" s="551">
        <f t="shared" si="64"/>
        <v>0</v>
      </c>
      <c r="AN57" s="551">
        <f t="shared" si="64"/>
        <v>0</v>
      </c>
      <c r="AO57" s="551">
        <f t="shared" si="64"/>
        <v>0.83</v>
      </c>
      <c r="AP57" s="551">
        <f t="shared" si="64"/>
        <v>0</v>
      </c>
      <c r="AQ57" s="44">
        <f t="shared" si="64"/>
        <v>0.83</v>
      </c>
      <c r="AR57" s="557">
        <f t="shared" si="64"/>
        <v>19455191</v>
      </c>
      <c r="AS57" s="550">
        <f t="shared" si="64"/>
        <v>13958123</v>
      </c>
      <c r="AT57" s="550">
        <f t="shared" si="64"/>
        <v>130000</v>
      </c>
      <c r="AU57" s="550">
        <f t="shared" si="64"/>
        <v>4761786</v>
      </c>
      <c r="AV57" s="550">
        <f t="shared" si="64"/>
        <v>279162</v>
      </c>
      <c r="AW57" s="550">
        <f t="shared" si="64"/>
        <v>326120</v>
      </c>
      <c r="AX57" s="551">
        <f t="shared" si="64"/>
        <v>25.267400000000002</v>
      </c>
      <c r="AY57" s="551">
        <f t="shared" si="64"/>
        <v>20.672899999999998</v>
      </c>
      <c r="AZ57" s="44">
        <f t="shared" si="64"/>
        <v>4.5945000000000009</v>
      </c>
    </row>
    <row r="58" spans="1:52" x14ac:dyDescent="0.2">
      <c r="A58" s="220">
        <v>12</v>
      </c>
      <c r="B58" s="221">
        <v>3405</v>
      </c>
      <c r="C58" s="221">
        <v>600078337</v>
      </c>
      <c r="D58" s="221">
        <v>70698325</v>
      </c>
      <c r="E58" s="219" t="s">
        <v>143</v>
      </c>
      <c r="F58" s="221">
        <v>3111</v>
      </c>
      <c r="G58" s="222" t="s">
        <v>312</v>
      </c>
      <c r="H58" s="223" t="s">
        <v>278</v>
      </c>
      <c r="I58" s="494">
        <v>1529756</v>
      </c>
      <c r="J58" s="489">
        <v>1118856</v>
      </c>
      <c r="K58" s="489">
        <v>0</v>
      </c>
      <c r="L58" s="489">
        <v>378173</v>
      </c>
      <c r="M58" s="489">
        <v>22377</v>
      </c>
      <c r="N58" s="489">
        <v>10350</v>
      </c>
      <c r="O58" s="490">
        <v>2.4382999999999999</v>
      </c>
      <c r="P58" s="491">
        <v>1.9274</v>
      </c>
      <c r="Q58" s="500">
        <v>0.51090000000000002</v>
      </c>
      <c r="R58" s="502">
        <f t="shared" si="2"/>
        <v>0</v>
      </c>
      <c r="S58" s="492">
        <v>0</v>
      </c>
      <c r="T58" s="492">
        <v>0</v>
      </c>
      <c r="U58" s="492">
        <v>0</v>
      </c>
      <c r="V58" s="492">
        <f t="shared" si="3"/>
        <v>0</v>
      </c>
      <c r="W58" s="492">
        <v>0</v>
      </c>
      <c r="X58" s="492">
        <v>0</v>
      </c>
      <c r="Y58" s="492">
        <v>0</v>
      </c>
      <c r="Z58" s="492">
        <f t="shared" si="4"/>
        <v>0</v>
      </c>
      <c r="AA58" s="492">
        <f t="shared" si="5"/>
        <v>0</v>
      </c>
      <c r="AB58" s="74">
        <f t="shared" si="6"/>
        <v>0</v>
      </c>
      <c r="AC58" s="74">
        <f t="shared" si="7"/>
        <v>0</v>
      </c>
      <c r="AD58" s="492">
        <v>0</v>
      </c>
      <c r="AE58" s="492">
        <v>0</v>
      </c>
      <c r="AF58" s="492">
        <f t="shared" si="8"/>
        <v>0</v>
      </c>
      <c r="AG58" s="492">
        <f t="shared" si="9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ref="AO58:AO63" si="65">AH58+AJ58+AM58+AK58</f>
        <v>0</v>
      </c>
      <c r="AP58" s="493">
        <f t="shared" ref="AP58:AP63" si="66">AI58+AN58+AL58</f>
        <v>0</v>
      </c>
      <c r="AQ58" s="495">
        <f t="shared" si="15"/>
        <v>0</v>
      </c>
      <c r="AR58" s="501">
        <f t="shared" si="11"/>
        <v>1529756</v>
      </c>
      <c r="AS58" s="492">
        <f t="shared" si="12"/>
        <v>1118856</v>
      </c>
      <c r="AT58" s="492">
        <f t="shared" ref="AT58:AT63" si="67">K58+Z58</f>
        <v>0</v>
      </c>
      <c r="AU58" s="492">
        <f t="shared" ref="AU58:AV63" si="68">L58+AB58</f>
        <v>378173</v>
      </c>
      <c r="AV58" s="492">
        <f t="shared" si="68"/>
        <v>22377</v>
      </c>
      <c r="AW58" s="492">
        <f t="shared" si="13"/>
        <v>10350</v>
      </c>
      <c r="AX58" s="493">
        <f t="shared" si="14"/>
        <v>2.4382999999999999</v>
      </c>
      <c r="AY58" s="493">
        <f t="shared" ref="AY58:AZ63" si="69">P58+AO58</f>
        <v>1.9274</v>
      </c>
      <c r="AZ58" s="495">
        <f t="shared" si="69"/>
        <v>0.51090000000000002</v>
      </c>
    </row>
    <row r="59" spans="1:52" x14ac:dyDescent="0.2">
      <c r="A59" s="220">
        <v>12</v>
      </c>
      <c r="B59" s="221">
        <v>3405</v>
      </c>
      <c r="C59" s="221">
        <v>600078337</v>
      </c>
      <c r="D59" s="221">
        <v>70698325</v>
      </c>
      <c r="E59" s="219" t="s">
        <v>143</v>
      </c>
      <c r="F59" s="221">
        <v>3117</v>
      </c>
      <c r="G59" s="222" t="s">
        <v>315</v>
      </c>
      <c r="H59" s="223" t="s">
        <v>278</v>
      </c>
      <c r="I59" s="494">
        <v>2138300</v>
      </c>
      <c r="J59" s="489">
        <v>1545633</v>
      </c>
      <c r="K59" s="489">
        <v>0</v>
      </c>
      <c r="L59" s="489">
        <v>522424</v>
      </c>
      <c r="M59" s="489">
        <v>30913</v>
      </c>
      <c r="N59" s="489">
        <v>39330</v>
      </c>
      <c r="O59" s="490">
        <v>2.6459000000000001</v>
      </c>
      <c r="P59" s="491">
        <v>1.6818</v>
      </c>
      <c r="Q59" s="500">
        <v>0.96410000000000007</v>
      </c>
      <c r="R59" s="502">
        <f t="shared" si="2"/>
        <v>0</v>
      </c>
      <c r="S59" s="492">
        <v>0</v>
      </c>
      <c r="T59" s="492">
        <v>0</v>
      </c>
      <c r="U59" s="492">
        <v>0</v>
      </c>
      <c r="V59" s="492">
        <f t="shared" si="3"/>
        <v>0</v>
      </c>
      <c r="W59" s="492">
        <v>0</v>
      </c>
      <c r="X59" s="492">
        <v>0</v>
      </c>
      <c r="Y59" s="492">
        <v>0</v>
      </c>
      <c r="Z59" s="492">
        <f t="shared" si="4"/>
        <v>0</v>
      </c>
      <c r="AA59" s="492">
        <f t="shared" si="5"/>
        <v>0</v>
      </c>
      <c r="AB59" s="74">
        <f t="shared" si="6"/>
        <v>0</v>
      </c>
      <c r="AC59" s="74">
        <f t="shared" si="7"/>
        <v>0</v>
      </c>
      <c r="AD59" s="492">
        <v>0</v>
      </c>
      <c r="AE59" s="492">
        <v>0</v>
      </c>
      <c r="AF59" s="492">
        <f t="shared" si="8"/>
        <v>0</v>
      </c>
      <c r="AG59" s="492">
        <f t="shared" si="9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65"/>
        <v>0</v>
      </c>
      <c r="AP59" s="493">
        <f t="shared" si="66"/>
        <v>0</v>
      </c>
      <c r="AQ59" s="495">
        <f t="shared" si="15"/>
        <v>0</v>
      </c>
      <c r="AR59" s="501">
        <f t="shared" si="11"/>
        <v>2138300</v>
      </c>
      <c r="AS59" s="492">
        <f t="shared" si="12"/>
        <v>1545633</v>
      </c>
      <c r="AT59" s="492">
        <f t="shared" si="67"/>
        <v>0</v>
      </c>
      <c r="AU59" s="492">
        <f t="shared" si="68"/>
        <v>522424</v>
      </c>
      <c r="AV59" s="492">
        <f t="shared" si="68"/>
        <v>30913</v>
      </c>
      <c r="AW59" s="492">
        <f t="shared" si="13"/>
        <v>39330</v>
      </c>
      <c r="AX59" s="493">
        <f t="shared" si="14"/>
        <v>2.6459000000000001</v>
      </c>
      <c r="AY59" s="493">
        <f t="shared" si="69"/>
        <v>1.6818</v>
      </c>
      <c r="AZ59" s="495">
        <f t="shared" si="69"/>
        <v>0.96410000000000007</v>
      </c>
    </row>
    <row r="60" spans="1:52" x14ac:dyDescent="0.2">
      <c r="A60" s="220">
        <v>12</v>
      </c>
      <c r="B60" s="221">
        <v>3405</v>
      </c>
      <c r="C60" s="221">
        <v>600078337</v>
      </c>
      <c r="D60" s="221">
        <v>70698325</v>
      </c>
      <c r="E60" s="219" t="s">
        <v>143</v>
      </c>
      <c r="F60" s="221">
        <v>3117</v>
      </c>
      <c r="G60" s="222" t="s">
        <v>313</v>
      </c>
      <c r="H60" s="223" t="s">
        <v>279</v>
      </c>
      <c r="I60" s="494">
        <v>470470</v>
      </c>
      <c r="J60" s="489">
        <v>346443</v>
      </c>
      <c r="K60" s="489">
        <v>0</v>
      </c>
      <c r="L60" s="489">
        <v>117098</v>
      </c>
      <c r="M60" s="489">
        <v>6929</v>
      </c>
      <c r="N60" s="489">
        <v>0</v>
      </c>
      <c r="O60" s="490">
        <v>1</v>
      </c>
      <c r="P60" s="491">
        <v>1</v>
      </c>
      <c r="Q60" s="500">
        <v>0</v>
      </c>
      <c r="R60" s="502">
        <f t="shared" si="2"/>
        <v>0</v>
      </c>
      <c r="S60" s="492">
        <v>0</v>
      </c>
      <c r="T60" s="492">
        <v>0</v>
      </c>
      <c r="U60" s="492">
        <v>0</v>
      </c>
      <c r="V60" s="492">
        <f t="shared" si="3"/>
        <v>0</v>
      </c>
      <c r="W60" s="492">
        <v>0</v>
      </c>
      <c r="X60" s="492">
        <v>0</v>
      </c>
      <c r="Y60" s="492">
        <v>0</v>
      </c>
      <c r="Z60" s="492">
        <f t="shared" si="4"/>
        <v>0</v>
      </c>
      <c r="AA60" s="492">
        <f t="shared" si="5"/>
        <v>0</v>
      </c>
      <c r="AB60" s="74">
        <f t="shared" si="6"/>
        <v>0</v>
      </c>
      <c r="AC60" s="74">
        <f t="shared" si="7"/>
        <v>0</v>
      </c>
      <c r="AD60" s="492">
        <v>0</v>
      </c>
      <c r="AE60" s="492">
        <v>0</v>
      </c>
      <c r="AF60" s="492">
        <f t="shared" si="8"/>
        <v>0</v>
      </c>
      <c r="AG60" s="492">
        <f t="shared" si="9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65"/>
        <v>0</v>
      </c>
      <c r="AP60" s="493">
        <f t="shared" si="66"/>
        <v>0</v>
      </c>
      <c r="AQ60" s="495">
        <f t="shared" si="15"/>
        <v>0</v>
      </c>
      <c r="AR60" s="501">
        <f t="shared" si="11"/>
        <v>470470</v>
      </c>
      <c r="AS60" s="492">
        <f t="shared" si="12"/>
        <v>346443</v>
      </c>
      <c r="AT60" s="492">
        <f t="shared" si="67"/>
        <v>0</v>
      </c>
      <c r="AU60" s="492">
        <f t="shared" si="68"/>
        <v>117098</v>
      </c>
      <c r="AV60" s="492">
        <f t="shared" si="68"/>
        <v>6929</v>
      </c>
      <c r="AW60" s="492">
        <f t="shared" si="13"/>
        <v>0</v>
      </c>
      <c r="AX60" s="493">
        <f t="shared" si="14"/>
        <v>1</v>
      </c>
      <c r="AY60" s="493">
        <f t="shared" si="69"/>
        <v>1</v>
      </c>
      <c r="AZ60" s="495">
        <f t="shared" si="69"/>
        <v>0</v>
      </c>
    </row>
    <row r="61" spans="1:52" x14ac:dyDescent="0.2">
      <c r="A61" s="220">
        <v>12</v>
      </c>
      <c r="B61" s="221">
        <v>3405</v>
      </c>
      <c r="C61" s="221">
        <v>600078337</v>
      </c>
      <c r="D61" s="221">
        <v>70698325</v>
      </c>
      <c r="E61" s="219" t="s">
        <v>143</v>
      </c>
      <c r="F61" s="221">
        <v>3141</v>
      </c>
      <c r="G61" s="222" t="s">
        <v>316</v>
      </c>
      <c r="H61" s="223" t="s">
        <v>279</v>
      </c>
      <c r="I61" s="494">
        <v>658050</v>
      </c>
      <c r="J61" s="489">
        <v>482651</v>
      </c>
      <c r="K61" s="489">
        <v>0</v>
      </c>
      <c r="L61" s="489">
        <v>163136</v>
      </c>
      <c r="M61" s="489">
        <v>9653</v>
      </c>
      <c r="N61" s="489">
        <v>2610</v>
      </c>
      <c r="O61" s="490">
        <v>1.52</v>
      </c>
      <c r="P61" s="491">
        <v>0</v>
      </c>
      <c r="Q61" s="500">
        <v>1.52</v>
      </c>
      <c r="R61" s="502">
        <f t="shared" si="2"/>
        <v>0</v>
      </c>
      <c r="S61" s="492">
        <v>0</v>
      </c>
      <c r="T61" s="492">
        <v>0</v>
      </c>
      <c r="U61" s="492">
        <v>0</v>
      </c>
      <c r="V61" s="492">
        <f t="shared" si="3"/>
        <v>0</v>
      </c>
      <c r="W61" s="492">
        <v>0</v>
      </c>
      <c r="X61" s="492">
        <v>0</v>
      </c>
      <c r="Y61" s="492">
        <v>0</v>
      </c>
      <c r="Z61" s="492">
        <f t="shared" si="4"/>
        <v>0</v>
      </c>
      <c r="AA61" s="492">
        <f t="shared" si="5"/>
        <v>0</v>
      </c>
      <c r="AB61" s="74">
        <f t="shared" si="6"/>
        <v>0</v>
      </c>
      <c r="AC61" s="74">
        <f t="shared" si="7"/>
        <v>0</v>
      </c>
      <c r="AD61" s="492">
        <v>0</v>
      </c>
      <c r="AE61" s="492">
        <v>0</v>
      </c>
      <c r="AF61" s="492">
        <f t="shared" si="8"/>
        <v>0</v>
      </c>
      <c r="AG61" s="492">
        <f t="shared" si="9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65"/>
        <v>0</v>
      </c>
      <c r="AP61" s="493">
        <f t="shared" si="66"/>
        <v>0</v>
      </c>
      <c r="AQ61" s="495">
        <f t="shared" si="15"/>
        <v>0</v>
      </c>
      <c r="AR61" s="501">
        <f t="shared" si="11"/>
        <v>658050</v>
      </c>
      <c r="AS61" s="492">
        <f t="shared" si="12"/>
        <v>482651</v>
      </c>
      <c r="AT61" s="492">
        <f t="shared" si="67"/>
        <v>0</v>
      </c>
      <c r="AU61" s="492">
        <f t="shared" si="68"/>
        <v>163136</v>
      </c>
      <c r="AV61" s="492">
        <f t="shared" si="68"/>
        <v>9653</v>
      </c>
      <c r="AW61" s="492">
        <f t="shared" si="13"/>
        <v>2610</v>
      </c>
      <c r="AX61" s="493">
        <f t="shared" si="14"/>
        <v>1.52</v>
      </c>
      <c r="AY61" s="493">
        <f t="shared" si="69"/>
        <v>0</v>
      </c>
      <c r="AZ61" s="495">
        <f t="shared" si="69"/>
        <v>1.52</v>
      </c>
    </row>
    <row r="62" spans="1:52" x14ac:dyDescent="0.2">
      <c r="A62" s="220">
        <v>12</v>
      </c>
      <c r="B62" s="221">
        <v>3405</v>
      </c>
      <c r="C62" s="221">
        <v>600078337</v>
      </c>
      <c r="D62" s="221">
        <v>70698325</v>
      </c>
      <c r="E62" s="219" t="s">
        <v>143</v>
      </c>
      <c r="F62" s="221">
        <v>3143</v>
      </c>
      <c r="G62" s="222" t="s">
        <v>629</v>
      </c>
      <c r="H62" s="243" t="s">
        <v>278</v>
      </c>
      <c r="I62" s="494">
        <v>263773</v>
      </c>
      <c r="J62" s="489">
        <v>194236</v>
      </c>
      <c r="K62" s="489">
        <v>0</v>
      </c>
      <c r="L62" s="489">
        <v>65652</v>
      </c>
      <c r="M62" s="489">
        <v>3885</v>
      </c>
      <c r="N62" s="489">
        <v>0</v>
      </c>
      <c r="O62" s="490">
        <v>0.43330000000000002</v>
      </c>
      <c r="P62" s="491">
        <v>0.43330000000000002</v>
      </c>
      <c r="Q62" s="500">
        <v>0</v>
      </c>
      <c r="R62" s="502">
        <f t="shared" si="2"/>
        <v>0</v>
      </c>
      <c r="S62" s="492">
        <v>0</v>
      </c>
      <c r="T62" s="492">
        <v>0</v>
      </c>
      <c r="U62" s="492">
        <v>0</v>
      </c>
      <c r="V62" s="492">
        <f t="shared" si="3"/>
        <v>0</v>
      </c>
      <c r="W62" s="492">
        <v>0</v>
      </c>
      <c r="X62" s="492">
        <v>0</v>
      </c>
      <c r="Y62" s="492">
        <v>0</v>
      </c>
      <c r="Z62" s="492">
        <f t="shared" si="4"/>
        <v>0</v>
      </c>
      <c r="AA62" s="492">
        <f t="shared" si="5"/>
        <v>0</v>
      </c>
      <c r="AB62" s="74">
        <f t="shared" si="6"/>
        <v>0</v>
      </c>
      <c r="AC62" s="74">
        <f t="shared" si="7"/>
        <v>0</v>
      </c>
      <c r="AD62" s="492">
        <v>0</v>
      </c>
      <c r="AE62" s="492">
        <v>0</v>
      </c>
      <c r="AF62" s="492">
        <f t="shared" si="8"/>
        <v>0</v>
      </c>
      <c r="AG62" s="492">
        <f t="shared" si="9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65"/>
        <v>0</v>
      </c>
      <c r="AP62" s="493">
        <f t="shared" si="66"/>
        <v>0</v>
      </c>
      <c r="AQ62" s="495">
        <f t="shared" si="15"/>
        <v>0</v>
      </c>
      <c r="AR62" s="501">
        <f t="shared" si="11"/>
        <v>263773</v>
      </c>
      <c r="AS62" s="492">
        <f t="shared" si="12"/>
        <v>194236</v>
      </c>
      <c r="AT62" s="492">
        <f t="shared" si="67"/>
        <v>0</v>
      </c>
      <c r="AU62" s="492">
        <f t="shared" si="68"/>
        <v>65652</v>
      </c>
      <c r="AV62" s="492">
        <f t="shared" si="68"/>
        <v>3885</v>
      </c>
      <c r="AW62" s="492">
        <f t="shared" si="13"/>
        <v>0</v>
      </c>
      <c r="AX62" s="493">
        <f t="shared" si="14"/>
        <v>0.43330000000000002</v>
      </c>
      <c r="AY62" s="493">
        <f t="shared" si="69"/>
        <v>0.43330000000000002</v>
      </c>
      <c r="AZ62" s="495">
        <f t="shared" si="69"/>
        <v>0</v>
      </c>
    </row>
    <row r="63" spans="1:52" x14ac:dyDescent="0.2">
      <c r="A63" s="220">
        <v>12</v>
      </c>
      <c r="B63" s="221">
        <v>3405</v>
      </c>
      <c r="C63" s="221">
        <v>600078337</v>
      </c>
      <c r="D63" s="221">
        <v>70698325</v>
      </c>
      <c r="E63" s="219" t="s">
        <v>143</v>
      </c>
      <c r="F63" s="221">
        <v>3143</v>
      </c>
      <c r="G63" s="222" t="s">
        <v>630</v>
      </c>
      <c r="H63" s="243" t="s">
        <v>279</v>
      </c>
      <c r="I63" s="494">
        <v>11339</v>
      </c>
      <c r="J63" s="489">
        <v>8019</v>
      </c>
      <c r="K63" s="489">
        <v>0</v>
      </c>
      <c r="L63" s="489">
        <v>2710</v>
      </c>
      <c r="M63" s="489">
        <v>160</v>
      </c>
      <c r="N63" s="489">
        <v>450</v>
      </c>
      <c r="O63" s="490">
        <v>0.03</v>
      </c>
      <c r="P63" s="491">
        <v>0</v>
      </c>
      <c r="Q63" s="500">
        <v>0.03</v>
      </c>
      <c r="R63" s="502">
        <f t="shared" si="2"/>
        <v>0</v>
      </c>
      <c r="S63" s="492">
        <v>0</v>
      </c>
      <c r="T63" s="492">
        <v>0</v>
      </c>
      <c r="U63" s="492">
        <v>0</v>
      </c>
      <c r="V63" s="492">
        <f t="shared" si="3"/>
        <v>0</v>
      </c>
      <c r="W63" s="492">
        <v>0</v>
      </c>
      <c r="X63" s="492">
        <v>0</v>
      </c>
      <c r="Y63" s="492">
        <v>0</v>
      </c>
      <c r="Z63" s="492">
        <f t="shared" si="4"/>
        <v>0</v>
      </c>
      <c r="AA63" s="492">
        <f t="shared" si="5"/>
        <v>0</v>
      </c>
      <c r="AB63" s="74">
        <f t="shared" si="6"/>
        <v>0</v>
      </c>
      <c r="AC63" s="74">
        <f t="shared" si="7"/>
        <v>0</v>
      </c>
      <c r="AD63" s="492">
        <v>0</v>
      </c>
      <c r="AE63" s="492">
        <v>0</v>
      </c>
      <c r="AF63" s="492">
        <f t="shared" si="8"/>
        <v>0</v>
      </c>
      <c r="AG63" s="492">
        <f t="shared" si="9"/>
        <v>0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</v>
      </c>
      <c r="AN63" s="493">
        <v>0</v>
      </c>
      <c r="AO63" s="493">
        <f t="shared" si="65"/>
        <v>0</v>
      </c>
      <c r="AP63" s="493">
        <f t="shared" si="66"/>
        <v>0</v>
      </c>
      <c r="AQ63" s="495">
        <f t="shared" si="15"/>
        <v>0</v>
      </c>
      <c r="AR63" s="501">
        <f t="shared" si="11"/>
        <v>11339</v>
      </c>
      <c r="AS63" s="492">
        <f t="shared" si="12"/>
        <v>8019</v>
      </c>
      <c r="AT63" s="492">
        <f t="shared" si="67"/>
        <v>0</v>
      </c>
      <c r="AU63" s="492">
        <f t="shared" si="68"/>
        <v>2710</v>
      </c>
      <c r="AV63" s="492">
        <f t="shared" si="68"/>
        <v>160</v>
      </c>
      <c r="AW63" s="492">
        <f t="shared" si="13"/>
        <v>450</v>
      </c>
      <c r="AX63" s="493">
        <f t="shared" si="14"/>
        <v>0.03</v>
      </c>
      <c r="AY63" s="493">
        <f t="shared" si="69"/>
        <v>0</v>
      </c>
      <c r="AZ63" s="495">
        <f t="shared" si="69"/>
        <v>0.03</v>
      </c>
    </row>
    <row r="64" spans="1:52" x14ac:dyDescent="0.2">
      <c r="A64" s="166">
        <v>12</v>
      </c>
      <c r="B64" s="20">
        <v>3405</v>
      </c>
      <c r="C64" s="20">
        <v>600078337</v>
      </c>
      <c r="D64" s="20">
        <v>70698325</v>
      </c>
      <c r="E64" s="175" t="s">
        <v>144</v>
      </c>
      <c r="F64" s="20"/>
      <c r="G64" s="165"/>
      <c r="H64" s="199"/>
      <c r="I64" s="553">
        <v>5071688</v>
      </c>
      <c r="J64" s="550">
        <v>3695838</v>
      </c>
      <c r="K64" s="550">
        <v>0</v>
      </c>
      <c r="L64" s="550">
        <v>1249193</v>
      </c>
      <c r="M64" s="550">
        <v>73917</v>
      </c>
      <c r="N64" s="550">
        <v>52740</v>
      </c>
      <c r="O64" s="551">
        <v>8.0675000000000008</v>
      </c>
      <c r="P64" s="551">
        <v>5.0424999999999995</v>
      </c>
      <c r="Q64" s="555">
        <v>3.0249999999999999</v>
      </c>
      <c r="R64" s="553">
        <f t="shared" ref="R64:AZ64" si="70">SUM(R58:R63)</f>
        <v>0</v>
      </c>
      <c r="S64" s="550">
        <f t="shared" si="70"/>
        <v>0</v>
      </c>
      <c r="T64" s="550">
        <f t="shared" si="70"/>
        <v>0</v>
      </c>
      <c r="U64" s="550">
        <f t="shared" si="70"/>
        <v>0</v>
      </c>
      <c r="V64" s="550">
        <f t="shared" si="70"/>
        <v>0</v>
      </c>
      <c r="W64" s="550">
        <f t="shared" si="70"/>
        <v>0</v>
      </c>
      <c r="X64" s="550">
        <f t="shared" si="70"/>
        <v>0</v>
      </c>
      <c r="Y64" s="550">
        <f t="shared" si="70"/>
        <v>0</v>
      </c>
      <c r="Z64" s="550">
        <f t="shared" si="70"/>
        <v>0</v>
      </c>
      <c r="AA64" s="550">
        <f t="shared" si="70"/>
        <v>0</v>
      </c>
      <c r="AB64" s="550">
        <f t="shared" si="70"/>
        <v>0</v>
      </c>
      <c r="AC64" s="550">
        <f t="shared" si="70"/>
        <v>0</v>
      </c>
      <c r="AD64" s="550">
        <f t="shared" si="70"/>
        <v>0</v>
      </c>
      <c r="AE64" s="550">
        <f t="shared" si="70"/>
        <v>0</v>
      </c>
      <c r="AF64" s="550">
        <f t="shared" si="70"/>
        <v>0</v>
      </c>
      <c r="AG64" s="550">
        <f t="shared" si="70"/>
        <v>0</v>
      </c>
      <c r="AH64" s="551">
        <f t="shared" si="70"/>
        <v>0</v>
      </c>
      <c r="AI64" s="551">
        <f t="shared" si="70"/>
        <v>0</v>
      </c>
      <c r="AJ64" s="551">
        <f t="shared" si="70"/>
        <v>0</v>
      </c>
      <c r="AK64" s="551">
        <f t="shared" si="70"/>
        <v>0</v>
      </c>
      <c r="AL64" s="551">
        <f t="shared" si="70"/>
        <v>0</v>
      </c>
      <c r="AM64" s="551">
        <f t="shared" si="70"/>
        <v>0</v>
      </c>
      <c r="AN64" s="551">
        <f t="shared" si="70"/>
        <v>0</v>
      </c>
      <c r="AO64" s="551">
        <f t="shared" si="70"/>
        <v>0</v>
      </c>
      <c r="AP64" s="551">
        <f t="shared" si="70"/>
        <v>0</v>
      </c>
      <c r="AQ64" s="44">
        <f t="shared" si="70"/>
        <v>0</v>
      </c>
      <c r="AR64" s="557">
        <f t="shared" si="70"/>
        <v>5071688</v>
      </c>
      <c r="AS64" s="550">
        <f t="shared" si="70"/>
        <v>3695838</v>
      </c>
      <c r="AT64" s="550">
        <f t="shared" si="70"/>
        <v>0</v>
      </c>
      <c r="AU64" s="550">
        <f t="shared" si="70"/>
        <v>1249193</v>
      </c>
      <c r="AV64" s="550">
        <f t="shared" si="70"/>
        <v>73917</v>
      </c>
      <c r="AW64" s="550">
        <f t="shared" si="70"/>
        <v>52740</v>
      </c>
      <c r="AX64" s="551">
        <f t="shared" si="70"/>
        <v>8.0675000000000008</v>
      </c>
      <c r="AY64" s="551">
        <f t="shared" si="70"/>
        <v>5.0424999999999995</v>
      </c>
      <c r="AZ64" s="44">
        <f t="shared" si="70"/>
        <v>3.0249999999999999</v>
      </c>
    </row>
    <row r="65" spans="1:52" x14ac:dyDescent="0.2">
      <c r="A65" s="220">
        <v>13</v>
      </c>
      <c r="B65" s="221">
        <v>3444</v>
      </c>
      <c r="C65" s="221">
        <v>600078086</v>
      </c>
      <c r="D65" s="221">
        <v>16389573</v>
      </c>
      <c r="E65" s="219" t="s">
        <v>145</v>
      </c>
      <c r="F65" s="221">
        <v>3111</v>
      </c>
      <c r="G65" s="222" t="s">
        <v>312</v>
      </c>
      <c r="H65" s="223" t="s">
        <v>278</v>
      </c>
      <c r="I65" s="494">
        <v>3536736</v>
      </c>
      <c r="J65" s="489">
        <v>2578163</v>
      </c>
      <c r="K65" s="489">
        <v>8775</v>
      </c>
      <c r="L65" s="489">
        <v>874385</v>
      </c>
      <c r="M65" s="489">
        <v>51563</v>
      </c>
      <c r="N65" s="489">
        <v>23850</v>
      </c>
      <c r="O65" s="490">
        <v>5.4597999999999995</v>
      </c>
      <c r="P65" s="491">
        <v>4</v>
      </c>
      <c r="Q65" s="500">
        <v>1.4598</v>
      </c>
      <c r="R65" s="502">
        <f t="shared" si="2"/>
        <v>0</v>
      </c>
      <c r="S65" s="492">
        <v>0</v>
      </c>
      <c r="T65" s="492">
        <v>0</v>
      </c>
      <c r="U65" s="492">
        <v>0</v>
      </c>
      <c r="V65" s="492">
        <f t="shared" si="3"/>
        <v>0</v>
      </c>
      <c r="W65" s="492">
        <v>0</v>
      </c>
      <c r="X65" s="492">
        <v>0</v>
      </c>
      <c r="Y65" s="492">
        <v>0</v>
      </c>
      <c r="Z65" s="492">
        <f t="shared" si="4"/>
        <v>0</v>
      </c>
      <c r="AA65" s="492">
        <f t="shared" si="5"/>
        <v>0</v>
      </c>
      <c r="AB65" s="74">
        <f t="shared" si="6"/>
        <v>0</v>
      </c>
      <c r="AC65" s="74">
        <f t="shared" si="7"/>
        <v>0</v>
      </c>
      <c r="AD65" s="492">
        <v>0</v>
      </c>
      <c r="AE65" s="492">
        <v>0</v>
      </c>
      <c r="AF65" s="492">
        <f t="shared" si="8"/>
        <v>0</v>
      </c>
      <c r="AG65" s="492">
        <f t="shared" si="9"/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ref="AO65:AO66" si="71">AH65+AJ65+AM65+AK65</f>
        <v>0</v>
      </c>
      <c r="AP65" s="493">
        <f t="shared" ref="AP65:AP66" si="72">AI65+AN65+AL65</f>
        <v>0</v>
      </c>
      <c r="AQ65" s="495">
        <f t="shared" si="15"/>
        <v>0</v>
      </c>
      <c r="AR65" s="501">
        <f t="shared" si="11"/>
        <v>3536736</v>
      </c>
      <c r="AS65" s="492">
        <f t="shared" si="12"/>
        <v>2578163</v>
      </c>
      <c r="AT65" s="492">
        <f t="shared" ref="AT65:AT66" si="73">K65+Z65</f>
        <v>8775</v>
      </c>
      <c r="AU65" s="492">
        <f>L65+AB65</f>
        <v>874385</v>
      </c>
      <c r="AV65" s="492">
        <f>M65+AC65</f>
        <v>51563</v>
      </c>
      <c r="AW65" s="492">
        <f t="shared" si="13"/>
        <v>23850</v>
      </c>
      <c r="AX65" s="493">
        <f t="shared" si="14"/>
        <v>5.4597999999999995</v>
      </c>
      <c r="AY65" s="493">
        <f>P65+AO65</f>
        <v>4</v>
      </c>
      <c r="AZ65" s="495">
        <f>Q65+AP65</f>
        <v>1.4598</v>
      </c>
    </row>
    <row r="66" spans="1:52" x14ac:dyDescent="0.2">
      <c r="A66" s="220">
        <v>13</v>
      </c>
      <c r="B66" s="221">
        <v>3444</v>
      </c>
      <c r="C66" s="221">
        <v>600078086</v>
      </c>
      <c r="D66" s="221">
        <v>16389573</v>
      </c>
      <c r="E66" s="219" t="s">
        <v>145</v>
      </c>
      <c r="F66" s="221">
        <v>3141</v>
      </c>
      <c r="G66" s="222" t="s">
        <v>316</v>
      </c>
      <c r="H66" s="223" t="s">
        <v>279</v>
      </c>
      <c r="I66" s="494">
        <v>715486</v>
      </c>
      <c r="J66" s="489">
        <v>520442</v>
      </c>
      <c r="K66" s="489">
        <v>4225</v>
      </c>
      <c r="L66" s="489">
        <v>177337</v>
      </c>
      <c r="M66" s="489">
        <v>10408</v>
      </c>
      <c r="N66" s="489">
        <v>3074</v>
      </c>
      <c r="O66" s="490">
        <v>1.65</v>
      </c>
      <c r="P66" s="491">
        <v>0</v>
      </c>
      <c r="Q66" s="500">
        <v>1.65</v>
      </c>
      <c r="R66" s="502">
        <f t="shared" si="2"/>
        <v>0</v>
      </c>
      <c r="S66" s="492">
        <v>0</v>
      </c>
      <c r="T66" s="492">
        <v>0</v>
      </c>
      <c r="U66" s="492">
        <v>0</v>
      </c>
      <c r="V66" s="492">
        <f t="shared" si="3"/>
        <v>0</v>
      </c>
      <c r="W66" s="492">
        <v>0</v>
      </c>
      <c r="X66" s="492">
        <v>0</v>
      </c>
      <c r="Y66" s="492">
        <v>0</v>
      </c>
      <c r="Z66" s="492">
        <f t="shared" si="4"/>
        <v>0</v>
      </c>
      <c r="AA66" s="492">
        <f t="shared" si="5"/>
        <v>0</v>
      </c>
      <c r="AB66" s="74">
        <f t="shared" si="6"/>
        <v>0</v>
      </c>
      <c r="AC66" s="74">
        <f t="shared" si="7"/>
        <v>0</v>
      </c>
      <c r="AD66" s="492">
        <v>0</v>
      </c>
      <c r="AE66" s="492">
        <v>0</v>
      </c>
      <c r="AF66" s="492">
        <f t="shared" si="8"/>
        <v>0</v>
      </c>
      <c r="AG66" s="492">
        <f t="shared" si="9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71"/>
        <v>0</v>
      </c>
      <c r="AP66" s="493">
        <f t="shared" si="72"/>
        <v>0</v>
      </c>
      <c r="AQ66" s="495">
        <f t="shared" si="15"/>
        <v>0</v>
      </c>
      <c r="AR66" s="501">
        <f t="shared" si="11"/>
        <v>715486</v>
      </c>
      <c r="AS66" s="492">
        <f t="shared" si="12"/>
        <v>520442</v>
      </c>
      <c r="AT66" s="492">
        <f t="shared" si="73"/>
        <v>4225</v>
      </c>
      <c r="AU66" s="492">
        <f>L66+AB66</f>
        <v>177337</v>
      </c>
      <c r="AV66" s="492">
        <f>M66+AC66</f>
        <v>10408</v>
      </c>
      <c r="AW66" s="492">
        <f t="shared" si="13"/>
        <v>3074</v>
      </c>
      <c r="AX66" s="493">
        <f t="shared" si="14"/>
        <v>1.65</v>
      </c>
      <c r="AY66" s="493">
        <f>P66+AO66</f>
        <v>0</v>
      </c>
      <c r="AZ66" s="495">
        <f>Q66+AP66</f>
        <v>1.65</v>
      </c>
    </row>
    <row r="67" spans="1:52" x14ac:dyDescent="0.2">
      <c r="A67" s="166">
        <v>13</v>
      </c>
      <c r="B67" s="20">
        <v>3444</v>
      </c>
      <c r="C67" s="20">
        <v>600078086</v>
      </c>
      <c r="D67" s="20">
        <v>16389573</v>
      </c>
      <c r="E67" s="175" t="s">
        <v>146</v>
      </c>
      <c r="F67" s="20"/>
      <c r="G67" s="165"/>
      <c r="H67" s="199"/>
      <c r="I67" s="553">
        <v>4252222</v>
      </c>
      <c r="J67" s="550">
        <v>3098605</v>
      </c>
      <c r="K67" s="550">
        <v>13000</v>
      </c>
      <c r="L67" s="550">
        <v>1051722</v>
      </c>
      <c r="M67" s="550">
        <v>61971</v>
      </c>
      <c r="N67" s="550">
        <v>26924</v>
      </c>
      <c r="O67" s="551">
        <v>7.1097999999999999</v>
      </c>
      <c r="P67" s="551">
        <v>4</v>
      </c>
      <c r="Q67" s="555">
        <v>3.1097999999999999</v>
      </c>
      <c r="R67" s="553">
        <f t="shared" ref="R67:AZ67" si="74">SUM(R65:R66)</f>
        <v>0</v>
      </c>
      <c r="S67" s="550">
        <f t="shared" si="74"/>
        <v>0</v>
      </c>
      <c r="T67" s="550">
        <f t="shared" si="74"/>
        <v>0</v>
      </c>
      <c r="U67" s="550">
        <f t="shared" si="74"/>
        <v>0</v>
      </c>
      <c r="V67" s="550">
        <f t="shared" si="74"/>
        <v>0</v>
      </c>
      <c r="W67" s="550">
        <f t="shared" si="74"/>
        <v>0</v>
      </c>
      <c r="X67" s="550">
        <f t="shared" si="74"/>
        <v>0</v>
      </c>
      <c r="Y67" s="550">
        <f t="shared" si="74"/>
        <v>0</v>
      </c>
      <c r="Z67" s="550">
        <f t="shared" si="74"/>
        <v>0</v>
      </c>
      <c r="AA67" s="550">
        <f t="shared" si="74"/>
        <v>0</v>
      </c>
      <c r="AB67" s="550">
        <f t="shared" si="74"/>
        <v>0</v>
      </c>
      <c r="AC67" s="550">
        <f t="shared" si="74"/>
        <v>0</v>
      </c>
      <c r="AD67" s="550">
        <f t="shared" si="74"/>
        <v>0</v>
      </c>
      <c r="AE67" s="550">
        <f t="shared" si="74"/>
        <v>0</v>
      </c>
      <c r="AF67" s="550">
        <f t="shared" si="74"/>
        <v>0</v>
      </c>
      <c r="AG67" s="550">
        <f t="shared" si="74"/>
        <v>0</v>
      </c>
      <c r="AH67" s="551">
        <f t="shared" si="74"/>
        <v>0</v>
      </c>
      <c r="AI67" s="551">
        <f t="shared" si="74"/>
        <v>0</v>
      </c>
      <c r="AJ67" s="551">
        <f t="shared" si="74"/>
        <v>0</v>
      </c>
      <c r="AK67" s="551">
        <f t="shared" si="74"/>
        <v>0</v>
      </c>
      <c r="AL67" s="551">
        <f t="shared" si="74"/>
        <v>0</v>
      </c>
      <c r="AM67" s="551">
        <f t="shared" si="74"/>
        <v>0</v>
      </c>
      <c r="AN67" s="551">
        <f t="shared" si="74"/>
        <v>0</v>
      </c>
      <c r="AO67" s="551">
        <f t="shared" si="74"/>
        <v>0</v>
      </c>
      <c r="AP67" s="551">
        <f t="shared" si="74"/>
        <v>0</v>
      </c>
      <c r="AQ67" s="44">
        <f t="shared" si="74"/>
        <v>0</v>
      </c>
      <c r="AR67" s="557">
        <f t="shared" si="74"/>
        <v>4252222</v>
      </c>
      <c r="AS67" s="550">
        <f t="shared" si="74"/>
        <v>3098605</v>
      </c>
      <c r="AT67" s="550">
        <f t="shared" si="74"/>
        <v>13000</v>
      </c>
      <c r="AU67" s="550">
        <f t="shared" si="74"/>
        <v>1051722</v>
      </c>
      <c r="AV67" s="550">
        <f t="shared" si="74"/>
        <v>61971</v>
      </c>
      <c r="AW67" s="550">
        <f t="shared" si="74"/>
        <v>26924</v>
      </c>
      <c r="AX67" s="551">
        <f t="shared" si="74"/>
        <v>7.1097999999999999</v>
      </c>
      <c r="AY67" s="551">
        <f t="shared" si="74"/>
        <v>4</v>
      </c>
      <c r="AZ67" s="44">
        <f t="shared" si="74"/>
        <v>3.1097999999999999</v>
      </c>
    </row>
    <row r="68" spans="1:52" x14ac:dyDescent="0.2">
      <c r="A68" s="220">
        <v>14</v>
      </c>
      <c r="B68" s="221">
        <v>3443</v>
      </c>
      <c r="C68" s="221">
        <v>600078582</v>
      </c>
      <c r="D68" s="221">
        <v>16389581</v>
      </c>
      <c r="E68" s="219" t="s">
        <v>147</v>
      </c>
      <c r="F68" s="221">
        <v>3113</v>
      </c>
      <c r="G68" s="222" t="s">
        <v>315</v>
      </c>
      <c r="H68" s="223" t="s">
        <v>278</v>
      </c>
      <c r="I68" s="494">
        <v>13092411</v>
      </c>
      <c r="J68" s="489">
        <v>9344361</v>
      </c>
      <c r="K68" s="489">
        <v>110500</v>
      </c>
      <c r="L68" s="489">
        <v>3195743</v>
      </c>
      <c r="M68" s="489">
        <v>186887</v>
      </c>
      <c r="N68" s="489">
        <v>254920</v>
      </c>
      <c r="O68" s="490">
        <v>17.023599999999998</v>
      </c>
      <c r="P68" s="491">
        <v>12.869100000000001</v>
      </c>
      <c r="Q68" s="500">
        <v>4.1544999999999996</v>
      </c>
      <c r="R68" s="502">
        <f t="shared" si="2"/>
        <v>0</v>
      </c>
      <c r="S68" s="492">
        <v>0</v>
      </c>
      <c r="T68" s="492">
        <v>0</v>
      </c>
      <c r="U68" s="492">
        <v>0</v>
      </c>
      <c r="V68" s="492">
        <f t="shared" si="3"/>
        <v>0</v>
      </c>
      <c r="W68" s="492">
        <v>0</v>
      </c>
      <c r="X68" s="492">
        <v>0</v>
      </c>
      <c r="Y68" s="492">
        <v>0</v>
      </c>
      <c r="Z68" s="492">
        <f t="shared" si="4"/>
        <v>0</v>
      </c>
      <c r="AA68" s="492">
        <f t="shared" si="5"/>
        <v>0</v>
      </c>
      <c r="AB68" s="74">
        <f t="shared" si="6"/>
        <v>0</v>
      </c>
      <c r="AC68" s="74">
        <f t="shared" si="7"/>
        <v>0</v>
      </c>
      <c r="AD68" s="492">
        <v>0</v>
      </c>
      <c r="AE68" s="492">
        <v>0</v>
      </c>
      <c r="AF68" s="492">
        <f t="shared" si="8"/>
        <v>0</v>
      </c>
      <c r="AG68" s="492">
        <f t="shared" si="9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ref="AO68:AO72" si="75">AH68+AJ68+AM68+AK68</f>
        <v>0</v>
      </c>
      <c r="AP68" s="493">
        <f t="shared" ref="AP68:AP72" si="76">AI68+AN68+AL68</f>
        <v>0</v>
      </c>
      <c r="AQ68" s="495">
        <f t="shared" si="15"/>
        <v>0</v>
      </c>
      <c r="AR68" s="501">
        <f t="shared" si="11"/>
        <v>13092411</v>
      </c>
      <c r="AS68" s="492">
        <f t="shared" si="12"/>
        <v>9344361</v>
      </c>
      <c r="AT68" s="492">
        <f t="shared" ref="AT68:AT72" si="77">K68+Z68</f>
        <v>110500</v>
      </c>
      <c r="AU68" s="492">
        <f t="shared" ref="AU68:AV72" si="78">L68+AB68</f>
        <v>3195743</v>
      </c>
      <c r="AV68" s="492">
        <f t="shared" si="78"/>
        <v>186887</v>
      </c>
      <c r="AW68" s="492">
        <f t="shared" si="13"/>
        <v>254920</v>
      </c>
      <c r="AX68" s="493">
        <f t="shared" si="14"/>
        <v>17.023599999999998</v>
      </c>
      <c r="AY68" s="493">
        <f t="shared" ref="AY68:AZ72" si="79">P68+AO68</f>
        <v>12.869100000000001</v>
      </c>
      <c r="AZ68" s="495">
        <f t="shared" si="79"/>
        <v>4.1544999999999996</v>
      </c>
    </row>
    <row r="69" spans="1:52" x14ac:dyDescent="0.2">
      <c r="A69" s="220">
        <v>14</v>
      </c>
      <c r="B69" s="221">
        <v>3443</v>
      </c>
      <c r="C69" s="221">
        <v>600078582</v>
      </c>
      <c r="D69" s="221">
        <v>16389581</v>
      </c>
      <c r="E69" s="219" t="s">
        <v>147</v>
      </c>
      <c r="F69" s="221">
        <v>3113</v>
      </c>
      <c r="G69" s="222" t="s">
        <v>313</v>
      </c>
      <c r="H69" s="223" t="s">
        <v>279</v>
      </c>
      <c r="I69" s="494">
        <v>951508</v>
      </c>
      <c r="J69" s="489">
        <v>700669</v>
      </c>
      <c r="K69" s="489">
        <v>0</v>
      </c>
      <c r="L69" s="489">
        <v>236826</v>
      </c>
      <c r="M69" s="489">
        <v>14013</v>
      </c>
      <c r="N69" s="489">
        <v>0</v>
      </c>
      <c r="O69" s="490">
        <v>1.99</v>
      </c>
      <c r="P69" s="491">
        <v>1.99</v>
      </c>
      <c r="Q69" s="500">
        <v>0</v>
      </c>
      <c r="R69" s="502">
        <f t="shared" si="2"/>
        <v>0</v>
      </c>
      <c r="S69" s="492">
        <v>0</v>
      </c>
      <c r="T69" s="492">
        <v>0</v>
      </c>
      <c r="U69" s="492">
        <v>0</v>
      </c>
      <c r="V69" s="492">
        <f t="shared" si="3"/>
        <v>0</v>
      </c>
      <c r="W69" s="492">
        <v>0</v>
      </c>
      <c r="X69" s="492">
        <v>0</v>
      </c>
      <c r="Y69" s="492">
        <v>0</v>
      </c>
      <c r="Z69" s="492">
        <f t="shared" si="4"/>
        <v>0</v>
      </c>
      <c r="AA69" s="492">
        <f t="shared" si="5"/>
        <v>0</v>
      </c>
      <c r="AB69" s="74">
        <f t="shared" si="6"/>
        <v>0</v>
      </c>
      <c r="AC69" s="74">
        <f t="shared" si="7"/>
        <v>0</v>
      </c>
      <c r="AD69" s="492">
        <v>0</v>
      </c>
      <c r="AE69" s="492">
        <v>0</v>
      </c>
      <c r="AF69" s="492">
        <f t="shared" si="8"/>
        <v>0</v>
      </c>
      <c r="AG69" s="492">
        <f t="shared" si="9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75"/>
        <v>0</v>
      </c>
      <c r="AP69" s="493">
        <f t="shared" si="76"/>
        <v>0</v>
      </c>
      <c r="AQ69" s="495">
        <f t="shared" si="15"/>
        <v>0</v>
      </c>
      <c r="AR69" s="501">
        <f t="shared" si="11"/>
        <v>951508</v>
      </c>
      <c r="AS69" s="492">
        <f t="shared" si="12"/>
        <v>700669</v>
      </c>
      <c r="AT69" s="492">
        <f t="shared" si="77"/>
        <v>0</v>
      </c>
      <c r="AU69" s="492">
        <f t="shared" si="78"/>
        <v>236826</v>
      </c>
      <c r="AV69" s="492">
        <f t="shared" si="78"/>
        <v>14013</v>
      </c>
      <c r="AW69" s="492">
        <f t="shared" si="13"/>
        <v>0</v>
      </c>
      <c r="AX69" s="493">
        <f t="shared" si="14"/>
        <v>1.99</v>
      </c>
      <c r="AY69" s="493">
        <f t="shared" si="79"/>
        <v>1.99</v>
      </c>
      <c r="AZ69" s="495">
        <f t="shared" si="79"/>
        <v>0</v>
      </c>
    </row>
    <row r="70" spans="1:52" x14ac:dyDescent="0.2">
      <c r="A70" s="220">
        <v>14</v>
      </c>
      <c r="B70" s="221">
        <v>3443</v>
      </c>
      <c r="C70" s="221">
        <v>600078582</v>
      </c>
      <c r="D70" s="221">
        <v>16389581</v>
      </c>
      <c r="E70" s="219" t="s">
        <v>147</v>
      </c>
      <c r="F70" s="221">
        <v>3141</v>
      </c>
      <c r="G70" s="222" t="s">
        <v>316</v>
      </c>
      <c r="H70" s="223" t="s">
        <v>279</v>
      </c>
      <c r="I70" s="494">
        <v>1251889</v>
      </c>
      <c r="J70" s="489">
        <v>902348</v>
      </c>
      <c r="K70" s="489">
        <v>13000</v>
      </c>
      <c r="L70" s="489">
        <v>309388</v>
      </c>
      <c r="M70" s="489">
        <v>18047</v>
      </c>
      <c r="N70" s="489">
        <v>9106</v>
      </c>
      <c r="O70" s="490">
        <v>2.88</v>
      </c>
      <c r="P70" s="491">
        <v>0</v>
      </c>
      <c r="Q70" s="500">
        <v>2.88</v>
      </c>
      <c r="R70" s="502">
        <f t="shared" si="2"/>
        <v>0</v>
      </c>
      <c r="S70" s="492">
        <v>0</v>
      </c>
      <c r="T70" s="492">
        <v>0</v>
      </c>
      <c r="U70" s="492">
        <v>0</v>
      </c>
      <c r="V70" s="492">
        <f t="shared" si="3"/>
        <v>0</v>
      </c>
      <c r="W70" s="492">
        <v>0</v>
      </c>
      <c r="X70" s="492">
        <v>0</v>
      </c>
      <c r="Y70" s="492">
        <v>0</v>
      </c>
      <c r="Z70" s="492">
        <f t="shared" si="4"/>
        <v>0</v>
      </c>
      <c r="AA70" s="492">
        <f t="shared" si="5"/>
        <v>0</v>
      </c>
      <c r="AB70" s="74">
        <f t="shared" si="6"/>
        <v>0</v>
      </c>
      <c r="AC70" s="74">
        <f t="shared" si="7"/>
        <v>0</v>
      </c>
      <c r="AD70" s="492">
        <v>0</v>
      </c>
      <c r="AE70" s="492">
        <v>0</v>
      </c>
      <c r="AF70" s="492">
        <f t="shared" si="8"/>
        <v>0</v>
      </c>
      <c r="AG70" s="492">
        <f t="shared" si="9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75"/>
        <v>0</v>
      </c>
      <c r="AP70" s="493">
        <f t="shared" si="76"/>
        <v>0</v>
      </c>
      <c r="AQ70" s="495">
        <f t="shared" si="15"/>
        <v>0</v>
      </c>
      <c r="AR70" s="501">
        <f t="shared" si="11"/>
        <v>1251889</v>
      </c>
      <c r="AS70" s="492">
        <f t="shared" si="12"/>
        <v>902348</v>
      </c>
      <c r="AT70" s="492">
        <f t="shared" si="77"/>
        <v>13000</v>
      </c>
      <c r="AU70" s="492">
        <f t="shared" si="78"/>
        <v>309388</v>
      </c>
      <c r="AV70" s="492">
        <f t="shared" si="78"/>
        <v>18047</v>
      </c>
      <c r="AW70" s="492">
        <f t="shared" si="13"/>
        <v>9106</v>
      </c>
      <c r="AX70" s="493">
        <f t="shared" si="14"/>
        <v>2.88</v>
      </c>
      <c r="AY70" s="493">
        <f t="shared" si="79"/>
        <v>0</v>
      </c>
      <c r="AZ70" s="495">
        <f t="shared" si="79"/>
        <v>2.88</v>
      </c>
    </row>
    <row r="71" spans="1:52" x14ac:dyDescent="0.2">
      <c r="A71" s="220">
        <v>14</v>
      </c>
      <c r="B71" s="221">
        <v>3443</v>
      </c>
      <c r="C71" s="221">
        <v>600078582</v>
      </c>
      <c r="D71" s="221">
        <v>16389581</v>
      </c>
      <c r="E71" s="219" t="s">
        <v>147</v>
      </c>
      <c r="F71" s="221">
        <v>3143</v>
      </c>
      <c r="G71" s="222" t="s">
        <v>629</v>
      </c>
      <c r="H71" s="243" t="s">
        <v>278</v>
      </c>
      <c r="I71" s="494">
        <v>834653</v>
      </c>
      <c r="J71" s="489">
        <v>606934</v>
      </c>
      <c r="K71" s="489">
        <v>7800</v>
      </c>
      <c r="L71" s="489">
        <v>207780</v>
      </c>
      <c r="M71" s="489">
        <v>12139</v>
      </c>
      <c r="N71" s="489">
        <v>0</v>
      </c>
      <c r="O71" s="490">
        <v>1.5</v>
      </c>
      <c r="P71" s="491">
        <v>1.5</v>
      </c>
      <c r="Q71" s="500">
        <v>0</v>
      </c>
      <c r="R71" s="502">
        <f t="shared" si="2"/>
        <v>0</v>
      </c>
      <c r="S71" s="492">
        <v>0</v>
      </c>
      <c r="T71" s="492">
        <v>0</v>
      </c>
      <c r="U71" s="492">
        <v>0</v>
      </c>
      <c r="V71" s="492">
        <f t="shared" si="3"/>
        <v>0</v>
      </c>
      <c r="W71" s="492">
        <v>0</v>
      </c>
      <c r="X71" s="492">
        <v>0</v>
      </c>
      <c r="Y71" s="492">
        <v>0</v>
      </c>
      <c r="Z71" s="492">
        <f t="shared" si="4"/>
        <v>0</v>
      </c>
      <c r="AA71" s="492">
        <f t="shared" si="5"/>
        <v>0</v>
      </c>
      <c r="AB71" s="74">
        <f t="shared" si="6"/>
        <v>0</v>
      </c>
      <c r="AC71" s="74">
        <f t="shared" si="7"/>
        <v>0</v>
      </c>
      <c r="AD71" s="492">
        <v>0</v>
      </c>
      <c r="AE71" s="492">
        <v>0</v>
      </c>
      <c r="AF71" s="492">
        <f t="shared" si="8"/>
        <v>0</v>
      </c>
      <c r="AG71" s="492">
        <f t="shared" si="9"/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75"/>
        <v>0</v>
      </c>
      <c r="AP71" s="493">
        <f t="shared" si="76"/>
        <v>0</v>
      </c>
      <c r="AQ71" s="495">
        <f t="shared" si="15"/>
        <v>0</v>
      </c>
      <c r="AR71" s="501">
        <f t="shared" si="11"/>
        <v>834653</v>
      </c>
      <c r="AS71" s="492">
        <f t="shared" si="12"/>
        <v>606934</v>
      </c>
      <c r="AT71" s="492">
        <f t="shared" si="77"/>
        <v>7800</v>
      </c>
      <c r="AU71" s="492">
        <f t="shared" si="78"/>
        <v>207780</v>
      </c>
      <c r="AV71" s="492">
        <f t="shared" si="78"/>
        <v>12139</v>
      </c>
      <c r="AW71" s="492">
        <f t="shared" si="13"/>
        <v>0</v>
      </c>
      <c r="AX71" s="493">
        <f t="shared" si="14"/>
        <v>1.5</v>
      </c>
      <c r="AY71" s="493">
        <f t="shared" si="79"/>
        <v>1.5</v>
      </c>
      <c r="AZ71" s="495">
        <f t="shared" si="79"/>
        <v>0</v>
      </c>
    </row>
    <row r="72" spans="1:52" x14ac:dyDescent="0.2">
      <c r="A72" s="220">
        <v>14</v>
      </c>
      <c r="B72" s="221">
        <v>3443</v>
      </c>
      <c r="C72" s="221">
        <v>600078582</v>
      </c>
      <c r="D72" s="221">
        <v>16389581</v>
      </c>
      <c r="E72" s="219" t="s">
        <v>147</v>
      </c>
      <c r="F72" s="221">
        <v>3143</v>
      </c>
      <c r="G72" s="222" t="s">
        <v>630</v>
      </c>
      <c r="H72" s="243" t="s">
        <v>279</v>
      </c>
      <c r="I72" s="494">
        <v>34776</v>
      </c>
      <c r="J72" s="489">
        <v>24592</v>
      </c>
      <c r="K72" s="489">
        <v>0</v>
      </c>
      <c r="L72" s="489">
        <v>8312</v>
      </c>
      <c r="M72" s="489">
        <v>492</v>
      </c>
      <c r="N72" s="489">
        <v>1380</v>
      </c>
      <c r="O72" s="490">
        <v>0.1</v>
      </c>
      <c r="P72" s="491">
        <v>0</v>
      </c>
      <c r="Q72" s="500">
        <v>0.1</v>
      </c>
      <c r="R72" s="502">
        <f t="shared" si="2"/>
        <v>0</v>
      </c>
      <c r="S72" s="492">
        <v>0</v>
      </c>
      <c r="T72" s="492">
        <v>0</v>
      </c>
      <c r="U72" s="492">
        <v>0</v>
      </c>
      <c r="V72" s="492">
        <f t="shared" si="3"/>
        <v>0</v>
      </c>
      <c r="W72" s="492">
        <v>0</v>
      </c>
      <c r="X72" s="492">
        <v>0</v>
      </c>
      <c r="Y72" s="492">
        <v>0</v>
      </c>
      <c r="Z72" s="492">
        <f t="shared" si="4"/>
        <v>0</v>
      </c>
      <c r="AA72" s="492">
        <f t="shared" si="5"/>
        <v>0</v>
      </c>
      <c r="AB72" s="74">
        <f t="shared" si="6"/>
        <v>0</v>
      </c>
      <c r="AC72" s="74">
        <f t="shared" si="7"/>
        <v>0</v>
      </c>
      <c r="AD72" s="492">
        <v>0</v>
      </c>
      <c r="AE72" s="492">
        <v>0</v>
      </c>
      <c r="AF72" s="492">
        <f t="shared" si="8"/>
        <v>0</v>
      </c>
      <c r="AG72" s="492">
        <f t="shared" si="9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75"/>
        <v>0</v>
      </c>
      <c r="AP72" s="493">
        <f t="shared" si="76"/>
        <v>0</v>
      </c>
      <c r="AQ72" s="495">
        <f t="shared" si="15"/>
        <v>0</v>
      </c>
      <c r="AR72" s="501">
        <f t="shared" si="11"/>
        <v>34776</v>
      </c>
      <c r="AS72" s="492">
        <f t="shared" si="12"/>
        <v>24592</v>
      </c>
      <c r="AT72" s="492">
        <f t="shared" si="77"/>
        <v>0</v>
      </c>
      <c r="AU72" s="492">
        <f t="shared" si="78"/>
        <v>8312</v>
      </c>
      <c r="AV72" s="492">
        <f t="shared" si="78"/>
        <v>492</v>
      </c>
      <c r="AW72" s="492">
        <f t="shared" si="13"/>
        <v>1380</v>
      </c>
      <c r="AX72" s="493">
        <f t="shared" si="14"/>
        <v>0.1</v>
      </c>
      <c r="AY72" s="493">
        <f t="shared" si="79"/>
        <v>0</v>
      </c>
      <c r="AZ72" s="495">
        <f t="shared" si="79"/>
        <v>0.1</v>
      </c>
    </row>
    <row r="73" spans="1:52" ht="13.5" thickBot="1" x14ac:dyDescent="0.25">
      <c r="A73" s="170">
        <v>14</v>
      </c>
      <c r="B73" s="37">
        <v>3443</v>
      </c>
      <c r="C73" s="37">
        <v>600078582</v>
      </c>
      <c r="D73" s="37">
        <v>16389581</v>
      </c>
      <c r="E73" s="252" t="s">
        <v>148</v>
      </c>
      <c r="F73" s="37"/>
      <c r="G73" s="171"/>
      <c r="H73" s="253"/>
      <c r="I73" s="570">
        <v>16165237</v>
      </c>
      <c r="J73" s="571">
        <v>11578904</v>
      </c>
      <c r="K73" s="571">
        <v>131300</v>
      </c>
      <c r="L73" s="571">
        <v>3958049</v>
      </c>
      <c r="M73" s="571">
        <v>231578</v>
      </c>
      <c r="N73" s="571">
        <v>265406</v>
      </c>
      <c r="O73" s="572">
        <v>23.493599999999997</v>
      </c>
      <c r="P73" s="572">
        <v>16.359100000000002</v>
      </c>
      <c r="Q73" s="573">
        <v>7.1344999999999992</v>
      </c>
      <c r="R73" s="570">
        <f t="shared" ref="R73:AZ73" si="80">SUM(R68:R72)</f>
        <v>0</v>
      </c>
      <c r="S73" s="571">
        <f t="shared" si="80"/>
        <v>0</v>
      </c>
      <c r="T73" s="571">
        <f t="shared" si="80"/>
        <v>0</v>
      </c>
      <c r="U73" s="571">
        <f t="shared" si="80"/>
        <v>0</v>
      </c>
      <c r="V73" s="571">
        <f t="shared" si="80"/>
        <v>0</v>
      </c>
      <c r="W73" s="571">
        <f t="shared" si="80"/>
        <v>0</v>
      </c>
      <c r="X73" s="571">
        <f t="shared" si="80"/>
        <v>0</v>
      </c>
      <c r="Y73" s="571">
        <f t="shared" si="80"/>
        <v>0</v>
      </c>
      <c r="Z73" s="571">
        <f t="shared" si="80"/>
        <v>0</v>
      </c>
      <c r="AA73" s="571">
        <f t="shared" si="80"/>
        <v>0</v>
      </c>
      <c r="AB73" s="571">
        <f t="shared" si="80"/>
        <v>0</v>
      </c>
      <c r="AC73" s="571">
        <f t="shared" si="80"/>
        <v>0</v>
      </c>
      <c r="AD73" s="571">
        <f t="shared" si="80"/>
        <v>0</v>
      </c>
      <c r="AE73" s="571">
        <f t="shared" si="80"/>
        <v>0</v>
      </c>
      <c r="AF73" s="571">
        <f t="shared" si="80"/>
        <v>0</v>
      </c>
      <c r="AG73" s="571">
        <f t="shared" si="80"/>
        <v>0</v>
      </c>
      <c r="AH73" s="572">
        <f t="shared" si="80"/>
        <v>0</v>
      </c>
      <c r="AI73" s="572">
        <f t="shared" si="80"/>
        <v>0</v>
      </c>
      <c r="AJ73" s="572">
        <f t="shared" si="80"/>
        <v>0</v>
      </c>
      <c r="AK73" s="572">
        <f t="shared" si="80"/>
        <v>0</v>
      </c>
      <c r="AL73" s="572">
        <f t="shared" si="80"/>
        <v>0</v>
      </c>
      <c r="AM73" s="572">
        <f t="shared" si="80"/>
        <v>0</v>
      </c>
      <c r="AN73" s="572">
        <f t="shared" si="80"/>
        <v>0</v>
      </c>
      <c r="AO73" s="572">
        <f t="shared" si="80"/>
        <v>0</v>
      </c>
      <c r="AP73" s="572">
        <f t="shared" si="80"/>
        <v>0</v>
      </c>
      <c r="AQ73" s="574">
        <f t="shared" si="80"/>
        <v>0</v>
      </c>
      <c r="AR73" s="575">
        <f t="shared" si="80"/>
        <v>16165237</v>
      </c>
      <c r="AS73" s="571">
        <f t="shared" si="80"/>
        <v>11578904</v>
      </c>
      <c r="AT73" s="571">
        <f t="shared" si="80"/>
        <v>131300</v>
      </c>
      <c r="AU73" s="571">
        <f t="shared" si="80"/>
        <v>3958049</v>
      </c>
      <c r="AV73" s="571">
        <f t="shared" si="80"/>
        <v>231578</v>
      </c>
      <c r="AW73" s="571">
        <f t="shared" si="80"/>
        <v>265406</v>
      </c>
      <c r="AX73" s="572">
        <f t="shared" si="80"/>
        <v>23.493599999999997</v>
      </c>
      <c r="AY73" s="572">
        <f t="shared" si="80"/>
        <v>16.359100000000002</v>
      </c>
      <c r="AZ73" s="574">
        <f t="shared" si="80"/>
        <v>7.1344999999999992</v>
      </c>
    </row>
    <row r="74" spans="1:52" ht="13.5" thickBot="1" x14ac:dyDescent="0.25">
      <c r="A74" s="172"/>
      <c r="B74" s="34"/>
      <c r="C74" s="34"/>
      <c r="D74" s="34"/>
      <c r="E74" s="94" t="s">
        <v>793</v>
      </c>
      <c r="F74" s="34"/>
      <c r="G74" s="173"/>
      <c r="H74" s="200"/>
      <c r="I74" s="564">
        <f t="shared" ref="I74:AZ74" si="81">I15+I19+I23+I25+I32+I38+I40+I43+I48+I52+I57+I64+I67+I73</f>
        <v>147948592</v>
      </c>
      <c r="J74" s="565">
        <f t="shared" si="81"/>
        <v>107036446</v>
      </c>
      <c r="K74" s="565">
        <f t="shared" si="81"/>
        <v>512441</v>
      </c>
      <c r="L74" s="565">
        <f t="shared" si="81"/>
        <v>36351526</v>
      </c>
      <c r="M74" s="565">
        <f t="shared" si="81"/>
        <v>2140727</v>
      </c>
      <c r="N74" s="565">
        <f t="shared" si="81"/>
        <v>1907452</v>
      </c>
      <c r="O74" s="566">
        <f t="shared" si="81"/>
        <v>223.1618</v>
      </c>
      <c r="P74" s="566">
        <f t="shared" si="81"/>
        <v>154.54920000000001</v>
      </c>
      <c r="Q74" s="567">
        <f t="shared" si="81"/>
        <v>68.6126</v>
      </c>
      <c r="R74" s="564">
        <f t="shared" si="81"/>
        <v>0</v>
      </c>
      <c r="S74" s="565">
        <f t="shared" si="81"/>
        <v>-17352</v>
      </c>
      <c r="T74" s="565">
        <f t="shared" si="81"/>
        <v>546106</v>
      </c>
      <c r="U74" s="565">
        <f t="shared" si="81"/>
        <v>0</v>
      </c>
      <c r="V74" s="565">
        <f t="shared" si="81"/>
        <v>528754</v>
      </c>
      <c r="W74" s="565">
        <f t="shared" si="81"/>
        <v>0</v>
      </c>
      <c r="X74" s="565">
        <f t="shared" si="81"/>
        <v>0</v>
      </c>
      <c r="Y74" s="565">
        <f t="shared" si="81"/>
        <v>0</v>
      </c>
      <c r="Z74" s="565">
        <f t="shared" si="81"/>
        <v>0</v>
      </c>
      <c r="AA74" s="565">
        <f t="shared" si="81"/>
        <v>528754</v>
      </c>
      <c r="AB74" s="565">
        <f t="shared" si="81"/>
        <v>178719</v>
      </c>
      <c r="AC74" s="565">
        <f t="shared" si="81"/>
        <v>10575</v>
      </c>
      <c r="AD74" s="565">
        <f t="shared" si="81"/>
        <v>0</v>
      </c>
      <c r="AE74" s="565">
        <f t="shared" si="81"/>
        <v>25662</v>
      </c>
      <c r="AF74" s="565">
        <f t="shared" si="81"/>
        <v>25662</v>
      </c>
      <c r="AG74" s="565">
        <f t="shared" si="81"/>
        <v>743710</v>
      </c>
      <c r="AH74" s="566">
        <f t="shared" si="81"/>
        <v>0</v>
      </c>
      <c r="AI74" s="566">
        <f t="shared" si="81"/>
        <v>0</v>
      </c>
      <c r="AJ74" s="566">
        <f t="shared" si="81"/>
        <v>-0.04</v>
      </c>
      <c r="AK74" s="566">
        <f t="shared" si="81"/>
        <v>0.87</v>
      </c>
      <c r="AL74" s="566">
        <f t="shared" si="81"/>
        <v>0</v>
      </c>
      <c r="AM74" s="566">
        <f t="shared" si="81"/>
        <v>0</v>
      </c>
      <c r="AN74" s="566">
        <f t="shared" si="81"/>
        <v>0</v>
      </c>
      <c r="AO74" s="566">
        <f t="shared" si="81"/>
        <v>0.83</v>
      </c>
      <c r="AP74" s="566">
        <f t="shared" si="81"/>
        <v>0</v>
      </c>
      <c r="AQ74" s="568">
        <f t="shared" si="81"/>
        <v>0.83</v>
      </c>
      <c r="AR74" s="569">
        <f t="shared" si="81"/>
        <v>148692302</v>
      </c>
      <c r="AS74" s="565">
        <f t="shared" si="81"/>
        <v>107565200</v>
      </c>
      <c r="AT74" s="565">
        <f t="shared" si="81"/>
        <v>512441</v>
      </c>
      <c r="AU74" s="565">
        <f t="shared" si="81"/>
        <v>36530245</v>
      </c>
      <c r="AV74" s="565">
        <f t="shared" si="81"/>
        <v>2151302</v>
      </c>
      <c r="AW74" s="565">
        <f t="shared" si="81"/>
        <v>1933114</v>
      </c>
      <c r="AX74" s="566">
        <f t="shared" si="81"/>
        <v>223.99180000000001</v>
      </c>
      <c r="AY74" s="566">
        <f t="shared" si="81"/>
        <v>155.3792</v>
      </c>
      <c r="AZ74" s="568">
        <f t="shared" si="81"/>
        <v>68.6126</v>
      </c>
    </row>
    <row r="75" spans="1:52" x14ac:dyDescent="0.2">
      <c r="D75" s="10"/>
      <c r="E75" s="6"/>
      <c r="F75" s="10"/>
      <c r="G75" s="24"/>
      <c r="H75" s="6"/>
      <c r="I75" s="507">
        <f>SUM(J74:N74)</f>
        <v>147948592</v>
      </c>
      <c r="J75" s="507"/>
      <c r="K75" s="507"/>
      <c r="L75" s="507"/>
      <c r="M75" s="507"/>
      <c r="N75" s="507"/>
      <c r="O75" s="508">
        <f>SUM(P74:Q74)</f>
        <v>223.16180000000003</v>
      </c>
      <c r="P75" s="508"/>
      <c r="Q75" s="508"/>
      <c r="R75" s="507">
        <f>W74</f>
        <v>0</v>
      </c>
      <c r="S75" s="508"/>
      <c r="T75" s="508"/>
      <c r="U75" s="508"/>
      <c r="V75" s="516">
        <f>SUM(R74:U74)</f>
        <v>528754</v>
      </c>
      <c r="W75" s="516">
        <f>R74</f>
        <v>0</v>
      </c>
      <c r="X75" s="517"/>
      <c r="Y75" s="517"/>
      <c r="Z75" s="516">
        <f>SUM(W74:Y74)</f>
        <v>0</v>
      </c>
      <c r="AA75" s="516">
        <f>V74+Z74</f>
        <v>528754</v>
      </c>
      <c r="AB75" s="518"/>
      <c r="AC75" s="518"/>
      <c r="AD75" s="517"/>
      <c r="AE75" s="517"/>
      <c r="AF75" s="516">
        <f>SUM(AD74:AE74)</f>
        <v>25662</v>
      </c>
      <c r="AG75" s="516">
        <f>AA74+AB74+AC74+AF74</f>
        <v>743710</v>
      </c>
      <c r="AH75" s="519"/>
      <c r="AI75" s="519"/>
      <c r="AJ75" s="519"/>
      <c r="AK75" s="519"/>
      <c r="AL75" s="519"/>
      <c r="AM75" s="519"/>
      <c r="AN75" s="519"/>
      <c r="AO75" s="520">
        <f>AH74+AJ74+AM74</f>
        <v>-0.04</v>
      </c>
      <c r="AP75" s="520">
        <f>AI74+AN74</f>
        <v>0</v>
      </c>
      <c r="AQ75" s="520">
        <f>SUM(AO74:AP74)</f>
        <v>0.83</v>
      </c>
      <c r="AR75" s="507">
        <f>SUM(AS74:AW74)</f>
        <v>148692302</v>
      </c>
      <c r="AS75" s="59"/>
      <c r="AT75" s="59"/>
      <c r="AU75" s="59"/>
      <c r="AV75" s="59"/>
      <c r="AW75" s="59"/>
      <c r="AX75" s="508">
        <f>SUM(AY74:AZ74)</f>
        <v>223.99180000000001</v>
      </c>
      <c r="AY75" s="97"/>
      <c r="AZ75" s="97"/>
    </row>
    <row r="76" spans="1:52" ht="13.5" thickBot="1" x14ac:dyDescent="0.25">
      <c r="D76" s="10"/>
      <c r="E76" s="6"/>
      <c r="F76" s="10"/>
      <c r="G76" s="24"/>
      <c r="H76" s="6"/>
      <c r="I76" s="95">
        <f>SUM(J77:N77)</f>
        <v>147948592</v>
      </c>
      <c r="J76" s="57"/>
      <c r="K76" s="57"/>
      <c r="L76" s="515"/>
      <c r="M76" s="515"/>
      <c r="N76" s="57"/>
      <c r="O76" s="96">
        <f>SUM(P77:Q77)</f>
        <v>223.16179999999997</v>
      </c>
      <c r="P76" s="187"/>
      <c r="Q76" s="187"/>
      <c r="R76" s="508"/>
      <c r="S76" s="508"/>
      <c r="T76" s="508"/>
      <c r="U76" s="508"/>
      <c r="V76" s="516">
        <f>SUM(R77:U77)</f>
        <v>528754</v>
      </c>
      <c r="W76" s="517"/>
      <c r="X76" s="517"/>
      <c r="Y76" s="517"/>
      <c r="Z76" s="516">
        <f>SUM(W77:Y77)</f>
        <v>0</v>
      </c>
      <c r="AA76" s="516">
        <f>V77+Z77</f>
        <v>528754</v>
      </c>
      <c r="AB76" s="518"/>
      <c r="AC76" s="518"/>
      <c r="AD76" s="517"/>
      <c r="AE76" s="517"/>
      <c r="AF76" s="516">
        <f>SUM(AD77:AE77)</f>
        <v>25662</v>
      </c>
      <c r="AG76" s="516">
        <f>AA77+AB77+AC77+AF77</f>
        <v>743710</v>
      </c>
      <c r="AH76" s="519"/>
      <c r="AI76" s="519"/>
      <c r="AJ76" s="519"/>
      <c r="AK76" s="519"/>
      <c r="AL76" s="519"/>
      <c r="AM76" s="519"/>
      <c r="AN76" s="519"/>
      <c r="AO76" s="520">
        <f>AH77+AJ77+AM77</f>
        <v>-0.04</v>
      </c>
      <c r="AP76" s="520">
        <f>AI77+AN77</f>
        <v>0</v>
      </c>
      <c r="AQ76" s="520">
        <f>SUM(AO77:AP77)</f>
        <v>0.83</v>
      </c>
      <c r="AR76" s="507">
        <f>SUM(AS77:AW77)</f>
        <v>148692302</v>
      </c>
      <c r="AS76" s="59"/>
      <c r="AT76" s="59"/>
      <c r="AU76" s="59"/>
      <c r="AV76" s="59"/>
      <c r="AW76" s="59"/>
      <c r="AX76" s="508">
        <f>SUM(AY77:AZ77)</f>
        <v>223.99180000000001</v>
      </c>
      <c r="AY76" s="97"/>
      <c r="AZ76" s="97"/>
    </row>
    <row r="77" spans="1:52" ht="13.5" thickBot="1" x14ac:dyDescent="0.25">
      <c r="D77" s="10"/>
      <c r="E77" s="6"/>
      <c r="F77" s="10"/>
      <c r="G77" s="24"/>
      <c r="H77" s="539" t="s">
        <v>0</v>
      </c>
      <c r="I77" s="150">
        <f t="shared" ref="I77:AZ77" si="82">SUM(I78:I87)</f>
        <v>147948592</v>
      </c>
      <c r="J77" s="38">
        <f t="shared" si="82"/>
        <v>107036446</v>
      </c>
      <c r="K77" s="38">
        <f t="shared" si="82"/>
        <v>512441</v>
      </c>
      <c r="L77" s="38">
        <f t="shared" si="82"/>
        <v>36351526</v>
      </c>
      <c r="M77" s="38">
        <f t="shared" si="82"/>
        <v>2140727</v>
      </c>
      <c r="N77" s="38">
        <f t="shared" si="82"/>
        <v>1907452</v>
      </c>
      <c r="O77" s="39">
        <f t="shared" si="82"/>
        <v>223.16179999999997</v>
      </c>
      <c r="P77" s="39">
        <f t="shared" si="82"/>
        <v>154.54919999999998</v>
      </c>
      <c r="Q77" s="159">
        <f t="shared" si="82"/>
        <v>68.6126</v>
      </c>
      <c r="R77" s="150">
        <f t="shared" si="82"/>
        <v>0</v>
      </c>
      <c r="S77" s="38">
        <f t="shared" si="82"/>
        <v>-17352</v>
      </c>
      <c r="T77" s="38">
        <f t="shared" si="82"/>
        <v>546106</v>
      </c>
      <c r="U77" s="38">
        <f t="shared" si="82"/>
        <v>0</v>
      </c>
      <c r="V77" s="38">
        <f t="shared" si="82"/>
        <v>528754</v>
      </c>
      <c r="W77" s="38">
        <f t="shared" si="82"/>
        <v>0</v>
      </c>
      <c r="X77" s="38">
        <f t="shared" si="82"/>
        <v>0</v>
      </c>
      <c r="Y77" s="38">
        <f t="shared" si="82"/>
        <v>0</v>
      </c>
      <c r="Z77" s="38">
        <f t="shared" si="82"/>
        <v>0</v>
      </c>
      <c r="AA77" s="38">
        <f t="shared" si="82"/>
        <v>528754</v>
      </c>
      <c r="AB77" s="38">
        <f t="shared" si="82"/>
        <v>178719</v>
      </c>
      <c r="AC77" s="38">
        <f t="shared" si="82"/>
        <v>10575</v>
      </c>
      <c r="AD77" s="38">
        <f t="shared" si="82"/>
        <v>0</v>
      </c>
      <c r="AE77" s="38">
        <f t="shared" si="82"/>
        <v>25662</v>
      </c>
      <c r="AF77" s="38">
        <f t="shared" si="82"/>
        <v>25662</v>
      </c>
      <c r="AG77" s="38">
        <f t="shared" si="82"/>
        <v>743710</v>
      </c>
      <c r="AH77" s="39">
        <f t="shared" si="82"/>
        <v>0</v>
      </c>
      <c r="AI77" s="39">
        <f t="shared" si="82"/>
        <v>0</v>
      </c>
      <c r="AJ77" s="39">
        <f t="shared" si="82"/>
        <v>-0.04</v>
      </c>
      <c r="AK77" s="39">
        <f t="shared" si="82"/>
        <v>0.87</v>
      </c>
      <c r="AL77" s="39">
        <f t="shared" si="82"/>
        <v>0</v>
      </c>
      <c r="AM77" s="39">
        <f t="shared" si="82"/>
        <v>0</v>
      </c>
      <c r="AN77" s="39">
        <f t="shared" si="82"/>
        <v>0</v>
      </c>
      <c r="AO77" s="39">
        <f t="shared" si="82"/>
        <v>0.83</v>
      </c>
      <c r="AP77" s="39">
        <f t="shared" si="82"/>
        <v>0</v>
      </c>
      <c r="AQ77" s="40">
        <f t="shared" si="82"/>
        <v>0.83</v>
      </c>
      <c r="AR77" s="160">
        <f t="shared" si="82"/>
        <v>148692302</v>
      </c>
      <c r="AS77" s="38">
        <f t="shared" si="82"/>
        <v>107565200</v>
      </c>
      <c r="AT77" s="38">
        <f t="shared" si="82"/>
        <v>512441</v>
      </c>
      <c r="AU77" s="38">
        <f t="shared" si="82"/>
        <v>36530245</v>
      </c>
      <c r="AV77" s="38">
        <f t="shared" si="82"/>
        <v>2151302</v>
      </c>
      <c r="AW77" s="38">
        <f t="shared" si="82"/>
        <v>1933114</v>
      </c>
      <c r="AX77" s="39">
        <f t="shared" si="82"/>
        <v>223.99179999999998</v>
      </c>
      <c r="AY77" s="39">
        <f t="shared" si="82"/>
        <v>155.3792</v>
      </c>
      <c r="AZ77" s="40">
        <f t="shared" si="82"/>
        <v>68.6126</v>
      </c>
    </row>
    <row r="78" spans="1:52" x14ac:dyDescent="0.2">
      <c r="D78" s="10"/>
      <c r="E78" s="6"/>
      <c r="F78" s="10"/>
      <c r="G78" s="24"/>
      <c r="H78" s="540">
        <v>3111</v>
      </c>
      <c r="I78" s="642">
        <f t="shared" ref="I78:AZ78" si="83">SUMIF($F$12:$F$463,"=3111",I$12:I$463)</f>
        <v>29569991</v>
      </c>
      <c r="J78" s="643">
        <f t="shared" si="83"/>
        <v>21605606</v>
      </c>
      <c r="K78" s="643">
        <f t="shared" si="83"/>
        <v>34775</v>
      </c>
      <c r="L78" s="643">
        <f t="shared" si="83"/>
        <v>7314449</v>
      </c>
      <c r="M78" s="643">
        <f t="shared" si="83"/>
        <v>432111</v>
      </c>
      <c r="N78" s="643">
        <f t="shared" si="83"/>
        <v>183050</v>
      </c>
      <c r="O78" s="648">
        <f t="shared" si="83"/>
        <v>48.025599999999997</v>
      </c>
      <c r="P78" s="648">
        <f t="shared" si="83"/>
        <v>36.6357</v>
      </c>
      <c r="Q78" s="649">
        <f t="shared" si="83"/>
        <v>11.389899999999999</v>
      </c>
      <c r="R78" s="642">
        <f t="shared" si="83"/>
        <v>0</v>
      </c>
      <c r="S78" s="643">
        <f t="shared" si="83"/>
        <v>0</v>
      </c>
      <c r="T78" s="643">
        <f t="shared" si="83"/>
        <v>0</v>
      </c>
      <c r="U78" s="643">
        <f t="shared" si="83"/>
        <v>0</v>
      </c>
      <c r="V78" s="643">
        <f t="shared" si="83"/>
        <v>0</v>
      </c>
      <c r="W78" s="643">
        <f t="shared" si="83"/>
        <v>0</v>
      </c>
      <c r="X78" s="643">
        <f t="shared" si="83"/>
        <v>0</v>
      </c>
      <c r="Y78" s="643">
        <f t="shared" si="83"/>
        <v>0</v>
      </c>
      <c r="Z78" s="643">
        <f t="shared" si="83"/>
        <v>0</v>
      </c>
      <c r="AA78" s="643">
        <f t="shared" si="83"/>
        <v>0</v>
      </c>
      <c r="AB78" s="643">
        <f t="shared" si="83"/>
        <v>0</v>
      </c>
      <c r="AC78" s="643">
        <f t="shared" si="83"/>
        <v>0</v>
      </c>
      <c r="AD78" s="643">
        <f t="shared" si="83"/>
        <v>0</v>
      </c>
      <c r="AE78" s="643">
        <f t="shared" si="83"/>
        <v>0</v>
      </c>
      <c r="AF78" s="643">
        <f t="shared" si="83"/>
        <v>0</v>
      </c>
      <c r="AG78" s="643">
        <f t="shared" si="83"/>
        <v>0</v>
      </c>
      <c r="AH78" s="648">
        <f t="shared" si="83"/>
        <v>0</v>
      </c>
      <c r="AI78" s="648">
        <f t="shared" si="83"/>
        <v>0</v>
      </c>
      <c r="AJ78" s="648">
        <f t="shared" si="83"/>
        <v>0</v>
      </c>
      <c r="AK78" s="648">
        <f t="shared" si="83"/>
        <v>0</v>
      </c>
      <c r="AL78" s="648">
        <f t="shared" si="83"/>
        <v>0</v>
      </c>
      <c r="AM78" s="648">
        <f t="shared" si="83"/>
        <v>0</v>
      </c>
      <c r="AN78" s="648">
        <f t="shared" si="83"/>
        <v>0</v>
      </c>
      <c r="AO78" s="648">
        <f t="shared" si="83"/>
        <v>0</v>
      </c>
      <c r="AP78" s="648">
        <f t="shared" si="83"/>
        <v>0</v>
      </c>
      <c r="AQ78" s="651">
        <f t="shared" si="83"/>
        <v>0</v>
      </c>
      <c r="AR78" s="644">
        <f t="shared" si="83"/>
        <v>29569991</v>
      </c>
      <c r="AS78" s="643">
        <f t="shared" si="83"/>
        <v>21605606</v>
      </c>
      <c r="AT78" s="643">
        <f t="shared" si="83"/>
        <v>34775</v>
      </c>
      <c r="AU78" s="643">
        <f t="shared" si="83"/>
        <v>7314449</v>
      </c>
      <c r="AV78" s="643">
        <f t="shared" si="83"/>
        <v>432111</v>
      </c>
      <c r="AW78" s="643">
        <f t="shared" si="83"/>
        <v>183050</v>
      </c>
      <c r="AX78" s="648">
        <f t="shared" si="83"/>
        <v>48.025599999999997</v>
      </c>
      <c r="AY78" s="648">
        <f t="shared" si="83"/>
        <v>36.6357</v>
      </c>
      <c r="AZ78" s="651">
        <f t="shared" si="83"/>
        <v>11.389899999999999</v>
      </c>
    </row>
    <row r="79" spans="1:52" x14ac:dyDescent="0.2">
      <c r="D79" s="10"/>
      <c r="E79" s="6"/>
      <c r="F79" s="10"/>
      <c r="G79" s="24"/>
      <c r="H79" s="2">
        <v>3113</v>
      </c>
      <c r="I79" s="178">
        <f t="shared" ref="I79:AZ79" si="84">SUMIF($F$12:$F$463,"=3113",I$12:I$463)</f>
        <v>77614300</v>
      </c>
      <c r="J79" s="17">
        <f t="shared" si="84"/>
        <v>55834152</v>
      </c>
      <c r="K79" s="17">
        <f t="shared" si="84"/>
        <v>253500</v>
      </c>
      <c r="L79" s="17">
        <f t="shared" si="84"/>
        <v>18957627</v>
      </c>
      <c r="M79" s="17">
        <f t="shared" si="84"/>
        <v>1116681</v>
      </c>
      <c r="N79" s="17">
        <f t="shared" si="84"/>
        <v>1452340</v>
      </c>
      <c r="O79" s="14">
        <f t="shared" si="84"/>
        <v>104.42839999999998</v>
      </c>
      <c r="P79" s="14">
        <f t="shared" si="84"/>
        <v>82.890499999999989</v>
      </c>
      <c r="Q79" s="180">
        <f t="shared" si="84"/>
        <v>21.5379</v>
      </c>
      <c r="R79" s="178">
        <f t="shared" si="84"/>
        <v>0</v>
      </c>
      <c r="S79" s="17">
        <f t="shared" si="84"/>
        <v>-17352</v>
      </c>
      <c r="T79" s="17">
        <f t="shared" si="84"/>
        <v>546106</v>
      </c>
      <c r="U79" s="17">
        <f t="shared" si="84"/>
        <v>0</v>
      </c>
      <c r="V79" s="17">
        <f t="shared" si="84"/>
        <v>528754</v>
      </c>
      <c r="W79" s="17">
        <f t="shared" si="84"/>
        <v>0</v>
      </c>
      <c r="X79" s="17">
        <f t="shared" si="84"/>
        <v>0</v>
      </c>
      <c r="Y79" s="17">
        <f t="shared" si="84"/>
        <v>0</v>
      </c>
      <c r="Z79" s="17">
        <f t="shared" si="84"/>
        <v>0</v>
      </c>
      <c r="AA79" s="17">
        <f t="shared" si="84"/>
        <v>528754</v>
      </c>
      <c r="AB79" s="17">
        <f t="shared" si="84"/>
        <v>178719</v>
      </c>
      <c r="AC79" s="17">
        <f t="shared" si="84"/>
        <v>10575</v>
      </c>
      <c r="AD79" s="17">
        <f t="shared" si="84"/>
        <v>0</v>
      </c>
      <c r="AE79" s="17">
        <f t="shared" si="84"/>
        <v>0</v>
      </c>
      <c r="AF79" s="17">
        <f t="shared" si="84"/>
        <v>0</v>
      </c>
      <c r="AG79" s="17">
        <f t="shared" si="84"/>
        <v>718048</v>
      </c>
      <c r="AH79" s="14">
        <f t="shared" si="84"/>
        <v>0</v>
      </c>
      <c r="AI79" s="14">
        <f t="shared" si="84"/>
        <v>0</v>
      </c>
      <c r="AJ79" s="14">
        <f t="shared" si="84"/>
        <v>-0.04</v>
      </c>
      <c r="AK79" s="14">
        <f t="shared" si="84"/>
        <v>0.87</v>
      </c>
      <c r="AL79" s="14">
        <f t="shared" si="84"/>
        <v>0</v>
      </c>
      <c r="AM79" s="14">
        <f t="shared" si="84"/>
        <v>0</v>
      </c>
      <c r="AN79" s="14">
        <f t="shared" si="84"/>
        <v>0</v>
      </c>
      <c r="AO79" s="14">
        <f t="shared" si="84"/>
        <v>0.83</v>
      </c>
      <c r="AP79" s="14">
        <f t="shared" si="84"/>
        <v>0</v>
      </c>
      <c r="AQ79" s="18">
        <f t="shared" si="84"/>
        <v>0.83</v>
      </c>
      <c r="AR79" s="179">
        <f t="shared" si="84"/>
        <v>78332348</v>
      </c>
      <c r="AS79" s="17">
        <f t="shared" si="84"/>
        <v>56362906</v>
      </c>
      <c r="AT79" s="17">
        <f t="shared" si="84"/>
        <v>253500</v>
      </c>
      <c r="AU79" s="17">
        <f t="shared" si="84"/>
        <v>19136346</v>
      </c>
      <c r="AV79" s="17">
        <f t="shared" si="84"/>
        <v>1127256</v>
      </c>
      <c r="AW79" s="17">
        <f t="shared" si="84"/>
        <v>1452340</v>
      </c>
      <c r="AX79" s="14">
        <f t="shared" si="84"/>
        <v>105.25839999999999</v>
      </c>
      <c r="AY79" s="14">
        <f t="shared" si="84"/>
        <v>83.720500000000001</v>
      </c>
      <c r="AZ79" s="18">
        <f t="shared" si="84"/>
        <v>21.5379</v>
      </c>
    </row>
    <row r="80" spans="1:52" x14ac:dyDescent="0.2">
      <c r="D80" s="10"/>
      <c r="E80" s="6"/>
      <c r="F80" s="10"/>
      <c r="G80" s="24"/>
      <c r="H80" s="2">
        <v>3114</v>
      </c>
      <c r="I80" s="178">
        <f t="shared" ref="I80:AZ80" si="85">SUMIF($F$12:$F$463,"=3114",I$12:I$463)</f>
        <v>0</v>
      </c>
      <c r="J80" s="17">
        <f t="shared" si="85"/>
        <v>0</v>
      </c>
      <c r="K80" s="17">
        <f t="shared" si="85"/>
        <v>0</v>
      </c>
      <c r="L80" s="17">
        <f t="shared" si="85"/>
        <v>0</v>
      </c>
      <c r="M80" s="17">
        <f t="shared" si="85"/>
        <v>0</v>
      </c>
      <c r="N80" s="17">
        <f t="shared" si="85"/>
        <v>0</v>
      </c>
      <c r="O80" s="14">
        <f t="shared" si="85"/>
        <v>0</v>
      </c>
      <c r="P80" s="14">
        <f t="shared" si="85"/>
        <v>0</v>
      </c>
      <c r="Q80" s="180">
        <f t="shared" si="85"/>
        <v>0</v>
      </c>
      <c r="R80" s="178">
        <f t="shared" si="85"/>
        <v>0</v>
      </c>
      <c r="S80" s="17">
        <f t="shared" si="85"/>
        <v>0</v>
      </c>
      <c r="T80" s="17">
        <f t="shared" si="85"/>
        <v>0</v>
      </c>
      <c r="U80" s="17">
        <f t="shared" si="85"/>
        <v>0</v>
      </c>
      <c r="V80" s="17">
        <f t="shared" si="85"/>
        <v>0</v>
      </c>
      <c r="W80" s="17">
        <f t="shared" si="85"/>
        <v>0</v>
      </c>
      <c r="X80" s="17">
        <f t="shared" si="85"/>
        <v>0</v>
      </c>
      <c r="Y80" s="17">
        <f t="shared" si="85"/>
        <v>0</v>
      </c>
      <c r="Z80" s="17">
        <f t="shared" si="85"/>
        <v>0</v>
      </c>
      <c r="AA80" s="17">
        <f t="shared" si="85"/>
        <v>0</v>
      </c>
      <c r="AB80" s="17">
        <f t="shared" si="85"/>
        <v>0</v>
      </c>
      <c r="AC80" s="17">
        <f t="shared" si="85"/>
        <v>0</v>
      </c>
      <c r="AD80" s="17">
        <f t="shared" si="85"/>
        <v>0</v>
      </c>
      <c r="AE80" s="17">
        <f t="shared" si="85"/>
        <v>0</v>
      </c>
      <c r="AF80" s="17">
        <f t="shared" si="85"/>
        <v>0</v>
      </c>
      <c r="AG80" s="17">
        <f t="shared" si="85"/>
        <v>0</v>
      </c>
      <c r="AH80" s="14">
        <f t="shared" si="85"/>
        <v>0</v>
      </c>
      <c r="AI80" s="14">
        <f t="shared" si="85"/>
        <v>0</v>
      </c>
      <c r="AJ80" s="14">
        <f t="shared" si="85"/>
        <v>0</v>
      </c>
      <c r="AK80" s="14">
        <f t="shared" si="85"/>
        <v>0</v>
      </c>
      <c r="AL80" s="14">
        <f t="shared" si="85"/>
        <v>0</v>
      </c>
      <c r="AM80" s="14">
        <f t="shared" si="85"/>
        <v>0</v>
      </c>
      <c r="AN80" s="14">
        <f t="shared" si="85"/>
        <v>0</v>
      </c>
      <c r="AO80" s="14">
        <f t="shared" si="85"/>
        <v>0</v>
      </c>
      <c r="AP80" s="14">
        <f t="shared" si="85"/>
        <v>0</v>
      </c>
      <c r="AQ80" s="18">
        <f t="shared" si="85"/>
        <v>0</v>
      </c>
      <c r="AR80" s="179">
        <f t="shared" si="85"/>
        <v>0</v>
      </c>
      <c r="AS80" s="17">
        <f t="shared" si="85"/>
        <v>0</v>
      </c>
      <c r="AT80" s="17">
        <f t="shared" si="85"/>
        <v>0</v>
      </c>
      <c r="AU80" s="17">
        <f t="shared" si="85"/>
        <v>0</v>
      </c>
      <c r="AV80" s="17">
        <f t="shared" si="85"/>
        <v>0</v>
      </c>
      <c r="AW80" s="17">
        <f t="shared" si="85"/>
        <v>0</v>
      </c>
      <c r="AX80" s="14">
        <f t="shared" si="85"/>
        <v>0</v>
      </c>
      <c r="AY80" s="14">
        <f t="shared" si="85"/>
        <v>0</v>
      </c>
      <c r="AZ80" s="18">
        <f t="shared" si="85"/>
        <v>0</v>
      </c>
    </row>
    <row r="81" spans="4:52" x14ac:dyDescent="0.2">
      <c r="D81" s="10"/>
      <c r="E81" s="6"/>
      <c r="F81" s="10"/>
      <c r="G81" s="24"/>
      <c r="H81" s="2">
        <v>3117</v>
      </c>
      <c r="I81" s="178">
        <f t="shared" ref="I81:AZ81" si="86">SUMIF($F$12:$F$463,"=3117",I$12:I$463)</f>
        <v>8139293</v>
      </c>
      <c r="J81" s="17">
        <f t="shared" si="86"/>
        <v>5873371</v>
      </c>
      <c r="K81" s="17">
        <f t="shared" si="86"/>
        <v>12103</v>
      </c>
      <c r="L81" s="17">
        <f t="shared" si="86"/>
        <v>1989291</v>
      </c>
      <c r="M81" s="17">
        <f t="shared" si="86"/>
        <v>117468</v>
      </c>
      <c r="N81" s="17">
        <f t="shared" si="86"/>
        <v>147060</v>
      </c>
      <c r="O81" s="14">
        <f t="shared" si="86"/>
        <v>11.960599999999999</v>
      </c>
      <c r="P81" s="14">
        <f t="shared" si="86"/>
        <v>9.0423000000000009</v>
      </c>
      <c r="Q81" s="180">
        <f t="shared" si="86"/>
        <v>2.9182999999999999</v>
      </c>
      <c r="R81" s="178">
        <f t="shared" si="86"/>
        <v>0</v>
      </c>
      <c r="S81" s="17">
        <f t="shared" si="86"/>
        <v>0</v>
      </c>
      <c r="T81" s="17">
        <f t="shared" si="86"/>
        <v>0</v>
      </c>
      <c r="U81" s="17">
        <f t="shared" si="86"/>
        <v>0</v>
      </c>
      <c r="V81" s="17">
        <f t="shared" si="86"/>
        <v>0</v>
      </c>
      <c r="W81" s="17">
        <f t="shared" si="86"/>
        <v>0</v>
      </c>
      <c r="X81" s="17">
        <f t="shared" si="86"/>
        <v>0</v>
      </c>
      <c r="Y81" s="17">
        <f t="shared" si="86"/>
        <v>0</v>
      </c>
      <c r="Z81" s="17">
        <f t="shared" si="86"/>
        <v>0</v>
      </c>
      <c r="AA81" s="17">
        <f t="shared" si="86"/>
        <v>0</v>
      </c>
      <c r="AB81" s="17">
        <f t="shared" si="86"/>
        <v>0</v>
      </c>
      <c r="AC81" s="17">
        <f t="shared" si="86"/>
        <v>0</v>
      </c>
      <c r="AD81" s="17">
        <f t="shared" si="86"/>
        <v>0</v>
      </c>
      <c r="AE81" s="17">
        <f t="shared" si="86"/>
        <v>0</v>
      </c>
      <c r="AF81" s="17">
        <f t="shared" si="86"/>
        <v>0</v>
      </c>
      <c r="AG81" s="17">
        <f t="shared" si="86"/>
        <v>0</v>
      </c>
      <c r="AH81" s="14">
        <f t="shared" si="86"/>
        <v>0</v>
      </c>
      <c r="AI81" s="14">
        <f t="shared" si="86"/>
        <v>0</v>
      </c>
      <c r="AJ81" s="14">
        <f t="shared" si="86"/>
        <v>0</v>
      </c>
      <c r="AK81" s="14">
        <f t="shared" si="86"/>
        <v>0</v>
      </c>
      <c r="AL81" s="14">
        <f t="shared" si="86"/>
        <v>0</v>
      </c>
      <c r="AM81" s="14">
        <f t="shared" si="86"/>
        <v>0</v>
      </c>
      <c r="AN81" s="14">
        <f t="shared" si="86"/>
        <v>0</v>
      </c>
      <c r="AO81" s="14">
        <f t="shared" si="86"/>
        <v>0</v>
      </c>
      <c r="AP81" s="14">
        <f t="shared" si="86"/>
        <v>0</v>
      </c>
      <c r="AQ81" s="18">
        <f t="shared" si="86"/>
        <v>0</v>
      </c>
      <c r="AR81" s="179">
        <f t="shared" si="86"/>
        <v>8139293</v>
      </c>
      <c r="AS81" s="17">
        <f t="shared" si="86"/>
        <v>5873371</v>
      </c>
      <c r="AT81" s="17">
        <f t="shared" si="86"/>
        <v>12103</v>
      </c>
      <c r="AU81" s="17">
        <f t="shared" si="86"/>
        <v>1989291</v>
      </c>
      <c r="AV81" s="17">
        <f t="shared" si="86"/>
        <v>117468</v>
      </c>
      <c r="AW81" s="17">
        <f t="shared" si="86"/>
        <v>147060</v>
      </c>
      <c r="AX81" s="14">
        <f t="shared" si="86"/>
        <v>11.960599999999999</v>
      </c>
      <c r="AY81" s="14">
        <f t="shared" si="86"/>
        <v>9.0423000000000009</v>
      </c>
      <c r="AZ81" s="18">
        <f t="shared" si="86"/>
        <v>2.9182999999999999</v>
      </c>
    </row>
    <row r="82" spans="4:52" x14ac:dyDescent="0.2">
      <c r="D82" s="10"/>
      <c r="E82" s="6"/>
      <c r="F82" s="10"/>
      <c r="G82" s="24"/>
      <c r="H82" s="2">
        <v>3122</v>
      </c>
      <c r="I82" s="178">
        <f t="shared" ref="I82:AZ82" si="87">SUMIF($F$12:$F$463,"=3122",I$12:I$463)</f>
        <v>0</v>
      </c>
      <c r="J82" s="17">
        <f t="shared" si="87"/>
        <v>0</v>
      </c>
      <c r="K82" s="17">
        <f t="shared" si="87"/>
        <v>0</v>
      </c>
      <c r="L82" s="17">
        <f t="shared" si="87"/>
        <v>0</v>
      </c>
      <c r="M82" s="17">
        <f t="shared" si="87"/>
        <v>0</v>
      </c>
      <c r="N82" s="17">
        <f t="shared" si="87"/>
        <v>0</v>
      </c>
      <c r="O82" s="14">
        <f t="shared" si="87"/>
        <v>0</v>
      </c>
      <c r="P82" s="14">
        <f t="shared" si="87"/>
        <v>0</v>
      </c>
      <c r="Q82" s="180">
        <f t="shared" si="87"/>
        <v>0</v>
      </c>
      <c r="R82" s="178">
        <f t="shared" si="87"/>
        <v>0</v>
      </c>
      <c r="S82" s="17">
        <f t="shared" si="87"/>
        <v>0</v>
      </c>
      <c r="T82" s="17">
        <f t="shared" si="87"/>
        <v>0</v>
      </c>
      <c r="U82" s="17">
        <f t="shared" si="87"/>
        <v>0</v>
      </c>
      <c r="V82" s="17">
        <f t="shared" si="87"/>
        <v>0</v>
      </c>
      <c r="W82" s="17">
        <f t="shared" si="87"/>
        <v>0</v>
      </c>
      <c r="X82" s="17">
        <f t="shared" si="87"/>
        <v>0</v>
      </c>
      <c r="Y82" s="17">
        <f t="shared" si="87"/>
        <v>0</v>
      </c>
      <c r="Z82" s="17">
        <f t="shared" si="87"/>
        <v>0</v>
      </c>
      <c r="AA82" s="17">
        <f t="shared" si="87"/>
        <v>0</v>
      </c>
      <c r="AB82" s="17">
        <f t="shared" si="87"/>
        <v>0</v>
      </c>
      <c r="AC82" s="17">
        <f t="shared" si="87"/>
        <v>0</v>
      </c>
      <c r="AD82" s="17">
        <f t="shared" si="87"/>
        <v>0</v>
      </c>
      <c r="AE82" s="17">
        <f t="shared" si="87"/>
        <v>0</v>
      </c>
      <c r="AF82" s="17">
        <f t="shared" si="87"/>
        <v>0</v>
      </c>
      <c r="AG82" s="17">
        <f t="shared" si="87"/>
        <v>0</v>
      </c>
      <c r="AH82" s="14">
        <f t="shared" si="87"/>
        <v>0</v>
      </c>
      <c r="AI82" s="14">
        <f t="shared" si="87"/>
        <v>0</v>
      </c>
      <c r="AJ82" s="14">
        <f t="shared" si="87"/>
        <v>0</v>
      </c>
      <c r="AK82" s="14">
        <f t="shared" si="87"/>
        <v>0</v>
      </c>
      <c r="AL82" s="14">
        <f t="shared" si="87"/>
        <v>0</v>
      </c>
      <c r="AM82" s="14">
        <f t="shared" si="87"/>
        <v>0</v>
      </c>
      <c r="AN82" s="14">
        <f t="shared" si="87"/>
        <v>0</v>
      </c>
      <c r="AO82" s="14">
        <f t="shared" si="87"/>
        <v>0</v>
      </c>
      <c r="AP82" s="14">
        <f t="shared" si="87"/>
        <v>0</v>
      </c>
      <c r="AQ82" s="18">
        <f t="shared" si="87"/>
        <v>0</v>
      </c>
      <c r="AR82" s="179">
        <f t="shared" si="87"/>
        <v>0</v>
      </c>
      <c r="AS82" s="17">
        <f t="shared" si="87"/>
        <v>0</v>
      </c>
      <c r="AT82" s="17">
        <f t="shared" si="87"/>
        <v>0</v>
      </c>
      <c r="AU82" s="17">
        <f t="shared" si="87"/>
        <v>0</v>
      </c>
      <c r="AV82" s="17">
        <f t="shared" si="87"/>
        <v>0</v>
      </c>
      <c r="AW82" s="17">
        <f t="shared" si="87"/>
        <v>0</v>
      </c>
      <c r="AX82" s="14">
        <f t="shared" si="87"/>
        <v>0</v>
      </c>
      <c r="AY82" s="14">
        <f t="shared" si="87"/>
        <v>0</v>
      </c>
      <c r="AZ82" s="18">
        <f t="shared" si="87"/>
        <v>0</v>
      </c>
    </row>
    <row r="83" spans="4:52" x14ac:dyDescent="0.2">
      <c r="D83" s="10"/>
      <c r="E83" s="6"/>
      <c r="F83" s="10"/>
      <c r="G83" s="24"/>
      <c r="H83" s="2">
        <v>3124</v>
      </c>
      <c r="I83" s="178">
        <f t="shared" ref="I83:AZ83" si="88">SUMIF($F$12:$F$463,"=3124",I$12:I$463)</f>
        <v>0</v>
      </c>
      <c r="J83" s="17">
        <f t="shared" si="88"/>
        <v>0</v>
      </c>
      <c r="K83" s="17">
        <f t="shared" si="88"/>
        <v>0</v>
      </c>
      <c r="L83" s="17">
        <f t="shared" si="88"/>
        <v>0</v>
      </c>
      <c r="M83" s="17">
        <f t="shared" si="88"/>
        <v>0</v>
      </c>
      <c r="N83" s="17">
        <f t="shared" si="88"/>
        <v>0</v>
      </c>
      <c r="O83" s="14">
        <f t="shared" si="88"/>
        <v>0</v>
      </c>
      <c r="P83" s="14">
        <f t="shared" si="88"/>
        <v>0</v>
      </c>
      <c r="Q83" s="180">
        <f t="shared" si="88"/>
        <v>0</v>
      </c>
      <c r="R83" s="178">
        <f t="shared" si="88"/>
        <v>0</v>
      </c>
      <c r="S83" s="17">
        <f t="shared" si="88"/>
        <v>0</v>
      </c>
      <c r="T83" s="17">
        <f t="shared" si="88"/>
        <v>0</v>
      </c>
      <c r="U83" s="17">
        <f t="shared" si="88"/>
        <v>0</v>
      </c>
      <c r="V83" s="17">
        <f t="shared" si="88"/>
        <v>0</v>
      </c>
      <c r="W83" s="17">
        <f t="shared" si="88"/>
        <v>0</v>
      </c>
      <c r="X83" s="17">
        <f t="shared" si="88"/>
        <v>0</v>
      </c>
      <c r="Y83" s="17">
        <f t="shared" si="88"/>
        <v>0</v>
      </c>
      <c r="Z83" s="17">
        <f t="shared" si="88"/>
        <v>0</v>
      </c>
      <c r="AA83" s="17">
        <f t="shared" si="88"/>
        <v>0</v>
      </c>
      <c r="AB83" s="17">
        <f t="shared" si="88"/>
        <v>0</v>
      </c>
      <c r="AC83" s="17">
        <f t="shared" si="88"/>
        <v>0</v>
      </c>
      <c r="AD83" s="17">
        <f t="shared" si="88"/>
        <v>0</v>
      </c>
      <c r="AE83" s="17">
        <f t="shared" si="88"/>
        <v>0</v>
      </c>
      <c r="AF83" s="17">
        <f t="shared" si="88"/>
        <v>0</v>
      </c>
      <c r="AG83" s="17">
        <f t="shared" si="88"/>
        <v>0</v>
      </c>
      <c r="AH83" s="14">
        <f t="shared" si="88"/>
        <v>0</v>
      </c>
      <c r="AI83" s="14">
        <f t="shared" si="88"/>
        <v>0</v>
      </c>
      <c r="AJ83" s="14">
        <f t="shared" si="88"/>
        <v>0</v>
      </c>
      <c r="AK83" s="14">
        <f t="shared" si="88"/>
        <v>0</v>
      </c>
      <c r="AL83" s="14">
        <f t="shared" si="88"/>
        <v>0</v>
      </c>
      <c r="AM83" s="14">
        <f t="shared" si="88"/>
        <v>0</v>
      </c>
      <c r="AN83" s="14">
        <f t="shared" si="88"/>
        <v>0</v>
      </c>
      <c r="AO83" s="14">
        <f t="shared" si="88"/>
        <v>0</v>
      </c>
      <c r="AP83" s="14">
        <f t="shared" si="88"/>
        <v>0</v>
      </c>
      <c r="AQ83" s="18">
        <f t="shared" si="88"/>
        <v>0</v>
      </c>
      <c r="AR83" s="179">
        <f t="shared" si="88"/>
        <v>0</v>
      </c>
      <c r="AS83" s="17">
        <f t="shared" si="88"/>
        <v>0</v>
      </c>
      <c r="AT83" s="17">
        <f t="shared" si="88"/>
        <v>0</v>
      </c>
      <c r="AU83" s="17">
        <f t="shared" si="88"/>
        <v>0</v>
      </c>
      <c r="AV83" s="17">
        <f t="shared" si="88"/>
        <v>0</v>
      </c>
      <c r="AW83" s="17">
        <f t="shared" si="88"/>
        <v>0</v>
      </c>
      <c r="AX83" s="14">
        <f t="shared" si="88"/>
        <v>0</v>
      </c>
      <c r="AY83" s="14">
        <f t="shared" si="88"/>
        <v>0</v>
      </c>
      <c r="AZ83" s="18">
        <f t="shared" si="88"/>
        <v>0</v>
      </c>
    </row>
    <row r="84" spans="4:52" x14ac:dyDescent="0.2">
      <c r="D84" s="10"/>
      <c r="E84" s="6"/>
      <c r="F84" s="10"/>
      <c r="G84" s="24"/>
      <c r="H84" s="2">
        <v>3141</v>
      </c>
      <c r="I84" s="178">
        <f t="shared" ref="I84:AZ84" si="89">SUMIF($F$12:$F$463,"=3141",I$12:I$463)</f>
        <v>12501267</v>
      </c>
      <c r="J84" s="17">
        <f t="shared" si="89"/>
        <v>9088405</v>
      </c>
      <c r="K84" s="17">
        <f t="shared" si="89"/>
        <v>60125</v>
      </c>
      <c r="L84" s="17">
        <f t="shared" si="89"/>
        <v>3092204</v>
      </c>
      <c r="M84" s="17">
        <f t="shared" si="89"/>
        <v>181769</v>
      </c>
      <c r="N84" s="17">
        <f t="shared" si="89"/>
        <v>78764</v>
      </c>
      <c r="O84" s="14">
        <f t="shared" si="89"/>
        <v>28.809999999999995</v>
      </c>
      <c r="P84" s="14">
        <f t="shared" si="89"/>
        <v>0</v>
      </c>
      <c r="Q84" s="180">
        <f t="shared" si="89"/>
        <v>28.809999999999995</v>
      </c>
      <c r="R84" s="178">
        <f t="shared" si="89"/>
        <v>0</v>
      </c>
      <c r="S84" s="17">
        <f t="shared" si="89"/>
        <v>0</v>
      </c>
      <c r="T84" s="17">
        <f t="shared" si="89"/>
        <v>0</v>
      </c>
      <c r="U84" s="17">
        <f t="shared" si="89"/>
        <v>0</v>
      </c>
      <c r="V84" s="17">
        <f t="shared" si="89"/>
        <v>0</v>
      </c>
      <c r="W84" s="17">
        <f t="shared" si="89"/>
        <v>0</v>
      </c>
      <c r="X84" s="17">
        <f t="shared" si="89"/>
        <v>0</v>
      </c>
      <c r="Y84" s="17">
        <f t="shared" si="89"/>
        <v>0</v>
      </c>
      <c r="Z84" s="17">
        <f t="shared" si="89"/>
        <v>0</v>
      </c>
      <c r="AA84" s="17">
        <f t="shared" si="89"/>
        <v>0</v>
      </c>
      <c r="AB84" s="17">
        <f t="shared" si="89"/>
        <v>0</v>
      </c>
      <c r="AC84" s="17">
        <f t="shared" si="89"/>
        <v>0</v>
      </c>
      <c r="AD84" s="17">
        <f t="shared" si="89"/>
        <v>0</v>
      </c>
      <c r="AE84" s="17">
        <f t="shared" si="89"/>
        <v>0</v>
      </c>
      <c r="AF84" s="17">
        <f t="shared" si="89"/>
        <v>0</v>
      </c>
      <c r="AG84" s="17">
        <f t="shared" si="89"/>
        <v>0</v>
      </c>
      <c r="AH84" s="14">
        <f t="shared" si="89"/>
        <v>0</v>
      </c>
      <c r="AI84" s="14">
        <f t="shared" si="89"/>
        <v>0</v>
      </c>
      <c r="AJ84" s="14">
        <f t="shared" si="89"/>
        <v>0</v>
      </c>
      <c r="AK84" s="14">
        <f t="shared" si="89"/>
        <v>0</v>
      </c>
      <c r="AL84" s="14">
        <f t="shared" si="89"/>
        <v>0</v>
      </c>
      <c r="AM84" s="14">
        <f t="shared" si="89"/>
        <v>0</v>
      </c>
      <c r="AN84" s="14">
        <f t="shared" si="89"/>
        <v>0</v>
      </c>
      <c r="AO84" s="14">
        <f t="shared" si="89"/>
        <v>0</v>
      </c>
      <c r="AP84" s="14">
        <f t="shared" si="89"/>
        <v>0</v>
      </c>
      <c r="AQ84" s="18">
        <f t="shared" si="89"/>
        <v>0</v>
      </c>
      <c r="AR84" s="179">
        <f t="shared" si="89"/>
        <v>12501267</v>
      </c>
      <c r="AS84" s="17">
        <f t="shared" si="89"/>
        <v>9088405</v>
      </c>
      <c r="AT84" s="17">
        <f t="shared" si="89"/>
        <v>60125</v>
      </c>
      <c r="AU84" s="17">
        <f t="shared" si="89"/>
        <v>3092204</v>
      </c>
      <c r="AV84" s="17">
        <f t="shared" si="89"/>
        <v>181769</v>
      </c>
      <c r="AW84" s="17">
        <f t="shared" si="89"/>
        <v>78764</v>
      </c>
      <c r="AX84" s="14">
        <f t="shared" si="89"/>
        <v>28.809999999999995</v>
      </c>
      <c r="AY84" s="14">
        <f t="shared" si="89"/>
        <v>0</v>
      </c>
      <c r="AZ84" s="18">
        <f t="shared" si="89"/>
        <v>28.809999999999995</v>
      </c>
    </row>
    <row r="85" spans="4:52" x14ac:dyDescent="0.2">
      <c r="D85" s="10"/>
      <c r="E85" s="6"/>
      <c r="F85" s="10"/>
      <c r="G85" s="24"/>
      <c r="H85" s="2">
        <v>3143</v>
      </c>
      <c r="I85" s="178">
        <f t="shared" ref="I85:AZ85" si="90">SUMIF($F$12:$F$463,"=3143",I$12:I$463)</f>
        <v>6471425</v>
      </c>
      <c r="J85" s="17">
        <f t="shared" si="90"/>
        <v>4745818</v>
      </c>
      <c r="K85" s="17">
        <f t="shared" si="90"/>
        <v>13650</v>
      </c>
      <c r="L85" s="17">
        <f t="shared" si="90"/>
        <v>1608700</v>
      </c>
      <c r="M85" s="17">
        <f t="shared" si="90"/>
        <v>94917</v>
      </c>
      <c r="N85" s="17">
        <f t="shared" si="90"/>
        <v>8340</v>
      </c>
      <c r="O85" s="14">
        <f t="shared" si="90"/>
        <v>10.773299999999999</v>
      </c>
      <c r="P85" s="14">
        <f t="shared" si="90"/>
        <v>10.193300000000001</v>
      </c>
      <c r="Q85" s="180">
        <f t="shared" si="90"/>
        <v>0.57999999999999996</v>
      </c>
      <c r="R85" s="178">
        <f t="shared" si="90"/>
        <v>0</v>
      </c>
      <c r="S85" s="17">
        <f t="shared" si="90"/>
        <v>0</v>
      </c>
      <c r="T85" s="17">
        <f t="shared" si="90"/>
        <v>0</v>
      </c>
      <c r="U85" s="17">
        <f t="shared" si="90"/>
        <v>0</v>
      </c>
      <c r="V85" s="17">
        <f t="shared" si="90"/>
        <v>0</v>
      </c>
      <c r="W85" s="17">
        <f t="shared" si="90"/>
        <v>0</v>
      </c>
      <c r="X85" s="17">
        <f t="shared" si="90"/>
        <v>0</v>
      </c>
      <c r="Y85" s="17">
        <f t="shared" si="90"/>
        <v>0</v>
      </c>
      <c r="Z85" s="17">
        <f t="shared" si="90"/>
        <v>0</v>
      </c>
      <c r="AA85" s="17">
        <f t="shared" si="90"/>
        <v>0</v>
      </c>
      <c r="AB85" s="17">
        <f t="shared" si="90"/>
        <v>0</v>
      </c>
      <c r="AC85" s="17">
        <f t="shared" si="90"/>
        <v>0</v>
      </c>
      <c r="AD85" s="17">
        <f t="shared" si="90"/>
        <v>0</v>
      </c>
      <c r="AE85" s="17">
        <f t="shared" si="90"/>
        <v>0</v>
      </c>
      <c r="AF85" s="17">
        <f t="shared" si="90"/>
        <v>0</v>
      </c>
      <c r="AG85" s="17">
        <f t="shared" si="90"/>
        <v>0</v>
      </c>
      <c r="AH85" s="14">
        <f t="shared" si="90"/>
        <v>0</v>
      </c>
      <c r="AI85" s="14">
        <f t="shared" si="90"/>
        <v>0</v>
      </c>
      <c r="AJ85" s="14">
        <f t="shared" si="90"/>
        <v>0</v>
      </c>
      <c r="AK85" s="14">
        <f t="shared" si="90"/>
        <v>0</v>
      </c>
      <c r="AL85" s="14">
        <f t="shared" si="90"/>
        <v>0</v>
      </c>
      <c r="AM85" s="14">
        <f t="shared" si="90"/>
        <v>0</v>
      </c>
      <c r="AN85" s="14">
        <f t="shared" si="90"/>
        <v>0</v>
      </c>
      <c r="AO85" s="14">
        <f t="shared" si="90"/>
        <v>0</v>
      </c>
      <c r="AP85" s="14">
        <f t="shared" si="90"/>
        <v>0</v>
      </c>
      <c r="AQ85" s="18">
        <f t="shared" si="90"/>
        <v>0</v>
      </c>
      <c r="AR85" s="179">
        <f t="shared" si="90"/>
        <v>6471425</v>
      </c>
      <c r="AS85" s="17">
        <f t="shared" si="90"/>
        <v>4745818</v>
      </c>
      <c r="AT85" s="17">
        <f t="shared" si="90"/>
        <v>13650</v>
      </c>
      <c r="AU85" s="17">
        <f t="shared" si="90"/>
        <v>1608700</v>
      </c>
      <c r="AV85" s="17">
        <f t="shared" si="90"/>
        <v>94917</v>
      </c>
      <c r="AW85" s="17">
        <f t="shared" si="90"/>
        <v>8340</v>
      </c>
      <c r="AX85" s="14">
        <f t="shared" si="90"/>
        <v>10.773299999999999</v>
      </c>
      <c r="AY85" s="14">
        <f t="shared" si="90"/>
        <v>10.193300000000001</v>
      </c>
      <c r="AZ85" s="18">
        <f t="shared" si="90"/>
        <v>0.57999999999999996</v>
      </c>
    </row>
    <row r="86" spans="4:52" x14ac:dyDescent="0.2">
      <c r="D86" s="10"/>
      <c r="E86" s="6"/>
      <c r="F86" s="10"/>
      <c r="G86" s="24"/>
      <c r="H86" s="2">
        <v>3231</v>
      </c>
      <c r="I86" s="178">
        <f t="shared" ref="I86:AZ86" si="91">SUMIF($F$12:$F$463,"=3231",I$12:I$463)</f>
        <v>10349507</v>
      </c>
      <c r="J86" s="17">
        <f t="shared" si="91"/>
        <v>7588283</v>
      </c>
      <c r="K86" s="17">
        <f t="shared" si="91"/>
        <v>8288</v>
      </c>
      <c r="L86" s="17">
        <f t="shared" si="91"/>
        <v>2567641</v>
      </c>
      <c r="M86" s="17">
        <f t="shared" si="91"/>
        <v>151765</v>
      </c>
      <c r="N86" s="17">
        <f t="shared" si="91"/>
        <v>33530</v>
      </c>
      <c r="O86" s="14">
        <f t="shared" si="91"/>
        <v>14.093900000000001</v>
      </c>
      <c r="P86" s="14">
        <f t="shared" si="91"/>
        <v>12.507400000000001</v>
      </c>
      <c r="Q86" s="180">
        <f t="shared" si="91"/>
        <v>1.5865</v>
      </c>
      <c r="R86" s="178">
        <f t="shared" si="91"/>
        <v>0</v>
      </c>
      <c r="S86" s="17">
        <f t="shared" si="91"/>
        <v>0</v>
      </c>
      <c r="T86" s="17">
        <f t="shared" si="91"/>
        <v>0</v>
      </c>
      <c r="U86" s="17">
        <f t="shared" si="91"/>
        <v>0</v>
      </c>
      <c r="V86" s="17">
        <f t="shared" si="91"/>
        <v>0</v>
      </c>
      <c r="W86" s="17">
        <f t="shared" si="91"/>
        <v>0</v>
      </c>
      <c r="X86" s="17">
        <f t="shared" si="91"/>
        <v>0</v>
      </c>
      <c r="Y86" s="17">
        <f t="shared" si="91"/>
        <v>0</v>
      </c>
      <c r="Z86" s="17">
        <f t="shared" si="91"/>
        <v>0</v>
      </c>
      <c r="AA86" s="17">
        <f t="shared" si="91"/>
        <v>0</v>
      </c>
      <c r="AB86" s="17">
        <f t="shared" si="91"/>
        <v>0</v>
      </c>
      <c r="AC86" s="17">
        <f t="shared" si="91"/>
        <v>0</v>
      </c>
      <c r="AD86" s="17">
        <f t="shared" si="91"/>
        <v>0</v>
      </c>
      <c r="AE86" s="17">
        <f t="shared" si="91"/>
        <v>0</v>
      </c>
      <c r="AF86" s="17">
        <f t="shared" si="91"/>
        <v>0</v>
      </c>
      <c r="AG86" s="17">
        <f t="shared" si="91"/>
        <v>0</v>
      </c>
      <c r="AH86" s="14">
        <f t="shared" si="91"/>
        <v>0</v>
      </c>
      <c r="AI86" s="14">
        <f t="shared" si="91"/>
        <v>0</v>
      </c>
      <c r="AJ86" s="14">
        <f t="shared" si="91"/>
        <v>0</v>
      </c>
      <c r="AK86" s="14">
        <f t="shared" si="91"/>
        <v>0</v>
      </c>
      <c r="AL86" s="14">
        <f t="shared" si="91"/>
        <v>0</v>
      </c>
      <c r="AM86" s="14">
        <f t="shared" si="91"/>
        <v>0</v>
      </c>
      <c r="AN86" s="14">
        <f t="shared" si="91"/>
        <v>0</v>
      </c>
      <c r="AO86" s="14">
        <f t="shared" si="91"/>
        <v>0</v>
      </c>
      <c r="AP86" s="14">
        <f t="shared" si="91"/>
        <v>0</v>
      </c>
      <c r="AQ86" s="18">
        <f t="shared" si="91"/>
        <v>0</v>
      </c>
      <c r="AR86" s="179">
        <f t="shared" si="91"/>
        <v>10349507</v>
      </c>
      <c r="AS86" s="17">
        <f t="shared" si="91"/>
        <v>7588283</v>
      </c>
      <c r="AT86" s="17">
        <f t="shared" si="91"/>
        <v>8288</v>
      </c>
      <c r="AU86" s="17">
        <f t="shared" si="91"/>
        <v>2567641</v>
      </c>
      <c r="AV86" s="17">
        <f t="shared" si="91"/>
        <v>151765</v>
      </c>
      <c r="AW86" s="17">
        <f t="shared" si="91"/>
        <v>33530</v>
      </c>
      <c r="AX86" s="14">
        <f t="shared" si="91"/>
        <v>14.093900000000001</v>
      </c>
      <c r="AY86" s="14">
        <f t="shared" si="91"/>
        <v>12.507400000000001</v>
      </c>
      <c r="AZ86" s="18">
        <f t="shared" si="91"/>
        <v>1.5865</v>
      </c>
    </row>
    <row r="87" spans="4:52" ht="13.5" thickBot="1" x14ac:dyDescent="0.25">
      <c r="D87" s="10"/>
      <c r="E87" s="6"/>
      <c r="F87" s="10"/>
      <c r="G87" s="24"/>
      <c r="H87" s="162">
        <v>3233</v>
      </c>
      <c r="I87" s="181">
        <f t="shared" ref="I87:AZ87" si="92">SUMIF($F$12:$F$463,"=3233",I$12:I$463)</f>
        <v>3302809</v>
      </c>
      <c r="J87" s="182">
        <f t="shared" si="92"/>
        <v>2300811</v>
      </c>
      <c r="K87" s="182">
        <f t="shared" si="92"/>
        <v>130000</v>
      </c>
      <c r="L87" s="182">
        <f t="shared" si="92"/>
        <v>821614</v>
      </c>
      <c r="M87" s="182">
        <f t="shared" si="92"/>
        <v>46016</v>
      </c>
      <c r="N87" s="182">
        <f t="shared" si="92"/>
        <v>4368</v>
      </c>
      <c r="O87" s="183">
        <f t="shared" si="92"/>
        <v>5.07</v>
      </c>
      <c r="P87" s="183">
        <f t="shared" si="92"/>
        <v>3.2800000000000002</v>
      </c>
      <c r="Q87" s="186">
        <f t="shared" si="92"/>
        <v>1.79</v>
      </c>
      <c r="R87" s="181">
        <f t="shared" si="92"/>
        <v>0</v>
      </c>
      <c r="S87" s="182">
        <f t="shared" si="92"/>
        <v>0</v>
      </c>
      <c r="T87" s="182">
        <f t="shared" si="92"/>
        <v>0</v>
      </c>
      <c r="U87" s="182">
        <f t="shared" si="92"/>
        <v>0</v>
      </c>
      <c r="V87" s="182">
        <f t="shared" si="92"/>
        <v>0</v>
      </c>
      <c r="W87" s="182">
        <f t="shared" si="92"/>
        <v>0</v>
      </c>
      <c r="X87" s="182">
        <f t="shared" si="92"/>
        <v>0</v>
      </c>
      <c r="Y87" s="182">
        <f t="shared" si="92"/>
        <v>0</v>
      </c>
      <c r="Z87" s="182">
        <f t="shared" si="92"/>
        <v>0</v>
      </c>
      <c r="AA87" s="182">
        <f t="shared" si="92"/>
        <v>0</v>
      </c>
      <c r="AB87" s="182">
        <f t="shared" si="92"/>
        <v>0</v>
      </c>
      <c r="AC87" s="182">
        <f t="shared" si="92"/>
        <v>0</v>
      </c>
      <c r="AD87" s="182">
        <f t="shared" si="92"/>
        <v>0</v>
      </c>
      <c r="AE87" s="182">
        <f t="shared" si="92"/>
        <v>25662</v>
      </c>
      <c r="AF87" s="182">
        <f t="shared" si="92"/>
        <v>25662</v>
      </c>
      <c r="AG87" s="182">
        <f t="shared" si="92"/>
        <v>25662</v>
      </c>
      <c r="AH87" s="183">
        <f t="shared" si="92"/>
        <v>0</v>
      </c>
      <c r="AI87" s="183">
        <f t="shared" si="92"/>
        <v>0</v>
      </c>
      <c r="AJ87" s="183">
        <f t="shared" si="92"/>
        <v>0</v>
      </c>
      <c r="AK87" s="183">
        <f t="shared" si="92"/>
        <v>0</v>
      </c>
      <c r="AL87" s="183">
        <f t="shared" si="92"/>
        <v>0</v>
      </c>
      <c r="AM87" s="183">
        <f t="shared" si="92"/>
        <v>0</v>
      </c>
      <c r="AN87" s="183">
        <f t="shared" si="92"/>
        <v>0</v>
      </c>
      <c r="AO87" s="183">
        <f t="shared" si="92"/>
        <v>0</v>
      </c>
      <c r="AP87" s="183">
        <f t="shared" si="92"/>
        <v>0</v>
      </c>
      <c r="AQ87" s="184">
        <f t="shared" si="92"/>
        <v>0</v>
      </c>
      <c r="AR87" s="185">
        <f t="shared" si="92"/>
        <v>3328471</v>
      </c>
      <c r="AS87" s="182">
        <f t="shared" si="92"/>
        <v>2300811</v>
      </c>
      <c r="AT87" s="182">
        <f t="shared" si="92"/>
        <v>130000</v>
      </c>
      <c r="AU87" s="182">
        <f t="shared" si="92"/>
        <v>821614</v>
      </c>
      <c r="AV87" s="182">
        <f t="shared" si="92"/>
        <v>46016</v>
      </c>
      <c r="AW87" s="182">
        <f t="shared" si="92"/>
        <v>30030</v>
      </c>
      <c r="AX87" s="183">
        <f t="shared" si="92"/>
        <v>5.07</v>
      </c>
      <c r="AY87" s="183">
        <f t="shared" si="92"/>
        <v>3.2800000000000002</v>
      </c>
      <c r="AZ87" s="184">
        <f t="shared" si="92"/>
        <v>1.79</v>
      </c>
    </row>
    <row r="88" spans="4:52" x14ac:dyDescent="0.2">
      <c r="D88" s="6"/>
      <c r="E88" s="6"/>
      <c r="F88" s="6"/>
      <c r="G88" s="24"/>
      <c r="H88" s="6"/>
    </row>
  </sheetData>
  <mergeCells count="25">
    <mergeCell ref="R6:AQ6"/>
    <mergeCell ref="AR6:AZ7"/>
    <mergeCell ref="AH7:AQ7"/>
    <mergeCell ref="AM8:AN9"/>
    <mergeCell ref="AO8:AQ9"/>
    <mergeCell ref="AR8:AR10"/>
    <mergeCell ref="AS8:AW9"/>
    <mergeCell ref="AX8:AX10"/>
    <mergeCell ref="AY8:AZ9"/>
    <mergeCell ref="A3:E3"/>
    <mergeCell ref="AC7:AC10"/>
    <mergeCell ref="AK8:AL9"/>
    <mergeCell ref="I6:Q7"/>
    <mergeCell ref="R7:V9"/>
    <mergeCell ref="W7:Z9"/>
    <mergeCell ref="AA7:AA10"/>
    <mergeCell ref="AB7:AB10"/>
    <mergeCell ref="AD7:AF9"/>
    <mergeCell ref="AG7:AG10"/>
    <mergeCell ref="I8:I10"/>
    <mergeCell ref="J8:N9"/>
    <mergeCell ref="O8:O10"/>
    <mergeCell ref="P8:Q9"/>
    <mergeCell ref="AH8:AI9"/>
    <mergeCell ref="AJ8:AJ9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13"/>
  <sheetViews>
    <sheetView workbookViewId="0">
      <pane xSplit="8" ySplit="11" topLeftCell="I291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RowHeight="12.75" x14ac:dyDescent="0.2"/>
  <cols>
    <col min="1" max="1" width="5" customWidth="1"/>
    <col min="2" max="2" width="5.7109375" bestFit="1" customWidth="1"/>
    <col min="3" max="3" width="8.7109375" bestFit="1" customWidth="1"/>
    <col min="4" max="4" width="7.85546875" bestFit="1" customWidth="1"/>
    <col min="5" max="5" width="28.140625" customWidth="1"/>
    <col min="6" max="6" width="4.42578125" bestFit="1" customWidth="1"/>
    <col min="7" max="7" width="10.28515625" style="47" customWidth="1"/>
    <col min="8" max="8" width="8" customWidth="1"/>
    <col min="9" max="9" width="11.5703125" style="9" customWidth="1"/>
    <col min="10" max="14" width="9.28515625" style="9" customWidth="1"/>
    <col min="15" max="15" width="11.42578125" style="8" customWidth="1"/>
    <col min="16" max="17" width="9.28515625" style="8" customWidth="1"/>
    <col min="18" max="19" width="9.140625" style="9" customWidth="1"/>
    <col min="20" max="21" width="9.7109375" style="9" customWidth="1"/>
    <col min="22" max="22" width="9.140625" style="9" customWidth="1"/>
    <col min="23" max="23" width="9.140625" style="9"/>
    <col min="24" max="26" width="9.140625" style="9" customWidth="1"/>
    <col min="27" max="27" width="10.140625" style="9" customWidth="1"/>
    <col min="28" max="33" width="9.28515625" style="9" customWidth="1"/>
    <col min="34" max="43" width="9.28515625" style="8" customWidth="1"/>
    <col min="44" max="44" width="11.140625" style="9" customWidth="1"/>
    <col min="45" max="45" width="10.140625" style="9" customWidth="1"/>
    <col min="46" max="46" width="9.140625" style="9"/>
    <col min="47" max="47" width="10" style="9" customWidth="1"/>
    <col min="48" max="49" width="9.140625" style="9"/>
    <col min="50" max="50" width="11.85546875" style="8" customWidth="1"/>
    <col min="51" max="52" width="9.28515625" style="8" customWidth="1"/>
    <col min="178" max="178" width="6.85546875" customWidth="1"/>
    <col min="179" max="179" width="29.85546875" customWidth="1"/>
    <col min="180" max="180" width="6.7109375" customWidth="1"/>
    <col min="181" max="181" width="32.28515625" customWidth="1"/>
    <col min="182" max="182" width="10.85546875" customWidth="1"/>
    <col min="183" max="183" width="11.7109375" customWidth="1"/>
    <col min="184" max="184" width="10.85546875" customWidth="1"/>
    <col min="185" max="185" width="10.5703125" customWidth="1"/>
    <col min="187" max="187" width="10.85546875" customWidth="1"/>
    <col min="190" max="190" width="12" customWidth="1"/>
    <col min="434" max="434" width="6.85546875" customWidth="1"/>
    <col min="435" max="435" width="29.85546875" customWidth="1"/>
    <col min="436" max="436" width="6.7109375" customWidth="1"/>
    <col min="437" max="437" width="32.28515625" customWidth="1"/>
    <col min="438" max="438" width="10.85546875" customWidth="1"/>
    <col min="439" max="439" width="11.7109375" customWidth="1"/>
    <col min="440" max="440" width="10.85546875" customWidth="1"/>
    <col min="441" max="441" width="10.5703125" customWidth="1"/>
    <col min="443" max="443" width="10.85546875" customWidth="1"/>
    <col min="446" max="446" width="12" customWidth="1"/>
    <col min="690" max="690" width="6.85546875" customWidth="1"/>
    <col min="691" max="691" width="29.85546875" customWidth="1"/>
    <col min="692" max="692" width="6.7109375" customWidth="1"/>
    <col min="693" max="693" width="32.28515625" customWidth="1"/>
    <col min="694" max="694" width="10.85546875" customWidth="1"/>
    <col min="695" max="695" width="11.7109375" customWidth="1"/>
    <col min="696" max="696" width="10.85546875" customWidth="1"/>
    <col min="697" max="697" width="10.5703125" customWidth="1"/>
    <col min="699" max="699" width="10.85546875" customWidth="1"/>
    <col min="702" max="702" width="12" customWidth="1"/>
    <col min="946" max="946" width="6.85546875" customWidth="1"/>
    <col min="947" max="947" width="29.85546875" customWidth="1"/>
    <col min="948" max="948" width="6.7109375" customWidth="1"/>
    <col min="949" max="949" width="32.28515625" customWidth="1"/>
    <col min="950" max="950" width="10.85546875" customWidth="1"/>
    <col min="951" max="951" width="11.7109375" customWidth="1"/>
    <col min="952" max="952" width="10.85546875" customWidth="1"/>
    <col min="953" max="953" width="10.5703125" customWidth="1"/>
    <col min="955" max="955" width="10.85546875" customWidth="1"/>
    <col min="958" max="958" width="12" customWidth="1"/>
    <col min="1202" max="1202" width="6.85546875" customWidth="1"/>
    <col min="1203" max="1203" width="29.85546875" customWidth="1"/>
    <col min="1204" max="1204" width="6.7109375" customWidth="1"/>
    <col min="1205" max="1205" width="32.28515625" customWidth="1"/>
    <col min="1206" max="1206" width="10.85546875" customWidth="1"/>
    <col min="1207" max="1207" width="11.7109375" customWidth="1"/>
    <col min="1208" max="1208" width="10.85546875" customWidth="1"/>
    <col min="1209" max="1209" width="10.5703125" customWidth="1"/>
    <col min="1211" max="1211" width="10.85546875" customWidth="1"/>
    <col min="1214" max="1214" width="12" customWidth="1"/>
    <col min="1458" max="1458" width="6.85546875" customWidth="1"/>
    <col min="1459" max="1459" width="29.85546875" customWidth="1"/>
    <col min="1460" max="1460" width="6.7109375" customWidth="1"/>
    <col min="1461" max="1461" width="32.28515625" customWidth="1"/>
    <col min="1462" max="1462" width="10.85546875" customWidth="1"/>
    <col min="1463" max="1463" width="11.7109375" customWidth="1"/>
    <col min="1464" max="1464" width="10.85546875" customWidth="1"/>
    <col min="1465" max="1465" width="10.5703125" customWidth="1"/>
    <col min="1467" max="1467" width="10.85546875" customWidth="1"/>
    <col min="1470" max="1470" width="12" customWidth="1"/>
    <col min="1714" max="1714" width="6.85546875" customWidth="1"/>
    <col min="1715" max="1715" width="29.85546875" customWidth="1"/>
    <col min="1716" max="1716" width="6.7109375" customWidth="1"/>
    <col min="1717" max="1717" width="32.28515625" customWidth="1"/>
    <col min="1718" max="1718" width="10.85546875" customWidth="1"/>
    <col min="1719" max="1719" width="11.7109375" customWidth="1"/>
    <col min="1720" max="1720" width="10.85546875" customWidth="1"/>
    <col min="1721" max="1721" width="10.5703125" customWidth="1"/>
    <col min="1723" max="1723" width="10.85546875" customWidth="1"/>
    <col min="1726" max="1726" width="12" customWidth="1"/>
    <col min="1970" max="1970" width="6.85546875" customWidth="1"/>
    <col min="1971" max="1971" width="29.85546875" customWidth="1"/>
    <col min="1972" max="1972" width="6.7109375" customWidth="1"/>
    <col min="1973" max="1973" width="32.28515625" customWidth="1"/>
    <col min="1974" max="1974" width="10.85546875" customWidth="1"/>
    <col min="1975" max="1975" width="11.7109375" customWidth="1"/>
    <col min="1976" max="1976" width="10.85546875" customWidth="1"/>
    <col min="1977" max="1977" width="10.5703125" customWidth="1"/>
    <col min="1979" max="1979" width="10.85546875" customWidth="1"/>
    <col min="1982" max="1982" width="12" customWidth="1"/>
    <col min="2226" max="2226" width="6.85546875" customWidth="1"/>
    <col min="2227" max="2227" width="29.85546875" customWidth="1"/>
    <col min="2228" max="2228" width="6.7109375" customWidth="1"/>
    <col min="2229" max="2229" width="32.28515625" customWidth="1"/>
    <col min="2230" max="2230" width="10.85546875" customWidth="1"/>
    <col min="2231" max="2231" width="11.7109375" customWidth="1"/>
    <col min="2232" max="2232" width="10.85546875" customWidth="1"/>
    <col min="2233" max="2233" width="10.5703125" customWidth="1"/>
    <col min="2235" max="2235" width="10.85546875" customWidth="1"/>
    <col min="2238" max="2238" width="12" customWidth="1"/>
    <col min="2482" max="2482" width="6.85546875" customWidth="1"/>
    <col min="2483" max="2483" width="29.85546875" customWidth="1"/>
    <col min="2484" max="2484" width="6.7109375" customWidth="1"/>
    <col min="2485" max="2485" width="32.28515625" customWidth="1"/>
    <col min="2486" max="2486" width="10.85546875" customWidth="1"/>
    <col min="2487" max="2487" width="11.7109375" customWidth="1"/>
    <col min="2488" max="2488" width="10.85546875" customWidth="1"/>
    <col min="2489" max="2489" width="10.5703125" customWidth="1"/>
    <col min="2491" max="2491" width="10.85546875" customWidth="1"/>
    <col min="2494" max="2494" width="12" customWidth="1"/>
    <col min="2738" max="2738" width="6.85546875" customWidth="1"/>
    <col min="2739" max="2739" width="29.85546875" customWidth="1"/>
    <col min="2740" max="2740" width="6.7109375" customWidth="1"/>
    <col min="2741" max="2741" width="32.28515625" customWidth="1"/>
    <col min="2742" max="2742" width="10.85546875" customWidth="1"/>
    <col min="2743" max="2743" width="11.7109375" customWidth="1"/>
    <col min="2744" max="2744" width="10.85546875" customWidth="1"/>
    <col min="2745" max="2745" width="10.5703125" customWidth="1"/>
    <col min="2747" max="2747" width="10.85546875" customWidth="1"/>
    <col min="2750" max="2750" width="12" customWidth="1"/>
    <col min="2994" max="2994" width="6.85546875" customWidth="1"/>
    <col min="2995" max="2995" width="29.85546875" customWidth="1"/>
    <col min="2996" max="2996" width="6.7109375" customWidth="1"/>
    <col min="2997" max="2997" width="32.28515625" customWidth="1"/>
    <col min="2998" max="2998" width="10.85546875" customWidth="1"/>
    <col min="2999" max="2999" width="11.7109375" customWidth="1"/>
    <col min="3000" max="3000" width="10.85546875" customWidth="1"/>
    <col min="3001" max="3001" width="10.5703125" customWidth="1"/>
    <col min="3003" max="3003" width="10.85546875" customWidth="1"/>
    <col min="3006" max="3006" width="12" customWidth="1"/>
    <col min="3250" max="3250" width="6.85546875" customWidth="1"/>
    <col min="3251" max="3251" width="29.85546875" customWidth="1"/>
    <col min="3252" max="3252" width="6.7109375" customWidth="1"/>
    <col min="3253" max="3253" width="32.28515625" customWidth="1"/>
    <col min="3254" max="3254" width="10.85546875" customWidth="1"/>
    <col min="3255" max="3255" width="11.7109375" customWidth="1"/>
    <col min="3256" max="3256" width="10.85546875" customWidth="1"/>
    <col min="3257" max="3257" width="10.5703125" customWidth="1"/>
    <col min="3259" max="3259" width="10.85546875" customWidth="1"/>
    <col min="3262" max="3262" width="12" customWidth="1"/>
    <col min="3506" max="3506" width="6.85546875" customWidth="1"/>
    <col min="3507" max="3507" width="29.85546875" customWidth="1"/>
    <col min="3508" max="3508" width="6.7109375" customWidth="1"/>
    <col min="3509" max="3509" width="32.28515625" customWidth="1"/>
    <col min="3510" max="3510" width="10.85546875" customWidth="1"/>
    <col min="3511" max="3511" width="11.7109375" customWidth="1"/>
    <col min="3512" max="3512" width="10.85546875" customWidth="1"/>
    <col min="3513" max="3513" width="10.5703125" customWidth="1"/>
    <col min="3515" max="3515" width="10.85546875" customWidth="1"/>
    <col min="3518" max="3518" width="12" customWidth="1"/>
    <col min="3762" max="3762" width="6.85546875" customWidth="1"/>
    <col min="3763" max="3763" width="29.85546875" customWidth="1"/>
    <col min="3764" max="3764" width="6.7109375" customWidth="1"/>
    <col min="3765" max="3765" width="32.28515625" customWidth="1"/>
    <col min="3766" max="3766" width="10.85546875" customWidth="1"/>
    <col min="3767" max="3767" width="11.7109375" customWidth="1"/>
    <col min="3768" max="3768" width="10.85546875" customWidth="1"/>
    <col min="3769" max="3769" width="10.5703125" customWidth="1"/>
    <col min="3771" max="3771" width="10.85546875" customWidth="1"/>
    <col min="3774" max="3774" width="12" customWidth="1"/>
    <col min="4018" max="4018" width="6.85546875" customWidth="1"/>
    <col min="4019" max="4019" width="29.85546875" customWidth="1"/>
    <col min="4020" max="4020" width="6.7109375" customWidth="1"/>
    <col min="4021" max="4021" width="32.28515625" customWidth="1"/>
    <col min="4022" max="4022" width="10.85546875" customWidth="1"/>
    <col min="4023" max="4023" width="11.7109375" customWidth="1"/>
    <col min="4024" max="4024" width="10.85546875" customWidth="1"/>
    <col min="4025" max="4025" width="10.5703125" customWidth="1"/>
    <col min="4027" max="4027" width="10.85546875" customWidth="1"/>
    <col min="4030" max="4030" width="12" customWidth="1"/>
    <col min="4274" max="4274" width="6.85546875" customWidth="1"/>
    <col min="4275" max="4275" width="29.85546875" customWidth="1"/>
    <col min="4276" max="4276" width="6.7109375" customWidth="1"/>
    <col min="4277" max="4277" width="32.28515625" customWidth="1"/>
    <col min="4278" max="4278" width="10.85546875" customWidth="1"/>
    <col min="4279" max="4279" width="11.7109375" customWidth="1"/>
    <col min="4280" max="4280" width="10.85546875" customWidth="1"/>
    <col min="4281" max="4281" width="10.5703125" customWidth="1"/>
    <col min="4283" max="4283" width="10.85546875" customWidth="1"/>
    <col min="4286" max="4286" width="12" customWidth="1"/>
    <col min="4530" max="4530" width="6.85546875" customWidth="1"/>
    <col min="4531" max="4531" width="29.85546875" customWidth="1"/>
    <col min="4532" max="4532" width="6.7109375" customWidth="1"/>
    <col min="4533" max="4533" width="32.28515625" customWidth="1"/>
    <col min="4534" max="4534" width="10.85546875" customWidth="1"/>
    <col min="4535" max="4535" width="11.7109375" customWidth="1"/>
    <col min="4536" max="4536" width="10.85546875" customWidth="1"/>
    <col min="4537" max="4537" width="10.5703125" customWidth="1"/>
    <col min="4539" max="4539" width="10.85546875" customWidth="1"/>
    <col min="4542" max="4542" width="12" customWidth="1"/>
    <col min="4786" max="4786" width="6.85546875" customWidth="1"/>
    <col min="4787" max="4787" width="29.85546875" customWidth="1"/>
    <col min="4788" max="4788" width="6.7109375" customWidth="1"/>
    <col min="4789" max="4789" width="32.28515625" customWidth="1"/>
    <col min="4790" max="4790" width="10.85546875" customWidth="1"/>
    <col min="4791" max="4791" width="11.7109375" customWidth="1"/>
    <col min="4792" max="4792" width="10.85546875" customWidth="1"/>
    <col min="4793" max="4793" width="10.5703125" customWidth="1"/>
    <col min="4795" max="4795" width="10.85546875" customWidth="1"/>
    <col min="4798" max="4798" width="12" customWidth="1"/>
    <col min="5042" max="5042" width="6.85546875" customWidth="1"/>
    <col min="5043" max="5043" width="29.85546875" customWidth="1"/>
    <col min="5044" max="5044" width="6.7109375" customWidth="1"/>
    <col min="5045" max="5045" width="32.28515625" customWidth="1"/>
    <col min="5046" max="5046" width="10.85546875" customWidth="1"/>
    <col min="5047" max="5047" width="11.7109375" customWidth="1"/>
    <col min="5048" max="5048" width="10.85546875" customWidth="1"/>
    <col min="5049" max="5049" width="10.5703125" customWidth="1"/>
    <col min="5051" max="5051" width="10.85546875" customWidth="1"/>
    <col min="5054" max="5054" width="12" customWidth="1"/>
    <col min="5298" max="5298" width="6.85546875" customWidth="1"/>
    <col min="5299" max="5299" width="29.85546875" customWidth="1"/>
    <col min="5300" max="5300" width="6.7109375" customWidth="1"/>
    <col min="5301" max="5301" width="32.28515625" customWidth="1"/>
    <col min="5302" max="5302" width="10.85546875" customWidth="1"/>
    <col min="5303" max="5303" width="11.7109375" customWidth="1"/>
    <col min="5304" max="5304" width="10.85546875" customWidth="1"/>
    <col min="5305" max="5305" width="10.5703125" customWidth="1"/>
    <col min="5307" max="5307" width="10.85546875" customWidth="1"/>
    <col min="5310" max="5310" width="12" customWidth="1"/>
    <col min="5554" max="5554" width="6.85546875" customWidth="1"/>
    <col min="5555" max="5555" width="29.85546875" customWidth="1"/>
    <col min="5556" max="5556" width="6.7109375" customWidth="1"/>
    <col min="5557" max="5557" width="32.28515625" customWidth="1"/>
    <col min="5558" max="5558" width="10.85546875" customWidth="1"/>
    <col min="5559" max="5559" width="11.7109375" customWidth="1"/>
    <col min="5560" max="5560" width="10.85546875" customWidth="1"/>
    <col min="5561" max="5561" width="10.5703125" customWidth="1"/>
    <col min="5563" max="5563" width="10.85546875" customWidth="1"/>
    <col min="5566" max="5566" width="12" customWidth="1"/>
    <col min="5810" max="5810" width="6.85546875" customWidth="1"/>
    <col min="5811" max="5811" width="29.85546875" customWidth="1"/>
    <col min="5812" max="5812" width="6.7109375" customWidth="1"/>
    <col min="5813" max="5813" width="32.28515625" customWidth="1"/>
    <col min="5814" max="5814" width="10.85546875" customWidth="1"/>
    <col min="5815" max="5815" width="11.7109375" customWidth="1"/>
    <col min="5816" max="5816" width="10.85546875" customWidth="1"/>
    <col min="5817" max="5817" width="10.5703125" customWidth="1"/>
    <col min="5819" max="5819" width="10.85546875" customWidth="1"/>
    <col min="5822" max="5822" width="12" customWidth="1"/>
    <col min="6066" max="6066" width="6.85546875" customWidth="1"/>
    <col min="6067" max="6067" width="29.85546875" customWidth="1"/>
    <col min="6068" max="6068" width="6.7109375" customWidth="1"/>
    <col min="6069" max="6069" width="32.28515625" customWidth="1"/>
    <col min="6070" max="6070" width="10.85546875" customWidth="1"/>
    <col min="6071" max="6071" width="11.7109375" customWidth="1"/>
    <col min="6072" max="6072" width="10.85546875" customWidth="1"/>
    <col min="6073" max="6073" width="10.5703125" customWidth="1"/>
    <col min="6075" max="6075" width="10.85546875" customWidth="1"/>
    <col min="6078" max="6078" width="12" customWidth="1"/>
    <col min="6322" max="6322" width="6.85546875" customWidth="1"/>
    <col min="6323" max="6323" width="29.85546875" customWidth="1"/>
    <col min="6324" max="6324" width="6.7109375" customWidth="1"/>
    <col min="6325" max="6325" width="32.28515625" customWidth="1"/>
    <col min="6326" max="6326" width="10.85546875" customWidth="1"/>
    <col min="6327" max="6327" width="11.7109375" customWidth="1"/>
    <col min="6328" max="6328" width="10.85546875" customWidth="1"/>
    <col min="6329" max="6329" width="10.5703125" customWidth="1"/>
    <col min="6331" max="6331" width="10.85546875" customWidth="1"/>
    <col min="6334" max="6334" width="12" customWidth="1"/>
    <col min="6578" max="6578" width="6.85546875" customWidth="1"/>
    <col min="6579" max="6579" width="29.85546875" customWidth="1"/>
    <col min="6580" max="6580" width="6.7109375" customWidth="1"/>
    <col min="6581" max="6581" width="32.28515625" customWidth="1"/>
    <col min="6582" max="6582" width="10.85546875" customWidth="1"/>
    <col min="6583" max="6583" width="11.7109375" customWidth="1"/>
    <col min="6584" max="6584" width="10.85546875" customWidth="1"/>
    <col min="6585" max="6585" width="10.5703125" customWidth="1"/>
    <col min="6587" max="6587" width="10.85546875" customWidth="1"/>
    <col min="6590" max="6590" width="12" customWidth="1"/>
    <col min="6834" max="6834" width="6.85546875" customWidth="1"/>
    <col min="6835" max="6835" width="29.85546875" customWidth="1"/>
    <col min="6836" max="6836" width="6.7109375" customWidth="1"/>
    <col min="6837" max="6837" width="32.28515625" customWidth="1"/>
    <col min="6838" max="6838" width="10.85546875" customWidth="1"/>
    <col min="6839" max="6839" width="11.7109375" customWidth="1"/>
    <col min="6840" max="6840" width="10.85546875" customWidth="1"/>
    <col min="6841" max="6841" width="10.5703125" customWidth="1"/>
    <col min="6843" max="6843" width="10.85546875" customWidth="1"/>
    <col min="6846" max="6846" width="12" customWidth="1"/>
    <col min="7090" max="7090" width="6.85546875" customWidth="1"/>
    <col min="7091" max="7091" width="29.85546875" customWidth="1"/>
    <col min="7092" max="7092" width="6.7109375" customWidth="1"/>
    <col min="7093" max="7093" width="32.28515625" customWidth="1"/>
    <col min="7094" max="7094" width="10.85546875" customWidth="1"/>
    <col min="7095" max="7095" width="11.7109375" customWidth="1"/>
    <col min="7096" max="7096" width="10.85546875" customWidth="1"/>
    <col min="7097" max="7097" width="10.5703125" customWidth="1"/>
    <col min="7099" max="7099" width="10.85546875" customWidth="1"/>
    <col min="7102" max="7102" width="12" customWidth="1"/>
    <col min="7346" max="7346" width="6.85546875" customWidth="1"/>
    <col min="7347" max="7347" width="29.85546875" customWidth="1"/>
    <col min="7348" max="7348" width="6.7109375" customWidth="1"/>
    <col min="7349" max="7349" width="32.28515625" customWidth="1"/>
    <col min="7350" max="7350" width="10.85546875" customWidth="1"/>
    <col min="7351" max="7351" width="11.7109375" customWidth="1"/>
    <col min="7352" max="7352" width="10.85546875" customWidth="1"/>
    <col min="7353" max="7353" width="10.5703125" customWidth="1"/>
    <col min="7355" max="7355" width="10.85546875" customWidth="1"/>
    <col min="7358" max="7358" width="12" customWidth="1"/>
    <col min="7602" max="7602" width="6.85546875" customWidth="1"/>
    <col min="7603" max="7603" width="29.85546875" customWidth="1"/>
    <col min="7604" max="7604" width="6.7109375" customWidth="1"/>
    <col min="7605" max="7605" width="32.28515625" customWidth="1"/>
    <col min="7606" max="7606" width="10.85546875" customWidth="1"/>
    <col min="7607" max="7607" width="11.7109375" customWidth="1"/>
    <col min="7608" max="7608" width="10.85546875" customWidth="1"/>
    <col min="7609" max="7609" width="10.5703125" customWidth="1"/>
    <col min="7611" max="7611" width="10.85546875" customWidth="1"/>
    <col min="7614" max="7614" width="12" customWidth="1"/>
    <col min="7858" max="7858" width="6.85546875" customWidth="1"/>
    <col min="7859" max="7859" width="29.85546875" customWidth="1"/>
    <col min="7860" max="7860" width="6.7109375" customWidth="1"/>
    <col min="7861" max="7861" width="32.28515625" customWidth="1"/>
    <col min="7862" max="7862" width="10.85546875" customWidth="1"/>
    <col min="7863" max="7863" width="11.7109375" customWidth="1"/>
    <col min="7864" max="7864" width="10.85546875" customWidth="1"/>
    <col min="7865" max="7865" width="10.5703125" customWidth="1"/>
    <col min="7867" max="7867" width="10.85546875" customWidth="1"/>
    <col min="7870" max="7870" width="12" customWidth="1"/>
    <col min="8114" max="8114" width="6.85546875" customWidth="1"/>
    <col min="8115" max="8115" width="29.85546875" customWidth="1"/>
    <col min="8116" max="8116" width="6.7109375" customWidth="1"/>
    <col min="8117" max="8117" width="32.28515625" customWidth="1"/>
    <col min="8118" max="8118" width="10.85546875" customWidth="1"/>
    <col min="8119" max="8119" width="11.7109375" customWidth="1"/>
    <col min="8120" max="8120" width="10.85546875" customWidth="1"/>
    <col min="8121" max="8121" width="10.5703125" customWidth="1"/>
    <col min="8123" max="8123" width="10.85546875" customWidth="1"/>
    <col min="8126" max="8126" width="12" customWidth="1"/>
    <col min="8370" max="8370" width="6.85546875" customWidth="1"/>
    <col min="8371" max="8371" width="29.85546875" customWidth="1"/>
    <col min="8372" max="8372" width="6.7109375" customWidth="1"/>
    <col min="8373" max="8373" width="32.28515625" customWidth="1"/>
    <col min="8374" max="8374" width="10.85546875" customWidth="1"/>
    <col min="8375" max="8375" width="11.7109375" customWidth="1"/>
    <col min="8376" max="8376" width="10.85546875" customWidth="1"/>
    <col min="8377" max="8377" width="10.5703125" customWidth="1"/>
    <col min="8379" max="8379" width="10.85546875" customWidth="1"/>
    <col min="8382" max="8382" width="12" customWidth="1"/>
    <col min="8626" max="8626" width="6.85546875" customWidth="1"/>
    <col min="8627" max="8627" width="29.85546875" customWidth="1"/>
    <col min="8628" max="8628" width="6.7109375" customWidth="1"/>
    <col min="8629" max="8629" width="32.28515625" customWidth="1"/>
    <col min="8630" max="8630" width="10.85546875" customWidth="1"/>
    <col min="8631" max="8631" width="11.7109375" customWidth="1"/>
    <col min="8632" max="8632" width="10.85546875" customWidth="1"/>
    <col min="8633" max="8633" width="10.5703125" customWidth="1"/>
    <col min="8635" max="8635" width="10.85546875" customWidth="1"/>
    <col min="8638" max="8638" width="12" customWidth="1"/>
    <col min="8882" max="8882" width="6.85546875" customWidth="1"/>
    <col min="8883" max="8883" width="29.85546875" customWidth="1"/>
    <col min="8884" max="8884" width="6.7109375" customWidth="1"/>
    <col min="8885" max="8885" width="32.28515625" customWidth="1"/>
    <col min="8886" max="8886" width="10.85546875" customWidth="1"/>
    <col min="8887" max="8887" width="11.7109375" customWidth="1"/>
    <col min="8888" max="8888" width="10.85546875" customWidth="1"/>
    <col min="8889" max="8889" width="10.5703125" customWidth="1"/>
    <col min="8891" max="8891" width="10.85546875" customWidth="1"/>
    <col min="8894" max="8894" width="12" customWidth="1"/>
    <col min="9138" max="9138" width="6.85546875" customWidth="1"/>
    <col min="9139" max="9139" width="29.85546875" customWidth="1"/>
    <col min="9140" max="9140" width="6.7109375" customWidth="1"/>
    <col min="9141" max="9141" width="32.28515625" customWidth="1"/>
    <col min="9142" max="9142" width="10.85546875" customWidth="1"/>
    <col min="9143" max="9143" width="11.7109375" customWidth="1"/>
    <col min="9144" max="9144" width="10.85546875" customWidth="1"/>
    <col min="9145" max="9145" width="10.5703125" customWidth="1"/>
    <col min="9147" max="9147" width="10.85546875" customWidth="1"/>
    <col min="9150" max="9150" width="12" customWidth="1"/>
    <col min="9394" max="9394" width="6.85546875" customWidth="1"/>
    <col min="9395" max="9395" width="29.85546875" customWidth="1"/>
    <col min="9396" max="9396" width="6.7109375" customWidth="1"/>
    <col min="9397" max="9397" width="32.28515625" customWidth="1"/>
    <col min="9398" max="9398" width="10.85546875" customWidth="1"/>
    <col min="9399" max="9399" width="11.7109375" customWidth="1"/>
    <col min="9400" max="9400" width="10.85546875" customWidth="1"/>
    <col min="9401" max="9401" width="10.5703125" customWidth="1"/>
    <col min="9403" max="9403" width="10.85546875" customWidth="1"/>
    <col min="9406" max="9406" width="12" customWidth="1"/>
    <col min="9650" max="9650" width="6.85546875" customWidth="1"/>
    <col min="9651" max="9651" width="29.85546875" customWidth="1"/>
    <col min="9652" max="9652" width="6.7109375" customWidth="1"/>
    <col min="9653" max="9653" width="32.28515625" customWidth="1"/>
    <col min="9654" max="9654" width="10.85546875" customWidth="1"/>
    <col min="9655" max="9655" width="11.7109375" customWidth="1"/>
    <col min="9656" max="9656" width="10.85546875" customWidth="1"/>
    <col min="9657" max="9657" width="10.5703125" customWidth="1"/>
    <col min="9659" max="9659" width="10.85546875" customWidth="1"/>
    <col min="9662" max="9662" width="12" customWidth="1"/>
    <col min="9906" max="9906" width="6.85546875" customWidth="1"/>
    <col min="9907" max="9907" width="29.85546875" customWidth="1"/>
    <col min="9908" max="9908" width="6.7109375" customWidth="1"/>
    <col min="9909" max="9909" width="32.28515625" customWidth="1"/>
    <col min="9910" max="9910" width="10.85546875" customWidth="1"/>
    <col min="9911" max="9911" width="11.7109375" customWidth="1"/>
    <col min="9912" max="9912" width="10.85546875" customWidth="1"/>
    <col min="9913" max="9913" width="10.5703125" customWidth="1"/>
    <col min="9915" max="9915" width="10.85546875" customWidth="1"/>
    <col min="9918" max="9918" width="12" customWidth="1"/>
    <col min="10162" max="10162" width="6.85546875" customWidth="1"/>
    <col min="10163" max="10163" width="29.85546875" customWidth="1"/>
    <col min="10164" max="10164" width="6.7109375" customWidth="1"/>
    <col min="10165" max="10165" width="32.28515625" customWidth="1"/>
    <col min="10166" max="10166" width="10.85546875" customWidth="1"/>
    <col min="10167" max="10167" width="11.7109375" customWidth="1"/>
    <col min="10168" max="10168" width="10.85546875" customWidth="1"/>
    <col min="10169" max="10169" width="10.5703125" customWidth="1"/>
    <col min="10171" max="10171" width="10.85546875" customWidth="1"/>
    <col min="10174" max="10174" width="12" customWidth="1"/>
    <col min="10418" max="10418" width="6.85546875" customWidth="1"/>
    <col min="10419" max="10419" width="29.85546875" customWidth="1"/>
    <col min="10420" max="10420" width="6.7109375" customWidth="1"/>
    <col min="10421" max="10421" width="32.28515625" customWidth="1"/>
    <col min="10422" max="10422" width="10.85546875" customWidth="1"/>
    <col min="10423" max="10423" width="11.7109375" customWidth="1"/>
    <col min="10424" max="10424" width="10.85546875" customWidth="1"/>
    <col min="10425" max="10425" width="10.5703125" customWidth="1"/>
    <col min="10427" max="10427" width="10.85546875" customWidth="1"/>
    <col min="10430" max="10430" width="12" customWidth="1"/>
    <col min="10674" max="10674" width="6.85546875" customWidth="1"/>
    <col min="10675" max="10675" width="29.85546875" customWidth="1"/>
    <col min="10676" max="10676" width="6.7109375" customWidth="1"/>
    <col min="10677" max="10677" width="32.28515625" customWidth="1"/>
    <col min="10678" max="10678" width="10.85546875" customWidth="1"/>
    <col min="10679" max="10679" width="11.7109375" customWidth="1"/>
    <col min="10680" max="10680" width="10.85546875" customWidth="1"/>
    <col min="10681" max="10681" width="10.5703125" customWidth="1"/>
    <col min="10683" max="10683" width="10.85546875" customWidth="1"/>
    <col min="10686" max="10686" width="12" customWidth="1"/>
    <col min="10930" max="10930" width="6.85546875" customWidth="1"/>
    <col min="10931" max="10931" width="29.85546875" customWidth="1"/>
    <col min="10932" max="10932" width="6.7109375" customWidth="1"/>
    <col min="10933" max="10933" width="32.28515625" customWidth="1"/>
    <col min="10934" max="10934" width="10.85546875" customWidth="1"/>
    <col min="10935" max="10935" width="11.7109375" customWidth="1"/>
    <col min="10936" max="10936" width="10.85546875" customWidth="1"/>
    <col min="10937" max="10937" width="10.5703125" customWidth="1"/>
    <col min="10939" max="10939" width="10.85546875" customWidth="1"/>
    <col min="10942" max="10942" width="12" customWidth="1"/>
    <col min="11186" max="11186" width="6.85546875" customWidth="1"/>
    <col min="11187" max="11187" width="29.85546875" customWidth="1"/>
    <col min="11188" max="11188" width="6.7109375" customWidth="1"/>
    <col min="11189" max="11189" width="32.28515625" customWidth="1"/>
    <col min="11190" max="11190" width="10.85546875" customWidth="1"/>
    <col min="11191" max="11191" width="11.7109375" customWidth="1"/>
    <col min="11192" max="11192" width="10.85546875" customWidth="1"/>
    <col min="11193" max="11193" width="10.5703125" customWidth="1"/>
    <col min="11195" max="11195" width="10.85546875" customWidth="1"/>
    <col min="11198" max="11198" width="12" customWidth="1"/>
    <col min="11442" max="11442" width="6.85546875" customWidth="1"/>
    <col min="11443" max="11443" width="29.85546875" customWidth="1"/>
    <col min="11444" max="11444" width="6.7109375" customWidth="1"/>
    <col min="11445" max="11445" width="32.28515625" customWidth="1"/>
    <col min="11446" max="11446" width="10.85546875" customWidth="1"/>
    <col min="11447" max="11447" width="11.7109375" customWidth="1"/>
    <col min="11448" max="11448" width="10.85546875" customWidth="1"/>
    <col min="11449" max="11449" width="10.5703125" customWidth="1"/>
    <col min="11451" max="11451" width="10.85546875" customWidth="1"/>
    <col min="11454" max="11454" width="12" customWidth="1"/>
    <col min="11698" max="11698" width="6.85546875" customWidth="1"/>
    <col min="11699" max="11699" width="29.85546875" customWidth="1"/>
    <col min="11700" max="11700" width="6.7109375" customWidth="1"/>
    <col min="11701" max="11701" width="32.28515625" customWidth="1"/>
    <col min="11702" max="11702" width="10.85546875" customWidth="1"/>
    <col min="11703" max="11703" width="11.7109375" customWidth="1"/>
    <col min="11704" max="11704" width="10.85546875" customWidth="1"/>
    <col min="11705" max="11705" width="10.5703125" customWidth="1"/>
    <col min="11707" max="11707" width="10.85546875" customWidth="1"/>
    <col min="11710" max="11710" width="12" customWidth="1"/>
    <col min="11954" max="11954" width="6.85546875" customWidth="1"/>
    <col min="11955" max="11955" width="29.85546875" customWidth="1"/>
    <col min="11956" max="11956" width="6.7109375" customWidth="1"/>
    <col min="11957" max="11957" width="32.28515625" customWidth="1"/>
    <col min="11958" max="11958" width="10.85546875" customWidth="1"/>
    <col min="11959" max="11959" width="11.7109375" customWidth="1"/>
    <col min="11960" max="11960" width="10.85546875" customWidth="1"/>
    <col min="11961" max="11961" width="10.5703125" customWidth="1"/>
    <col min="11963" max="11963" width="10.85546875" customWidth="1"/>
    <col min="11966" max="11966" width="12" customWidth="1"/>
    <col min="12210" max="12210" width="6.85546875" customWidth="1"/>
    <col min="12211" max="12211" width="29.85546875" customWidth="1"/>
    <col min="12212" max="12212" width="6.7109375" customWidth="1"/>
    <col min="12213" max="12213" width="32.28515625" customWidth="1"/>
    <col min="12214" max="12214" width="10.85546875" customWidth="1"/>
    <col min="12215" max="12215" width="11.7109375" customWidth="1"/>
    <col min="12216" max="12216" width="10.85546875" customWidth="1"/>
    <col min="12217" max="12217" width="10.5703125" customWidth="1"/>
    <col min="12219" max="12219" width="10.85546875" customWidth="1"/>
    <col min="12222" max="12222" width="12" customWidth="1"/>
    <col min="12466" max="12466" width="6.85546875" customWidth="1"/>
    <col min="12467" max="12467" width="29.85546875" customWidth="1"/>
    <col min="12468" max="12468" width="6.7109375" customWidth="1"/>
    <col min="12469" max="12469" width="32.28515625" customWidth="1"/>
    <col min="12470" max="12470" width="10.85546875" customWidth="1"/>
    <col min="12471" max="12471" width="11.7109375" customWidth="1"/>
    <col min="12472" max="12472" width="10.85546875" customWidth="1"/>
    <col min="12473" max="12473" width="10.5703125" customWidth="1"/>
    <col min="12475" max="12475" width="10.85546875" customWidth="1"/>
    <col min="12478" max="12478" width="12" customWidth="1"/>
    <col min="12722" max="12722" width="6.85546875" customWidth="1"/>
    <col min="12723" max="12723" width="29.85546875" customWidth="1"/>
    <col min="12724" max="12724" width="6.7109375" customWidth="1"/>
    <col min="12725" max="12725" width="32.28515625" customWidth="1"/>
    <col min="12726" max="12726" width="10.85546875" customWidth="1"/>
    <col min="12727" max="12727" width="11.7109375" customWidth="1"/>
    <col min="12728" max="12728" width="10.85546875" customWidth="1"/>
    <col min="12729" max="12729" width="10.5703125" customWidth="1"/>
    <col min="12731" max="12731" width="10.85546875" customWidth="1"/>
    <col min="12734" max="12734" width="12" customWidth="1"/>
    <col min="12978" max="12978" width="6.85546875" customWidth="1"/>
    <col min="12979" max="12979" width="29.85546875" customWidth="1"/>
    <col min="12980" max="12980" width="6.7109375" customWidth="1"/>
    <col min="12981" max="12981" width="32.28515625" customWidth="1"/>
    <col min="12982" max="12982" width="10.85546875" customWidth="1"/>
    <col min="12983" max="12983" width="11.7109375" customWidth="1"/>
    <col min="12984" max="12984" width="10.85546875" customWidth="1"/>
    <col min="12985" max="12985" width="10.5703125" customWidth="1"/>
    <col min="12987" max="12987" width="10.85546875" customWidth="1"/>
    <col min="12990" max="12990" width="12" customWidth="1"/>
    <col min="13234" max="13234" width="6.85546875" customWidth="1"/>
    <col min="13235" max="13235" width="29.85546875" customWidth="1"/>
    <col min="13236" max="13236" width="6.7109375" customWidth="1"/>
    <col min="13237" max="13237" width="32.28515625" customWidth="1"/>
    <col min="13238" max="13238" width="10.85546875" customWidth="1"/>
    <col min="13239" max="13239" width="11.7109375" customWidth="1"/>
    <col min="13240" max="13240" width="10.85546875" customWidth="1"/>
    <col min="13241" max="13241" width="10.5703125" customWidth="1"/>
    <col min="13243" max="13243" width="10.85546875" customWidth="1"/>
    <col min="13246" max="13246" width="12" customWidth="1"/>
    <col min="13490" max="13490" width="6.85546875" customWidth="1"/>
    <col min="13491" max="13491" width="29.85546875" customWidth="1"/>
    <col min="13492" max="13492" width="6.7109375" customWidth="1"/>
    <col min="13493" max="13493" width="32.28515625" customWidth="1"/>
    <col min="13494" max="13494" width="10.85546875" customWidth="1"/>
    <col min="13495" max="13495" width="11.7109375" customWidth="1"/>
    <col min="13496" max="13496" width="10.85546875" customWidth="1"/>
    <col min="13497" max="13497" width="10.5703125" customWidth="1"/>
    <col min="13499" max="13499" width="10.85546875" customWidth="1"/>
    <col min="13502" max="13502" width="12" customWidth="1"/>
    <col min="13746" max="13746" width="6.85546875" customWidth="1"/>
    <col min="13747" max="13747" width="29.85546875" customWidth="1"/>
    <col min="13748" max="13748" width="6.7109375" customWidth="1"/>
    <col min="13749" max="13749" width="32.28515625" customWidth="1"/>
    <col min="13750" max="13750" width="10.85546875" customWidth="1"/>
    <col min="13751" max="13751" width="11.7109375" customWidth="1"/>
    <col min="13752" max="13752" width="10.85546875" customWidth="1"/>
    <col min="13753" max="13753" width="10.5703125" customWidth="1"/>
    <col min="13755" max="13755" width="10.85546875" customWidth="1"/>
    <col min="13758" max="13758" width="12" customWidth="1"/>
    <col min="14002" max="14002" width="6.85546875" customWidth="1"/>
    <col min="14003" max="14003" width="29.85546875" customWidth="1"/>
    <col min="14004" max="14004" width="6.7109375" customWidth="1"/>
    <col min="14005" max="14005" width="32.28515625" customWidth="1"/>
    <col min="14006" max="14006" width="10.85546875" customWidth="1"/>
    <col min="14007" max="14007" width="11.7109375" customWidth="1"/>
    <col min="14008" max="14008" width="10.85546875" customWidth="1"/>
    <col min="14009" max="14009" width="10.5703125" customWidth="1"/>
    <col min="14011" max="14011" width="10.85546875" customWidth="1"/>
    <col min="14014" max="14014" width="12" customWidth="1"/>
    <col min="14258" max="14258" width="6.85546875" customWidth="1"/>
    <col min="14259" max="14259" width="29.85546875" customWidth="1"/>
    <col min="14260" max="14260" width="6.7109375" customWidth="1"/>
    <col min="14261" max="14261" width="32.28515625" customWidth="1"/>
    <col min="14262" max="14262" width="10.85546875" customWidth="1"/>
    <col min="14263" max="14263" width="11.7109375" customWidth="1"/>
    <col min="14264" max="14264" width="10.85546875" customWidth="1"/>
    <col min="14265" max="14265" width="10.5703125" customWidth="1"/>
    <col min="14267" max="14267" width="10.85546875" customWidth="1"/>
    <col min="14270" max="14270" width="12" customWidth="1"/>
    <col min="14514" max="14514" width="6.85546875" customWidth="1"/>
    <col min="14515" max="14515" width="29.85546875" customWidth="1"/>
    <col min="14516" max="14516" width="6.7109375" customWidth="1"/>
    <col min="14517" max="14517" width="32.28515625" customWidth="1"/>
    <col min="14518" max="14518" width="10.85546875" customWidth="1"/>
    <col min="14519" max="14519" width="11.7109375" customWidth="1"/>
    <col min="14520" max="14520" width="10.85546875" customWidth="1"/>
    <col min="14521" max="14521" width="10.5703125" customWidth="1"/>
    <col min="14523" max="14523" width="10.85546875" customWidth="1"/>
    <col min="14526" max="14526" width="12" customWidth="1"/>
    <col min="14770" max="14770" width="6.85546875" customWidth="1"/>
    <col min="14771" max="14771" width="29.85546875" customWidth="1"/>
    <col min="14772" max="14772" width="6.7109375" customWidth="1"/>
    <col min="14773" max="14773" width="32.28515625" customWidth="1"/>
    <col min="14774" max="14774" width="10.85546875" customWidth="1"/>
    <col min="14775" max="14775" width="11.7109375" customWidth="1"/>
    <col min="14776" max="14776" width="10.85546875" customWidth="1"/>
    <col min="14777" max="14777" width="10.5703125" customWidth="1"/>
    <col min="14779" max="14779" width="10.85546875" customWidth="1"/>
    <col min="14782" max="14782" width="12" customWidth="1"/>
    <col min="15026" max="15026" width="6.85546875" customWidth="1"/>
    <col min="15027" max="15027" width="29.85546875" customWidth="1"/>
    <col min="15028" max="15028" width="6.7109375" customWidth="1"/>
    <col min="15029" max="15029" width="32.28515625" customWidth="1"/>
    <col min="15030" max="15030" width="10.85546875" customWidth="1"/>
    <col min="15031" max="15031" width="11.7109375" customWidth="1"/>
    <col min="15032" max="15032" width="10.85546875" customWidth="1"/>
    <col min="15033" max="15033" width="10.5703125" customWidth="1"/>
    <col min="15035" max="15035" width="10.85546875" customWidth="1"/>
    <col min="15038" max="15038" width="12" customWidth="1"/>
    <col min="15282" max="15282" width="6.85546875" customWidth="1"/>
    <col min="15283" max="15283" width="29.85546875" customWidth="1"/>
    <col min="15284" max="15284" width="6.7109375" customWidth="1"/>
    <col min="15285" max="15285" width="32.28515625" customWidth="1"/>
    <col min="15286" max="15286" width="10.85546875" customWidth="1"/>
    <col min="15287" max="15287" width="11.7109375" customWidth="1"/>
    <col min="15288" max="15288" width="10.85546875" customWidth="1"/>
    <col min="15289" max="15289" width="10.5703125" customWidth="1"/>
    <col min="15291" max="15291" width="10.85546875" customWidth="1"/>
    <col min="15294" max="15294" width="12" customWidth="1"/>
    <col min="15538" max="15538" width="6.85546875" customWidth="1"/>
    <col min="15539" max="15539" width="29.85546875" customWidth="1"/>
    <col min="15540" max="15540" width="6.7109375" customWidth="1"/>
    <col min="15541" max="15541" width="32.28515625" customWidth="1"/>
    <col min="15542" max="15542" width="10.85546875" customWidth="1"/>
    <col min="15543" max="15543" width="11.7109375" customWidth="1"/>
    <col min="15544" max="15544" width="10.85546875" customWidth="1"/>
    <col min="15545" max="15545" width="10.5703125" customWidth="1"/>
    <col min="15547" max="15547" width="10.85546875" customWidth="1"/>
    <col min="15550" max="15550" width="12" customWidth="1"/>
    <col min="15794" max="15794" width="6.85546875" customWidth="1"/>
    <col min="15795" max="15795" width="29.85546875" customWidth="1"/>
    <col min="15796" max="15796" width="6.7109375" customWidth="1"/>
    <col min="15797" max="15797" width="32.28515625" customWidth="1"/>
    <col min="15798" max="15798" width="10.85546875" customWidth="1"/>
    <col min="15799" max="15799" width="11.7109375" customWidth="1"/>
    <col min="15800" max="15800" width="10.85546875" customWidth="1"/>
    <col min="15801" max="15801" width="10.5703125" customWidth="1"/>
    <col min="15803" max="15803" width="10.85546875" customWidth="1"/>
    <col min="15806" max="15806" width="12" customWidth="1"/>
    <col min="16050" max="16050" width="6.85546875" customWidth="1"/>
    <col min="16051" max="16051" width="29.85546875" customWidth="1"/>
    <col min="16052" max="16052" width="6.7109375" customWidth="1"/>
    <col min="16053" max="16053" width="32.28515625" customWidth="1"/>
    <col min="16054" max="16054" width="10.85546875" customWidth="1"/>
    <col min="16055" max="16055" width="11.7109375" customWidth="1"/>
    <col min="16056" max="16056" width="10.85546875" customWidth="1"/>
    <col min="16057" max="16057" width="10.5703125" customWidth="1"/>
    <col min="16059" max="16059" width="10.85546875" customWidth="1"/>
    <col min="16062" max="16062" width="12" customWidth="1"/>
  </cols>
  <sheetData>
    <row r="1" spans="1:52" ht="15" x14ac:dyDescent="0.25">
      <c r="A1" s="56" t="s">
        <v>2</v>
      </c>
      <c r="B1" s="56"/>
      <c r="C1" s="47"/>
      <c r="D1" s="56"/>
      <c r="E1" s="56"/>
      <c r="F1" s="100"/>
      <c r="G1" s="100"/>
      <c r="H1" s="100"/>
    </row>
    <row r="2" spans="1:52" ht="15" x14ac:dyDescent="0.25">
      <c r="A2" s="56" t="s">
        <v>3</v>
      </c>
      <c r="B2" s="56"/>
      <c r="C2" s="47"/>
      <c r="D2" s="56"/>
      <c r="E2" s="56"/>
      <c r="F2" s="100"/>
      <c r="G2" s="100"/>
      <c r="H2" s="100"/>
    </row>
    <row r="3" spans="1:52" ht="12.75" customHeight="1" x14ac:dyDescent="0.25">
      <c r="A3" s="768" t="s">
        <v>4</v>
      </c>
      <c r="B3" s="768"/>
      <c r="C3" s="768"/>
      <c r="D3" s="768"/>
      <c r="E3" s="768"/>
      <c r="F3" s="100"/>
      <c r="G3" s="100"/>
      <c r="H3" s="100"/>
    </row>
    <row r="4" spans="1:52" ht="12.75" customHeight="1" x14ac:dyDescent="0.25">
      <c r="A4" s="99"/>
      <c r="B4" s="56"/>
      <c r="C4" s="56"/>
      <c r="D4" s="56"/>
      <c r="E4" s="56"/>
      <c r="F4" s="100"/>
      <c r="G4" s="100"/>
      <c r="H4" s="100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58"/>
    </row>
    <row r="6" spans="1:52" ht="15" x14ac:dyDescent="0.25">
      <c r="A6" s="100"/>
      <c r="B6" s="99"/>
      <c r="C6" s="99"/>
      <c r="D6" s="99"/>
      <c r="E6" s="100"/>
      <c r="F6" s="100"/>
      <c r="G6" s="100"/>
      <c r="H6" s="100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99"/>
      <c r="B7" s="7"/>
      <c r="D7" s="11"/>
      <c r="E7" s="7"/>
      <c r="F7" s="100"/>
      <c r="G7" s="100"/>
      <c r="H7" s="100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128"/>
      <c r="B8" s="101"/>
      <c r="C8" s="101"/>
      <c r="D8" s="101"/>
      <c r="E8" s="101"/>
      <c r="F8" s="101"/>
      <c r="G8" s="101"/>
      <c r="H8" s="101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3.5" customHeight="1" thickBot="1" x14ac:dyDescent="0.25">
      <c r="A9" s="13" t="s">
        <v>814</v>
      </c>
      <c r="D9" s="13"/>
      <c r="F9" s="65"/>
      <c r="G9" s="66"/>
      <c r="H9" s="66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25">
      <c r="A10" s="67" t="s">
        <v>794</v>
      </c>
      <c r="B10" s="68" t="s">
        <v>560</v>
      </c>
      <c r="C10" s="68" t="s">
        <v>561</v>
      </c>
      <c r="D10" s="68" t="s">
        <v>265</v>
      </c>
      <c r="E10" s="174" t="s">
        <v>796</v>
      </c>
      <c r="F10" s="68" t="s">
        <v>0</v>
      </c>
      <c r="G10" s="132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133" customFormat="1" ht="11.25" customHeight="1" thickBot="1" x14ac:dyDescent="0.25">
      <c r="A11" s="144" t="s">
        <v>562</v>
      </c>
      <c r="B11" s="145" t="s">
        <v>563</v>
      </c>
      <c r="C11" s="145" t="s">
        <v>267</v>
      </c>
      <c r="D11" s="145" t="s">
        <v>268</v>
      </c>
      <c r="E11" s="145" t="s">
        <v>564</v>
      </c>
      <c r="F11" s="145" t="s">
        <v>0</v>
      </c>
      <c r="G11" s="145" t="s">
        <v>565</v>
      </c>
      <c r="H11" s="146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s="238" customFormat="1" x14ac:dyDescent="0.2">
      <c r="A12" s="254">
        <v>1</v>
      </c>
      <c r="B12" s="255">
        <v>4476</v>
      </c>
      <c r="C12" s="255">
        <v>600075184</v>
      </c>
      <c r="D12" s="255">
        <v>70200815</v>
      </c>
      <c r="E12" s="249" t="s">
        <v>149</v>
      </c>
      <c r="F12" s="255">
        <v>3233</v>
      </c>
      <c r="G12" s="256" t="s">
        <v>319</v>
      </c>
      <c r="H12" s="257" t="s">
        <v>279</v>
      </c>
      <c r="I12" s="470">
        <v>7724473</v>
      </c>
      <c r="J12" s="471">
        <v>5520188</v>
      </c>
      <c r="K12" s="471">
        <v>162500</v>
      </c>
      <c r="L12" s="471">
        <v>1920749</v>
      </c>
      <c r="M12" s="471">
        <v>110404</v>
      </c>
      <c r="N12" s="471">
        <v>10632</v>
      </c>
      <c r="O12" s="472">
        <v>12.370000000000001</v>
      </c>
      <c r="P12" s="473">
        <v>7.61</v>
      </c>
      <c r="Q12" s="499">
        <v>4.76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62463</v>
      </c>
      <c r="AF12" s="475">
        <f>SUM(AD12:AE12)</f>
        <v>62463</v>
      </c>
      <c r="AG12" s="475">
        <f>AA12+AB12+AC12+AF12</f>
        <v>62463</v>
      </c>
      <c r="AH12" s="476">
        <v>0</v>
      </c>
      <c r="AI12" s="476">
        <v>0</v>
      </c>
      <c r="AJ12" s="476">
        <v>0</v>
      </c>
      <c r="AK12" s="486">
        <v>0</v>
      </c>
      <c r="AL12" s="486">
        <v>0</v>
      </c>
      <c r="AM12" s="486">
        <v>0</v>
      </c>
      <c r="AN12" s="486">
        <v>0</v>
      </c>
      <c r="AO12" s="486">
        <f>AH12+AJ12+AM12+AK12</f>
        <v>0</v>
      </c>
      <c r="AP12" s="486">
        <f>AI12+AN12+AL12</f>
        <v>0</v>
      </c>
      <c r="AQ12" s="488">
        <f>SUM(AO12:AP12)</f>
        <v>0</v>
      </c>
      <c r="AR12" s="474">
        <f>I12+AG12</f>
        <v>7786936</v>
      </c>
      <c r="AS12" s="475">
        <f>J12+V12</f>
        <v>5520188</v>
      </c>
      <c r="AT12" s="475">
        <f>K12+Z12</f>
        <v>162500</v>
      </c>
      <c r="AU12" s="475">
        <f>L12+AB12</f>
        <v>1920749</v>
      </c>
      <c r="AV12" s="475">
        <f>M12+AC12</f>
        <v>110404</v>
      </c>
      <c r="AW12" s="475">
        <f>N12+AF12</f>
        <v>73095</v>
      </c>
      <c r="AX12" s="476">
        <f>O12+AQ12</f>
        <v>12.370000000000001</v>
      </c>
      <c r="AY12" s="476">
        <f>P12+AO12</f>
        <v>7.61</v>
      </c>
      <c r="AZ12" s="478">
        <f>Q12+AP12</f>
        <v>4.76</v>
      </c>
    </row>
    <row r="13" spans="1:52" s="238" customFormat="1" x14ac:dyDescent="0.2">
      <c r="A13" s="166">
        <v>1</v>
      </c>
      <c r="B13" s="20">
        <v>4476</v>
      </c>
      <c r="C13" s="20">
        <v>600075184</v>
      </c>
      <c r="D13" s="20">
        <v>70200815</v>
      </c>
      <c r="E13" s="175" t="s">
        <v>150</v>
      </c>
      <c r="F13" s="20"/>
      <c r="G13" s="165"/>
      <c r="H13" s="199"/>
      <c r="I13" s="553">
        <v>7724473</v>
      </c>
      <c r="J13" s="550">
        <v>5520188</v>
      </c>
      <c r="K13" s="550">
        <v>162500</v>
      </c>
      <c r="L13" s="550">
        <v>1920749</v>
      </c>
      <c r="M13" s="550">
        <v>110404</v>
      </c>
      <c r="N13" s="550">
        <v>10632</v>
      </c>
      <c r="O13" s="551">
        <v>12.370000000000001</v>
      </c>
      <c r="P13" s="551">
        <v>7.61</v>
      </c>
      <c r="Q13" s="555">
        <v>4.76</v>
      </c>
      <c r="R13" s="553">
        <f t="shared" ref="R13:AZ13" si="0">SUM(R12)</f>
        <v>0</v>
      </c>
      <c r="S13" s="550">
        <f t="shared" si="0"/>
        <v>0</v>
      </c>
      <c r="T13" s="550">
        <f t="shared" si="0"/>
        <v>0</v>
      </c>
      <c r="U13" s="550">
        <f t="shared" si="0"/>
        <v>0</v>
      </c>
      <c r="V13" s="550">
        <f t="shared" si="0"/>
        <v>0</v>
      </c>
      <c r="W13" s="550">
        <f t="shared" si="0"/>
        <v>0</v>
      </c>
      <c r="X13" s="550">
        <f t="shared" si="0"/>
        <v>0</v>
      </c>
      <c r="Y13" s="550">
        <f t="shared" si="0"/>
        <v>0</v>
      </c>
      <c r="Z13" s="550">
        <f t="shared" si="0"/>
        <v>0</v>
      </c>
      <c r="AA13" s="550">
        <f t="shared" si="0"/>
        <v>0</v>
      </c>
      <c r="AB13" s="550">
        <f t="shared" si="0"/>
        <v>0</v>
      </c>
      <c r="AC13" s="550">
        <f t="shared" si="0"/>
        <v>0</v>
      </c>
      <c r="AD13" s="550">
        <f t="shared" si="0"/>
        <v>0</v>
      </c>
      <c r="AE13" s="550">
        <f t="shared" si="0"/>
        <v>62463</v>
      </c>
      <c r="AF13" s="550">
        <f t="shared" si="0"/>
        <v>62463</v>
      </c>
      <c r="AG13" s="550">
        <f t="shared" si="0"/>
        <v>62463</v>
      </c>
      <c r="AH13" s="551">
        <f t="shared" si="0"/>
        <v>0</v>
      </c>
      <c r="AI13" s="551">
        <f t="shared" si="0"/>
        <v>0</v>
      </c>
      <c r="AJ13" s="551">
        <f t="shared" si="0"/>
        <v>0</v>
      </c>
      <c r="AK13" s="551">
        <f t="shared" si="0"/>
        <v>0</v>
      </c>
      <c r="AL13" s="551">
        <f t="shared" si="0"/>
        <v>0</v>
      </c>
      <c r="AM13" s="551">
        <f t="shared" si="0"/>
        <v>0</v>
      </c>
      <c r="AN13" s="551">
        <f t="shared" si="0"/>
        <v>0</v>
      </c>
      <c r="AO13" s="551">
        <f t="shared" si="0"/>
        <v>0</v>
      </c>
      <c r="AP13" s="551">
        <f t="shared" si="0"/>
        <v>0</v>
      </c>
      <c r="AQ13" s="44">
        <f t="shared" si="0"/>
        <v>0</v>
      </c>
      <c r="AR13" s="557">
        <f t="shared" si="0"/>
        <v>7786936</v>
      </c>
      <c r="AS13" s="550">
        <f t="shared" si="0"/>
        <v>5520188</v>
      </c>
      <c r="AT13" s="550">
        <f t="shared" si="0"/>
        <v>162500</v>
      </c>
      <c r="AU13" s="550">
        <f t="shared" si="0"/>
        <v>1920749</v>
      </c>
      <c r="AV13" s="550">
        <f t="shared" si="0"/>
        <v>110404</v>
      </c>
      <c r="AW13" s="550">
        <f t="shared" si="0"/>
        <v>73095</v>
      </c>
      <c r="AX13" s="551">
        <f t="shared" si="0"/>
        <v>12.370000000000001</v>
      </c>
      <c r="AY13" s="551">
        <f t="shared" si="0"/>
        <v>7.61</v>
      </c>
      <c r="AZ13" s="44">
        <f t="shared" si="0"/>
        <v>4.76</v>
      </c>
    </row>
    <row r="14" spans="1:52" s="238" customFormat="1" x14ac:dyDescent="0.2">
      <c r="A14" s="225">
        <v>2</v>
      </c>
      <c r="B14" s="226">
        <v>4411</v>
      </c>
      <c r="C14" s="226">
        <v>600074340</v>
      </c>
      <c r="D14" s="226">
        <v>70982121</v>
      </c>
      <c r="E14" s="224" t="s">
        <v>151</v>
      </c>
      <c r="F14" s="226">
        <v>3111</v>
      </c>
      <c r="G14" s="176" t="s">
        <v>312</v>
      </c>
      <c r="H14" s="227" t="s">
        <v>278</v>
      </c>
      <c r="I14" s="494">
        <v>8519028</v>
      </c>
      <c r="J14" s="489">
        <v>6189464</v>
      </c>
      <c r="K14" s="489">
        <v>50700</v>
      </c>
      <c r="L14" s="489">
        <v>2109175</v>
      </c>
      <c r="M14" s="489">
        <v>123789</v>
      </c>
      <c r="N14" s="489">
        <v>45900</v>
      </c>
      <c r="O14" s="490">
        <v>13.572199999999999</v>
      </c>
      <c r="P14" s="491">
        <v>9.89</v>
      </c>
      <c r="Q14" s="500">
        <v>3.6821999999999999</v>
      </c>
      <c r="R14" s="502">
        <f t="shared" ref="R14:R76" si="1">W14*-1</f>
        <v>0</v>
      </c>
      <c r="S14" s="492">
        <v>0</v>
      </c>
      <c r="T14" s="492">
        <v>0</v>
      </c>
      <c r="U14" s="492">
        <v>0</v>
      </c>
      <c r="V14" s="492">
        <f t="shared" ref="V14:V76" si="2">SUM(R14:U14)</f>
        <v>0</v>
      </c>
      <c r="W14" s="492">
        <v>0</v>
      </c>
      <c r="X14" s="492">
        <v>0</v>
      </c>
      <c r="Y14" s="492">
        <v>0</v>
      </c>
      <c r="Z14" s="492">
        <f t="shared" ref="Z14:Z76" si="3">SUM(W14:Y14)</f>
        <v>0</v>
      </c>
      <c r="AA14" s="492">
        <f t="shared" ref="AA14:AA76" si="4">V14+Z14</f>
        <v>0</v>
      </c>
      <c r="AB14" s="74">
        <f t="shared" ref="AB14:AB76" si="5">ROUND((V14+W14+X14)*33.8%,0)</f>
        <v>0</v>
      </c>
      <c r="AC14" s="74">
        <f t="shared" ref="AC14:AC76" si="6">ROUND(V14*2%,0)</f>
        <v>0</v>
      </c>
      <c r="AD14" s="492">
        <v>0</v>
      </c>
      <c r="AE14" s="492">
        <v>0</v>
      </c>
      <c r="AF14" s="492">
        <f t="shared" ref="AF14:AF76" si="7">SUM(AD14:AE14)</f>
        <v>0</v>
      </c>
      <c r="AG14" s="492">
        <f t="shared" ref="AG14:AG76" si="8">AA14+AB14+AC14+AF14</f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>AH14+AJ14+AM14+AK14</f>
        <v>0</v>
      </c>
      <c r="AP14" s="493">
        <f>AI14+AN14+AL14</f>
        <v>0</v>
      </c>
      <c r="AQ14" s="495">
        <f t="shared" ref="AQ14" si="9">SUM(AO14:AP14)</f>
        <v>0</v>
      </c>
      <c r="AR14" s="501">
        <f t="shared" ref="AR14:AR76" si="10">I14+AG14</f>
        <v>8519028</v>
      </c>
      <c r="AS14" s="492">
        <f t="shared" ref="AS14:AS76" si="11">J14+V14</f>
        <v>6189464</v>
      </c>
      <c r="AT14" s="492">
        <f>K14+Z14</f>
        <v>50700</v>
      </c>
      <c r="AU14" s="492">
        <f t="shared" ref="AU14:AV16" si="12">L14+AB14</f>
        <v>2109175</v>
      </c>
      <c r="AV14" s="492">
        <f t="shared" si="12"/>
        <v>123789</v>
      </c>
      <c r="AW14" s="492">
        <f t="shared" ref="AW14:AW76" si="13">N14+AF14</f>
        <v>45900</v>
      </c>
      <c r="AX14" s="493">
        <f t="shared" ref="AX14:AX76" si="14">O14+AQ14</f>
        <v>13.572199999999999</v>
      </c>
      <c r="AY14" s="493">
        <f t="shared" ref="AY14:AZ16" si="15">P14+AO14</f>
        <v>9.89</v>
      </c>
      <c r="AZ14" s="495">
        <f t="shared" si="15"/>
        <v>3.6821999999999999</v>
      </c>
    </row>
    <row r="15" spans="1:52" s="238" customFormat="1" x14ac:dyDescent="0.2">
      <c r="A15" s="225">
        <v>2</v>
      </c>
      <c r="B15" s="226">
        <v>4411</v>
      </c>
      <c r="C15" s="226">
        <v>600074340</v>
      </c>
      <c r="D15" s="226">
        <v>70982121</v>
      </c>
      <c r="E15" s="224" t="s">
        <v>151</v>
      </c>
      <c r="F15" s="226">
        <v>3111</v>
      </c>
      <c r="G15" s="176" t="s">
        <v>313</v>
      </c>
      <c r="H15" s="227" t="s">
        <v>279</v>
      </c>
      <c r="I15" s="494">
        <v>928591</v>
      </c>
      <c r="J15" s="489">
        <v>683793</v>
      </c>
      <c r="K15" s="489">
        <v>0</v>
      </c>
      <c r="L15" s="489">
        <v>231122</v>
      </c>
      <c r="M15" s="489">
        <v>13676</v>
      </c>
      <c r="N15" s="489">
        <v>0</v>
      </c>
      <c r="O15" s="490">
        <v>2.1100000000000003</v>
      </c>
      <c r="P15" s="491">
        <v>2.1100000000000003</v>
      </c>
      <c r="Q15" s="500">
        <v>0</v>
      </c>
      <c r="R15" s="502">
        <f t="shared" si="1"/>
        <v>0</v>
      </c>
      <c r="S15" s="492">
        <v>-7645</v>
      </c>
      <c r="T15" s="492">
        <v>0</v>
      </c>
      <c r="U15" s="492">
        <v>0</v>
      </c>
      <c r="V15" s="492">
        <f t="shared" si="2"/>
        <v>-7645</v>
      </c>
      <c r="W15" s="492">
        <v>0</v>
      </c>
      <c r="X15" s="492">
        <v>0</v>
      </c>
      <c r="Y15" s="492">
        <v>0</v>
      </c>
      <c r="Z15" s="492">
        <f t="shared" si="3"/>
        <v>0</v>
      </c>
      <c r="AA15" s="492">
        <f t="shared" si="4"/>
        <v>-7645</v>
      </c>
      <c r="AB15" s="74">
        <f t="shared" si="5"/>
        <v>-2584</v>
      </c>
      <c r="AC15" s="74">
        <f t="shared" si="6"/>
        <v>-153</v>
      </c>
      <c r="AD15" s="492">
        <v>0</v>
      </c>
      <c r="AE15" s="492">
        <v>0</v>
      </c>
      <c r="AF15" s="492">
        <f t="shared" si="7"/>
        <v>0</v>
      </c>
      <c r="AG15" s="492">
        <f t="shared" si="8"/>
        <v>-10382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 t="shared" ref="AO15:AO16" si="16">AH15+AJ15+AM15+AK15</f>
        <v>0</v>
      </c>
      <c r="AP15" s="493">
        <f t="shared" ref="AP15:AP16" si="17">AI15+AN15+AL15</f>
        <v>0</v>
      </c>
      <c r="AQ15" s="495">
        <f t="shared" ref="AQ15:AQ76" si="18">SUM(AO15:AP15)</f>
        <v>0</v>
      </c>
      <c r="AR15" s="501">
        <f t="shared" si="10"/>
        <v>918209</v>
      </c>
      <c r="AS15" s="492">
        <f t="shared" si="11"/>
        <v>676148</v>
      </c>
      <c r="AT15" s="492">
        <f t="shared" ref="AT15:AT16" si="19">K15+Z15</f>
        <v>0</v>
      </c>
      <c r="AU15" s="492">
        <f t="shared" si="12"/>
        <v>228538</v>
      </c>
      <c r="AV15" s="492">
        <f t="shared" si="12"/>
        <v>13523</v>
      </c>
      <c r="AW15" s="492">
        <f t="shared" si="13"/>
        <v>0</v>
      </c>
      <c r="AX15" s="493">
        <f t="shared" si="14"/>
        <v>2.1100000000000003</v>
      </c>
      <c r="AY15" s="493">
        <f t="shared" si="15"/>
        <v>2.1100000000000003</v>
      </c>
      <c r="AZ15" s="495">
        <f t="shared" si="15"/>
        <v>0</v>
      </c>
    </row>
    <row r="16" spans="1:52" s="238" customFormat="1" x14ac:dyDescent="0.2">
      <c r="A16" s="225">
        <v>2</v>
      </c>
      <c r="B16" s="226">
        <v>4411</v>
      </c>
      <c r="C16" s="226">
        <v>600074340</v>
      </c>
      <c r="D16" s="226">
        <v>70982121</v>
      </c>
      <c r="E16" s="224" t="s">
        <v>151</v>
      </c>
      <c r="F16" s="226">
        <v>3141</v>
      </c>
      <c r="G16" s="176" t="s">
        <v>316</v>
      </c>
      <c r="H16" s="227" t="s">
        <v>279</v>
      </c>
      <c r="I16" s="494">
        <v>547670</v>
      </c>
      <c r="J16" s="489">
        <v>400522</v>
      </c>
      <c r="K16" s="489">
        <v>0</v>
      </c>
      <c r="L16" s="489">
        <v>135376</v>
      </c>
      <c r="M16" s="489">
        <v>8010</v>
      </c>
      <c r="N16" s="489">
        <v>3762</v>
      </c>
      <c r="O16" s="490">
        <v>1.26</v>
      </c>
      <c r="P16" s="491">
        <v>0</v>
      </c>
      <c r="Q16" s="500">
        <v>1.26</v>
      </c>
      <c r="R16" s="502">
        <f t="shared" si="1"/>
        <v>0</v>
      </c>
      <c r="S16" s="492">
        <v>0</v>
      </c>
      <c r="T16" s="492">
        <v>0</v>
      </c>
      <c r="U16" s="492">
        <v>0</v>
      </c>
      <c r="V16" s="492">
        <f t="shared" si="2"/>
        <v>0</v>
      </c>
      <c r="W16" s="492">
        <v>0</v>
      </c>
      <c r="X16" s="492">
        <v>0</v>
      </c>
      <c r="Y16" s="492">
        <v>0</v>
      </c>
      <c r="Z16" s="492">
        <f t="shared" si="3"/>
        <v>0</v>
      </c>
      <c r="AA16" s="492">
        <f t="shared" si="4"/>
        <v>0</v>
      </c>
      <c r="AB16" s="74">
        <f t="shared" si="5"/>
        <v>0</v>
      </c>
      <c r="AC16" s="74">
        <f t="shared" si="6"/>
        <v>0</v>
      </c>
      <c r="AD16" s="492">
        <v>0</v>
      </c>
      <c r="AE16" s="492">
        <v>0</v>
      </c>
      <c r="AF16" s="492">
        <f t="shared" si="7"/>
        <v>0</v>
      </c>
      <c r="AG16" s="492">
        <f t="shared" si="8"/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si="16"/>
        <v>0</v>
      </c>
      <c r="AP16" s="493">
        <f t="shared" si="17"/>
        <v>0</v>
      </c>
      <c r="AQ16" s="495">
        <f t="shared" si="18"/>
        <v>0</v>
      </c>
      <c r="AR16" s="501">
        <f t="shared" si="10"/>
        <v>547670</v>
      </c>
      <c r="AS16" s="492">
        <f t="shared" si="11"/>
        <v>400522</v>
      </c>
      <c r="AT16" s="492">
        <f t="shared" si="19"/>
        <v>0</v>
      </c>
      <c r="AU16" s="492">
        <f t="shared" si="12"/>
        <v>135376</v>
      </c>
      <c r="AV16" s="492">
        <f t="shared" si="12"/>
        <v>8010</v>
      </c>
      <c r="AW16" s="492">
        <f t="shared" si="13"/>
        <v>3762</v>
      </c>
      <c r="AX16" s="493">
        <f t="shared" si="14"/>
        <v>1.26</v>
      </c>
      <c r="AY16" s="493">
        <f t="shared" si="15"/>
        <v>0</v>
      </c>
      <c r="AZ16" s="495">
        <f t="shared" si="15"/>
        <v>1.26</v>
      </c>
    </row>
    <row r="17" spans="1:52" s="238" customFormat="1" x14ac:dyDescent="0.2">
      <c r="A17" s="166">
        <v>2</v>
      </c>
      <c r="B17" s="20">
        <v>4411</v>
      </c>
      <c r="C17" s="20">
        <v>600074340</v>
      </c>
      <c r="D17" s="20">
        <v>70982121</v>
      </c>
      <c r="E17" s="175" t="s">
        <v>152</v>
      </c>
      <c r="F17" s="20"/>
      <c r="G17" s="165"/>
      <c r="H17" s="199"/>
      <c r="I17" s="553">
        <v>9995289</v>
      </c>
      <c r="J17" s="550">
        <v>7273779</v>
      </c>
      <c r="K17" s="550">
        <v>50700</v>
      </c>
      <c r="L17" s="550">
        <v>2475673</v>
      </c>
      <c r="M17" s="550">
        <v>145475</v>
      </c>
      <c r="N17" s="550">
        <v>49662</v>
      </c>
      <c r="O17" s="551">
        <v>16.9422</v>
      </c>
      <c r="P17" s="551">
        <v>12</v>
      </c>
      <c r="Q17" s="555">
        <v>4.9421999999999997</v>
      </c>
      <c r="R17" s="553">
        <f t="shared" ref="R17:AZ17" si="20">SUM(R14:R16)</f>
        <v>0</v>
      </c>
      <c r="S17" s="550">
        <f t="shared" si="20"/>
        <v>-7645</v>
      </c>
      <c r="T17" s="550">
        <f t="shared" si="20"/>
        <v>0</v>
      </c>
      <c r="U17" s="550">
        <f t="shared" si="20"/>
        <v>0</v>
      </c>
      <c r="V17" s="550">
        <f t="shared" si="20"/>
        <v>-7645</v>
      </c>
      <c r="W17" s="550">
        <f t="shared" si="20"/>
        <v>0</v>
      </c>
      <c r="X17" s="550">
        <f t="shared" si="20"/>
        <v>0</v>
      </c>
      <c r="Y17" s="550">
        <f t="shared" si="20"/>
        <v>0</v>
      </c>
      <c r="Z17" s="550">
        <f t="shared" si="20"/>
        <v>0</v>
      </c>
      <c r="AA17" s="550">
        <f t="shared" si="20"/>
        <v>-7645</v>
      </c>
      <c r="AB17" s="550">
        <f t="shared" si="20"/>
        <v>-2584</v>
      </c>
      <c r="AC17" s="550">
        <f t="shared" si="20"/>
        <v>-153</v>
      </c>
      <c r="AD17" s="550">
        <f t="shared" si="20"/>
        <v>0</v>
      </c>
      <c r="AE17" s="550">
        <f t="shared" si="20"/>
        <v>0</v>
      </c>
      <c r="AF17" s="550">
        <f t="shared" si="20"/>
        <v>0</v>
      </c>
      <c r="AG17" s="550">
        <f t="shared" si="20"/>
        <v>-10382</v>
      </c>
      <c r="AH17" s="551">
        <f t="shared" si="20"/>
        <v>0</v>
      </c>
      <c r="AI17" s="551">
        <f t="shared" si="20"/>
        <v>0</v>
      </c>
      <c r="AJ17" s="551">
        <f t="shared" si="20"/>
        <v>0</v>
      </c>
      <c r="AK17" s="551">
        <f t="shared" si="20"/>
        <v>0</v>
      </c>
      <c r="AL17" s="551">
        <f t="shared" si="20"/>
        <v>0</v>
      </c>
      <c r="AM17" s="551">
        <f t="shared" si="20"/>
        <v>0</v>
      </c>
      <c r="AN17" s="551">
        <f t="shared" si="20"/>
        <v>0</v>
      </c>
      <c r="AO17" s="551">
        <f t="shared" si="20"/>
        <v>0</v>
      </c>
      <c r="AP17" s="551">
        <f t="shared" si="20"/>
        <v>0</v>
      </c>
      <c r="AQ17" s="44">
        <f t="shared" si="20"/>
        <v>0</v>
      </c>
      <c r="AR17" s="557">
        <f t="shared" si="20"/>
        <v>9984907</v>
      </c>
      <c r="AS17" s="550">
        <f t="shared" si="20"/>
        <v>7266134</v>
      </c>
      <c r="AT17" s="550">
        <f t="shared" si="20"/>
        <v>50700</v>
      </c>
      <c r="AU17" s="550">
        <f t="shared" si="20"/>
        <v>2473089</v>
      </c>
      <c r="AV17" s="550">
        <f t="shared" si="20"/>
        <v>145322</v>
      </c>
      <c r="AW17" s="550">
        <f t="shared" si="20"/>
        <v>49662</v>
      </c>
      <c r="AX17" s="551">
        <f t="shared" si="20"/>
        <v>16.9422</v>
      </c>
      <c r="AY17" s="551">
        <f t="shared" si="20"/>
        <v>12</v>
      </c>
      <c r="AZ17" s="44">
        <f t="shared" si="20"/>
        <v>4.9421999999999997</v>
      </c>
    </row>
    <row r="18" spans="1:52" s="238" customFormat="1" x14ac:dyDescent="0.2">
      <c r="A18" s="225">
        <v>3</v>
      </c>
      <c r="B18" s="226">
        <v>4409</v>
      </c>
      <c r="C18" s="226">
        <v>600074358</v>
      </c>
      <c r="D18" s="226">
        <v>70982104</v>
      </c>
      <c r="E18" s="219" t="s">
        <v>153</v>
      </c>
      <c r="F18" s="226">
        <v>3111</v>
      </c>
      <c r="G18" s="176" t="s">
        <v>312</v>
      </c>
      <c r="H18" s="227" t="s">
        <v>278</v>
      </c>
      <c r="I18" s="494">
        <v>16539238</v>
      </c>
      <c r="J18" s="489">
        <v>12091373</v>
      </c>
      <c r="K18" s="489">
        <v>11700</v>
      </c>
      <c r="L18" s="489">
        <v>4090838</v>
      </c>
      <c r="M18" s="489">
        <v>241827</v>
      </c>
      <c r="N18" s="489">
        <v>103500</v>
      </c>
      <c r="O18" s="490">
        <v>27.717500000000001</v>
      </c>
      <c r="P18" s="491">
        <v>19.272000000000002</v>
      </c>
      <c r="Q18" s="500">
        <v>8.4455000000000009</v>
      </c>
      <c r="R18" s="502">
        <f t="shared" si="1"/>
        <v>0</v>
      </c>
      <c r="S18" s="492">
        <v>0</v>
      </c>
      <c r="T18" s="492">
        <v>0</v>
      </c>
      <c r="U18" s="492">
        <v>0</v>
      </c>
      <c r="V18" s="492">
        <f t="shared" si="2"/>
        <v>0</v>
      </c>
      <c r="W18" s="492">
        <v>0</v>
      </c>
      <c r="X18" s="492">
        <v>0</v>
      </c>
      <c r="Y18" s="492">
        <v>0</v>
      </c>
      <c r="Z18" s="492">
        <f t="shared" si="3"/>
        <v>0</v>
      </c>
      <c r="AA18" s="492">
        <f t="shared" si="4"/>
        <v>0</v>
      </c>
      <c r="AB18" s="74">
        <f t="shared" si="5"/>
        <v>0</v>
      </c>
      <c r="AC18" s="74">
        <f t="shared" si="6"/>
        <v>0</v>
      </c>
      <c r="AD18" s="492">
        <v>0</v>
      </c>
      <c r="AE18" s="492">
        <v>0</v>
      </c>
      <c r="AF18" s="492">
        <f t="shared" si="7"/>
        <v>0</v>
      </c>
      <c r="AG18" s="492">
        <f t="shared" si="8"/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1</v>
      </c>
      <c r="AN18" s="493">
        <v>0</v>
      </c>
      <c r="AO18" s="493">
        <f t="shared" ref="AO18:AO21" si="21">AH18+AJ18+AM18+AK18</f>
        <v>1</v>
      </c>
      <c r="AP18" s="493">
        <f t="shared" ref="AP18:AP21" si="22">AI18+AN18+AL18</f>
        <v>0</v>
      </c>
      <c r="AQ18" s="495">
        <f t="shared" si="18"/>
        <v>1</v>
      </c>
      <c r="AR18" s="501">
        <f t="shared" si="10"/>
        <v>16539238</v>
      </c>
      <c r="AS18" s="492">
        <f t="shared" si="11"/>
        <v>12091373</v>
      </c>
      <c r="AT18" s="492">
        <f t="shared" ref="AT18:AT21" si="23">K18+Z18</f>
        <v>11700</v>
      </c>
      <c r="AU18" s="492">
        <f t="shared" ref="AU18:AV21" si="24">L18+AB18</f>
        <v>4090838</v>
      </c>
      <c r="AV18" s="492">
        <f t="shared" si="24"/>
        <v>241827</v>
      </c>
      <c r="AW18" s="492">
        <f t="shared" si="13"/>
        <v>103500</v>
      </c>
      <c r="AX18" s="493">
        <f t="shared" si="14"/>
        <v>28.717500000000001</v>
      </c>
      <c r="AY18" s="493">
        <f t="shared" ref="AY18:AZ21" si="25">P18+AO18</f>
        <v>20.272000000000002</v>
      </c>
      <c r="AZ18" s="495">
        <f t="shared" si="25"/>
        <v>8.4455000000000009</v>
      </c>
    </row>
    <row r="19" spans="1:52" s="238" customFormat="1" x14ac:dyDescent="0.2">
      <c r="A19" s="225">
        <v>3</v>
      </c>
      <c r="B19" s="226">
        <v>4409</v>
      </c>
      <c r="C19" s="226">
        <v>600074358</v>
      </c>
      <c r="D19" s="226">
        <v>70982104</v>
      </c>
      <c r="E19" s="219" t="s">
        <v>153</v>
      </c>
      <c r="F19" s="226">
        <v>3111</v>
      </c>
      <c r="G19" s="176" t="s">
        <v>314</v>
      </c>
      <c r="H19" s="227" t="s">
        <v>278</v>
      </c>
      <c r="I19" s="494">
        <v>512982</v>
      </c>
      <c r="J19" s="489">
        <v>377748</v>
      </c>
      <c r="K19" s="489">
        <v>0</v>
      </c>
      <c r="L19" s="489">
        <v>127679</v>
      </c>
      <c r="M19" s="489">
        <v>7555</v>
      </c>
      <c r="N19" s="489">
        <v>0</v>
      </c>
      <c r="O19" s="490">
        <v>1</v>
      </c>
      <c r="P19" s="491">
        <v>1</v>
      </c>
      <c r="Q19" s="500">
        <v>0</v>
      </c>
      <c r="R19" s="502">
        <f t="shared" si="1"/>
        <v>0</v>
      </c>
      <c r="S19" s="492">
        <v>0</v>
      </c>
      <c r="T19" s="492">
        <v>0</v>
      </c>
      <c r="U19" s="492">
        <v>0</v>
      </c>
      <c r="V19" s="492">
        <f t="shared" si="2"/>
        <v>0</v>
      </c>
      <c r="W19" s="492">
        <v>0</v>
      </c>
      <c r="X19" s="492">
        <v>0</v>
      </c>
      <c r="Y19" s="492">
        <v>0</v>
      </c>
      <c r="Z19" s="492">
        <f t="shared" si="3"/>
        <v>0</v>
      </c>
      <c r="AA19" s="492">
        <f t="shared" si="4"/>
        <v>0</v>
      </c>
      <c r="AB19" s="74">
        <f t="shared" si="5"/>
        <v>0</v>
      </c>
      <c r="AC19" s="74">
        <f t="shared" si="6"/>
        <v>0</v>
      </c>
      <c r="AD19" s="492">
        <v>0</v>
      </c>
      <c r="AE19" s="492">
        <v>0</v>
      </c>
      <c r="AF19" s="492">
        <f t="shared" si="7"/>
        <v>0</v>
      </c>
      <c r="AG19" s="492">
        <f t="shared" si="8"/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 t="shared" si="21"/>
        <v>0</v>
      </c>
      <c r="AP19" s="493">
        <f t="shared" si="22"/>
        <v>0</v>
      </c>
      <c r="AQ19" s="495">
        <f t="shared" si="18"/>
        <v>0</v>
      </c>
      <c r="AR19" s="501">
        <f t="shared" si="10"/>
        <v>512982</v>
      </c>
      <c r="AS19" s="492">
        <f t="shared" si="11"/>
        <v>377748</v>
      </c>
      <c r="AT19" s="492">
        <f t="shared" si="23"/>
        <v>0</v>
      </c>
      <c r="AU19" s="492">
        <f t="shared" si="24"/>
        <v>127679</v>
      </c>
      <c r="AV19" s="492">
        <f t="shared" si="24"/>
        <v>7555</v>
      </c>
      <c r="AW19" s="492">
        <f t="shared" si="13"/>
        <v>0</v>
      </c>
      <c r="AX19" s="493">
        <f t="shared" si="14"/>
        <v>1</v>
      </c>
      <c r="AY19" s="493">
        <f t="shared" si="25"/>
        <v>1</v>
      </c>
      <c r="AZ19" s="495">
        <f t="shared" si="25"/>
        <v>0</v>
      </c>
    </row>
    <row r="20" spans="1:52" s="238" customFormat="1" x14ac:dyDescent="0.2">
      <c r="A20" s="225">
        <v>3</v>
      </c>
      <c r="B20" s="226">
        <v>4409</v>
      </c>
      <c r="C20" s="226">
        <v>600074358</v>
      </c>
      <c r="D20" s="226">
        <v>70982104</v>
      </c>
      <c r="E20" s="219" t="s">
        <v>153</v>
      </c>
      <c r="F20" s="226">
        <v>3111</v>
      </c>
      <c r="G20" s="176" t="s">
        <v>313</v>
      </c>
      <c r="H20" s="227" t="s">
        <v>279</v>
      </c>
      <c r="I20" s="494">
        <v>1234984</v>
      </c>
      <c r="J20" s="489">
        <v>909414</v>
      </c>
      <c r="K20" s="489">
        <v>0</v>
      </c>
      <c r="L20" s="489">
        <v>307382</v>
      </c>
      <c r="M20" s="489">
        <v>18188</v>
      </c>
      <c r="N20" s="489">
        <v>0</v>
      </c>
      <c r="O20" s="490">
        <v>2.63</v>
      </c>
      <c r="P20" s="491">
        <v>2.63</v>
      </c>
      <c r="Q20" s="500">
        <v>0</v>
      </c>
      <c r="R20" s="502">
        <f t="shared" si="1"/>
        <v>0</v>
      </c>
      <c r="S20" s="492">
        <v>121731</v>
      </c>
      <c r="T20" s="492">
        <v>0</v>
      </c>
      <c r="U20" s="492">
        <v>0</v>
      </c>
      <c r="V20" s="492">
        <f t="shared" si="2"/>
        <v>121731</v>
      </c>
      <c r="W20" s="492">
        <v>0</v>
      </c>
      <c r="X20" s="492">
        <v>0</v>
      </c>
      <c r="Y20" s="492">
        <v>0</v>
      </c>
      <c r="Z20" s="492">
        <f t="shared" si="3"/>
        <v>0</v>
      </c>
      <c r="AA20" s="492">
        <f t="shared" si="4"/>
        <v>121731</v>
      </c>
      <c r="AB20" s="74">
        <f t="shared" si="5"/>
        <v>41145</v>
      </c>
      <c r="AC20" s="74">
        <f t="shared" si="6"/>
        <v>2435</v>
      </c>
      <c r="AD20" s="492">
        <v>0</v>
      </c>
      <c r="AE20" s="492">
        <v>0</v>
      </c>
      <c r="AF20" s="492">
        <f t="shared" si="7"/>
        <v>0</v>
      </c>
      <c r="AG20" s="492">
        <f t="shared" si="8"/>
        <v>165311</v>
      </c>
      <c r="AH20" s="493">
        <v>0</v>
      </c>
      <c r="AI20" s="493">
        <v>0</v>
      </c>
      <c r="AJ20" s="493">
        <v>0.48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21"/>
        <v>0.48</v>
      </c>
      <c r="AP20" s="493">
        <f t="shared" si="22"/>
        <v>0</v>
      </c>
      <c r="AQ20" s="495">
        <f t="shared" si="18"/>
        <v>0.48</v>
      </c>
      <c r="AR20" s="501">
        <f t="shared" si="10"/>
        <v>1400295</v>
      </c>
      <c r="AS20" s="492">
        <f t="shared" si="11"/>
        <v>1031145</v>
      </c>
      <c r="AT20" s="492">
        <f t="shared" si="23"/>
        <v>0</v>
      </c>
      <c r="AU20" s="492">
        <f t="shared" si="24"/>
        <v>348527</v>
      </c>
      <c r="AV20" s="492">
        <f t="shared" si="24"/>
        <v>20623</v>
      </c>
      <c r="AW20" s="492">
        <f t="shared" si="13"/>
        <v>0</v>
      </c>
      <c r="AX20" s="493">
        <f t="shared" si="14"/>
        <v>3.11</v>
      </c>
      <c r="AY20" s="493">
        <f t="shared" si="25"/>
        <v>3.11</v>
      </c>
      <c r="AZ20" s="495">
        <f t="shared" si="25"/>
        <v>0</v>
      </c>
    </row>
    <row r="21" spans="1:52" s="238" customFormat="1" x14ac:dyDescent="0.2">
      <c r="A21" s="225">
        <v>3</v>
      </c>
      <c r="B21" s="226">
        <v>4409</v>
      </c>
      <c r="C21" s="226">
        <v>600074358</v>
      </c>
      <c r="D21" s="226">
        <v>70982104</v>
      </c>
      <c r="E21" s="224" t="s">
        <v>153</v>
      </c>
      <c r="F21" s="226">
        <v>3141</v>
      </c>
      <c r="G21" s="176" t="s">
        <v>316</v>
      </c>
      <c r="H21" s="227" t="s">
        <v>279</v>
      </c>
      <c r="I21" s="494">
        <v>2541522</v>
      </c>
      <c r="J21" s="489">
        <v>1857768</v>
      </c>
      <c r="K21" s="489">
        <v>4550</v>
      </c>
      <c r="L21" s="489">
        <v>629463</v>
      </c>
      <c r="M21" s="489">
        <v>37155</v>
      </c>
      <c r="N21" s="489">
        <v>12586</v>
      </c>
      <c r="O21" s="490">
        <v>5.8500000000000005</v>
      </c>
      <c r="P21" s="491">
        <v>0</v>
      </c>
      <c r="Q21" s="500">
        <v>5.8500000000000005</v>
      </c>
      <c r="R21" s="502">
        <f t="shared" si="1"/>
        <v>0</v>
      </c>
      <c r="S21" s="492">
        <v>0</v>
      </c>
      <c r="T21" s="492">
        <v>0</v>
      </c>
      <c r="U21" s="492">
        <v>0</v>
      </c>
      <c r="V21" s="492">
        <f t="shared" si="2"/>
        <v>0</v>
      </c>
      <c r="W21" s="492">
        <v>0</v>
      </c>
      <c r="X21" s="492">
        <v>0</v>
      </c>
      <c r="Y21" s="492">
        <v>0</v>
      </c>
      <c r="Z21" s="492">
        <f t="shared" si="3"/>
        <v>0</v>
      </c>
      <c r="AA21" s="492">
        <f t="shared" si="4"/>
        <v>0</v>
      </c>
      <c r="AB21" s="74">
        <f t="shared" si="5"/>
        <v>0</v>
      </c>
      <c r="AC21" s="74">
        <f t="shared" si="6"/>
        <v>0</v>
      </c>
      <c r="AD21" s="492">
        <v>0</v>
      </c>
      <c r="AE21" s="492">
        <v>0</v>
      </c>
      <c r="AF21" s="492">
        <f t="shared" si="7"/>
        <v>0</v>
      </c>
      <c r="AG21" s="492">
        <f t="shared" si="8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21"/>
        <v>0</v>
      </c>
      <c r="AP21" s="493">
        <f t="shared" si="22"/>
        <v>0</v>
      </c>
      <c r="AQ21" s="495">
        <f t="shared" si="18"/>
        <v>0</v>
      </c>
      <c r="AR21" s="501">
        <f t="shared" si="10"/>
        <v>2541522</v>
      </c>
      <c r="AS21" s="492">
        <f t="shared" si="11"/>
        <v>1857768</v>
      </c>
      <c r="AT21" s="492">
        <f t="shared" si="23"/>
        <v>4550</v>
      </c>
      <c r="AU21" s="492">
        <f t="shared" si="24"/>
        <v>629463</v>
      </c>
      <c r="AV21" s="492">
        <f t="shared" si="24"/>
        <v>37155</v>
      </c>
      <c r="AW21" s="492">
        <f t="shared" si="13"/>
        <v>12586</v>
      </c>
      <c r="AX21" s="493">
        <f t="shared" si="14"/>
        <v>5.8500000000000005</v>
      </c>
      <c r="AY21" s="493">
        <f t="shared" si="25"/>
        <v>0</v>
      </c>
      <c r="AZ21" s="495">
        <f t="shared" si="25"/>
        <v>5.8500000000000005</v>
      </c>
    </row>
    <row r="22" spans="1:52" s="238" customFormat="1" x14ac:dyDescent="0.2">
      <c r="A22" s="166">
        <v>3</v>
      </c>
      <c r="B22" s="20">
        <v>4409</v>
      </c>
      <c r="C22" s="20">
        <v>600074358</v>
      </c>
      <c r="D22" s="20">
        <v>70982104</v>
      </c>
      <c r="E22" s="175" t="s">
        <v>154</v>
      </c>
      <c r="F22" s="20"/>
      <c r="G22" s="165"/>
      <c r="H22" s="199"/>
      <c r="I22" s="553">
        <v>20828726</v>
      </c>
      <c r="J22" s="550">
        <v>15236303</v>
      </c>
      <c r="K22" s="550">
        <v>16250</v>
      </c>
      <c r="L22" s="550">
        <v>5155362</v>
      </c>
      <c r="M22" s="550">
        <v>304725</v>
      </c>
      <c r="N22" s="550">
        <v>116086</v>
      </c>
      <c r="O22" s="551">
        <v>37.197499999999998</v>
      </c>
      <c r="P22" s="551">
        <v>22.902000000000001</v>
      </c>
      <c r="Q22" s="555">
        <v>14.295500000000001</v>
      </c>
      <c r="R22" s="553">
        <f t="shared" ref="R22:AZ22" si="26">SUM(R18:R21)</f>
        <v>0</v>
      </c>
      <c r="S22" s="550">
        <f t="shared" si="26"/>
        <v>121731</v>
      </c>
      <c r="T22" s="550">
        <f t="shared" si="26"/>
        <v>0</v>
      </c>
      <c r="U22" s="550">
        <f t="shared" si="26"/>
        <v>0</v>
      </c>
      <c r="V22" s="550">
        <f t="shared" si="26"/>
        <v>121731</v>
      </c>
      <c r="W22" s="550">
        <f t="shared" si="26"/>
        <v>0</v>
      </c>
      <c r="X22" s="550">
        <f t="shared" si="26"/>
        <v>0</v>
      </c>
      <c r="Y22" s="550">
        <f t="shared" si="26"/>
        <v>0</v>
      </c>
      <c r="Z22" s="550">
        <f t="shared" si="26"/>
        <v>0</v>
      </c>
      <c r="AA22" s="550">
        <f t="shared" si="26"/>
        <v>121731</v>
      </c>
      <c r="AB22" s="550">
        <f t="shared" si="26"/>
        <v>41145</v>
      </c>
      <c r="AC22" s="550">
        <f t="shared" si="26"/>
        <v>2435</v>
      </c>
      <c r="AD22" s="550">
        <f t="shared" si="26"/>
        <v>0</v>
      </c>
      <c r="AE22" s="550">
        <f t="shared" si="26"/>
        <v>0</v>
      </c>
      <c r="AF22" s="550">
        <f t="shared" si="26"/>
        <v>0</v>
      </c>
      <c r="AG22" s="550">
        <f t="shared" si="26"/>
        <v>165311</v>
      </c>
      <c r="AH22" s="551">
        <f t="shared" si="26"/>
        <v>0</v>
      </c>
      <c r="AI22" s="551">
        <f t="shared" si="26"/>
        <v>0</v>
      </c>
      <c r="AJ22" s="551">
        <f t="shared" si="26"/>
        <v>0.48</v>
      </c>
      <c r="AK22" s="551">
        <f t="shared" si="26"/>
        <v>0</v>
      </c>
      <c r="AL22" s="551">
        <f t="shared" si="26"/>
        <v>0</v>
      </c>
      <c r="AM22" s="551">
        <f t="shared" si="26"/>
        <v>1</v>
      </c>
      <c r="AN22" s="551">
        <f t="shared" si="26"/>
        <v>0</v>
      </c>
      <c r="AO22" s="551">
        <f t="shared" si="26"/>
        <v>1.48</v>
      </c>
      <c r="AP22" s="551">
        <f t="shared" si="26"/>
        <v>0</v>
      </c>
      <c r="AQ22" s="44">
        <f t="shared" si="26"/>
        <v>1.48</v>
      </c>
      <c r="AR22" s="557">
        <f t="shared" si="26"/>
        <v>20994037</v>
      </c>
      <c r="AS22" s="550">
        <f t="shared" si="26"/>
        <v>15358034</v>
      </c>
      <c r="AT22" s="550">
        <f t="shared" si="26"/>
        <v>16250</v>
      </c>
      <c r="AU22" s="550">
        <f t="shared" si="26"/>
        <v>5196507</v>
      </c>
      <c r="AV22" s="550">
        <f t="shared" si="26"/>
        <v>307160</v>
      </c>
      <c r="AW22" s="550">
        <f t="shared" si="26"/>
        <v>116086</v>
      </c>
      <c r="AX22" s="551">
        <f t="shared" si="26"/>
        <v>38.677500000000002</v>
      </c>
      <c r="AY22" s="551">
        <f t="shared" si="26"/>
        <v>24.382000000000001</v>
      </c>
      <c r="AZ22" s="44">
        <f t="shared" si="26"/>
        <v>14.295500000000001</v>
      </c>
    </row>
    <row r="23" spans="1:52" s="238" customFormat="1" x14ac:dyDescent="0.2">
      <c r="A23" s="225">
        <v>4</v>
      </c>
      <c r="B23" s="226">
        <v>4407</v>
      </c>
      <c r="C23" s="226">
        <v>600074552</v>
      </c>
      <c r="D23" s="226">
        <v>70982201</v>
      </c>
      <c r="E23" s="224" t="s">
        <v>155</v>
      </c>
      <c r="F23" s="226">
        <v>3111</v>
      </c>
      <c r="G23" s="176" t="s">
        <v>312</v>
      </c>
      <c r="H23" s="227" t="s">
        <v>278</v>
      </c>
      <c r="I23" s="494">
        <v>7462039</v>
      </c>
      <c r="J23" s="489">
        <v>5459049</v>
      </c>
      <c r="K23" s="489">
        <v>0</v>
      </c>
      <c r="L23" s="489">
        <v>1845159</v>
      </c>
      <c r="M23" s="489">
        <v>109181</v>
      </c>
      <c r="N23" s="489">
        <v>48650</v>
      </c>
      <c r="O23" s="490">
        <v>11.384600000000001</v>
      </c>
      <c r="P23" s="491">
        <v>7.4194000000000004</v>
      </c>
      <c r="Q23" s="500">
        <v>3.9651999999999998</v>
      </c>
      <c r="R23" s="502">
        <f t="shared" si="1"/>
        <v>0</v>
      </c>
      <c r="S23" s="492">
        <v>0</v>
      </c>
      <c r="T23" s="492">
        <v>0</v>
      </c>
      <c r="U23" s="492">
        <v>0</v>
      </c>
      <c r="V23" s="492">
        <f t="shared" si="2"/>
        <v>0</v>
      </c>
      <c r="W23" s="492">
        <v>0</v>
      </c>
      <c r="X23" s="492">
        <v>0</v>
      </c>
      <c r="Y23" s="492">
        <v>0</v>
      </c>
      <c r="Z23" s="492">
        <f t="shared" si="3"/>
        <v>0</v>
      </c>
      <c r="AA23" s="492">
        <f t="shared" si="4"/>
        <v>0</v>
      </c>
      <c r="AB23" s="74">
        <f t="shared" si="5"/>
        <v>0</v>
      </c>
      <c r="AC23" s="74">
        <f t="shared" si="6"/>
        <v>0</v>
      </c>
      <c r="AD23" s="492">
        <v>0</v>
      </c>
      <c r="AE23" s="492">
        <v>0</v>
      </c>
      <c r="AF23" s="492">
        <f t="shared" si="7"/>
        <v>0</v>
      </c>
      <c r="AG23" s="492">
        <f t="shared" si="8"/>
        <v>0</v>
      </c>
      <c r="AH23" s="493">
        <v>0</v>
      </c>
      <c r="AI23" s="493">
        <v>0</v>
      </c>
      <c r="AJ23" s="493">
        <v>0</v>
      </c>
      <c r="AK23" s="493">
        <v>0</v>
      </c>
      <c r="AL23" s="493">
        <v>0</v>
      </c>
      <c r="AM23" s="493">
        <v>1</v>
      </c>
      <c r="AN23" s="493">
        <v>0</v>
      </c>
      <c r="AO23" s="493">
        <f t="shared" ref="AO23:AO26" si="27">AH23+AJ23+AM23+AK23</f>
        <v>1</v>
      </c>
      <c r="AP23" s="493">
        <f t="shared" ref="AP23:AP26" si="28">AI23+AN23+AL23</f>
        <v>0</v>
      </c>
      <c r="AQ23" s="495">
        <f t="shared" si="18"/>
        <v>1</v>
      </c>
      <c r="AR23" s="501">
        <f t="shared" si="10"/>
        <v>7462039</v>
      </c>
      <c r="AS23" s="492">
        <f t="shared" si="11"/>
        <v>5459049</v>
      </c>
      <c r="AT23" s="492">
        <f t="shared" ref="AT23:AT26" si="29">K23+Z23</f>
        <v>0</v>
      </c>
      <c r="AU23" s="492">
        <f t="shared" ref="AU23:AV26" si="30">L23+AB23</f>
        <v>1845159</v>
      </c>
      <c r="AV23" s="492">
        <f t="shared" si="30"/>
        <v>109181</v>
      </c>
      <c r="AW23" s="492">
        <f t="shared" si="13"/>
        <v>48650</v>
      </c>
      <c r="AX23" s="493">
        <f t="shared" si="14"/>
        <v>12.384600000000001</v>
      </c>
      <c r="AY23" s="493">
        <f t="shared" ref="AY23:AZ26" si="31">P23+AO23</f>
        <v>8.4193999999999996</v>
      </c>
      <c r="AZ23" s="495">
        <f t="shared" si="31"/>
        <v>3.9651999999999998</v>
      </c>
    </row>
    <row r="24" spans="1:52" s="238" customFormat="1" x14ac:dyDescent="0.2">
      <c r="A24" s="225">
        <v>4</v>
      </c>
      <c r="B24" s="226">
        <v>4407</v>
      </c>
      <c r="C24" s="226">
        <v>600074552</v>
      </c>
      <c r="D24" s="226">
        <v>70982201</v>
      </c>
      <c r="E24" s="224" t="s">
        <v>155</v>
      </c>
      <c r="F24" s="226">
        <v>3111</v>
      </c>
      <c r="G24" s="176" t="s">
        <v>314</v>
      </c>
      <c r="H24" s="227" t="s">
        <v>278</v>
      </c>
      <c r="I24" s="494">
        <v>586151</v>
      </c>
      <c r="J24" s="489">
        <v>431628</v>
      </c>
      <c r="K24" s="489">
        <v>0</v>
      </c>
      <c r="L24" s="489">
        <v>145890</v>
      </c>
      <c r="M24" s="489">
        <v>8633</v>
      </c>
      <c r="N24" s="489">
        <v>0</v>
      </c>
      <c r="O24" s="490">
        <v>1</v>
      </c>
      <c r="P24" s="491">
        <v>1</v>
      </c>
      <c r="Q24" s="500">
        <v>0</v>
      </c>
      <c r="R24" s="502">
        <f t="shared" si="1"/>
        <v>0</v>
      </c>
      <c r="S24" s="492">
        <v>0</v>
      </c>
      <c r="T24" s="492">
        <v>0</v>
      </c>
      <c r="U24" s="492">
        <v>0</v>
      </c>
      <c r="V24" s="492">
        <f t="shared" si="2"/>
        <v>0</v>
      </c>
      <c r="W24" s="492">
        <v>0</v>
      </c>
      <c r="X24" s="492">
        <v>0</v>
      </c>
      <c r="Y24" s="492">
        <v>0</v>
      </c>
      <c r="Z24" s="492">
        <f t="shared" si="3"/>
        <v>0</v>
      </c>
      <c r="AA24" s="492">
        <f t="shared" si="4"/>
        <v>0</v>
      </c>
      <c r="AB24" s="74">
        <f t="shared" si="5"/>
        <v>0</v>
      </c>
      <c r="AC24" s="74">
        <f t="shared" si="6"/>
        <v>0</v>
      </c>
      <c r="AD24" s="492">
        <v>0</v>
      </c>
      <c r="AE24" s="492">
        <v>0</v>
      </c>
      <c r="AF24" s="492">
        <f t="shared" si="7"/>
        <v>0</v>
      </c>
      <c r="AG24" s="492">
        <f t="shared" si="8"/>
        <v>0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 t="shared" si="27"/>
        <v>0</v>
      </c>
      <c r="AP24" s="493">
        <f t="shared" si="28"/>
        <v>0</v>
      </c>
      <c r="AQ24" s="495">
        <f t="shared" si="18"/>
        <v>0</v>
      </c>
      <c r="AR24" s="501">
        <f t="shared" si="10"/>
        <v>586151</v>
      </c>
      <c r="AS24" s="492">
        <f t="shared" si="11"/>
        <v>431628</v>
      </c>
      <c r="AT24" s="492">
        <f t="shared" si="29"/>
        <v>0</v>
      </c>
      <c r="AU24" s="492">
        <f t="shared" si="30"/>
        <v>145890</v>
      </c>
      <c r="AV24" s="492">
        <f t="shared" si="30"/>
        <v>8633</v>
      </c>
      <c r="AW24" s="492">
        <f t="shared" si="13"/>
        <v>0</v>
      </c>
      <c r="AX24" s="493">
        <f t="shared" si="14"/>
        <v>1</v>
      </c>
      <c r="AY24" s="493">
        <f t="shared" si="31"/>
        <v>1</v>
      </c>
      <c r="AZ24" s="495">
        <f t="shared" si="31"/>
        <v>0</v>
      </c>
    </row>
    <row r="25" spans="1:52" s="238" customFormat="1" x14ac:dyDescent="0.2">
      <c r="A25" s="225">
        <v>4</v>
      </c>
      <c r="B25" s="226">
        <v>4407</v>
      </c>
      <c r="C25" s="226">
        <v>600074552</v>
      </c>
      <c r="D25" s="226">
        <v>70982201</v>
      </c>
      <c r="E25" s="224" t="s">
        <v>155</v>
      </c>
      <c r="F25" s="226">
        <v>3111</v>
      </c>
      <c r="G25" s="176" t="s">
        <v>313</v>
      </c>
      <c r="H25" s="227" t="s">
        <v>279</v>
      </c>
      <c r="I25" s="494">
        <v>1646791</v>
      </c>
      <c r="J25" s="489">
        <v>1212659</v>
      </c>
      <c r="K25" s="489">
        <v>0</v>
      </c>
      <c r="L25" s="489">
        <v>409879</v>
      </c>
      <c r="M25" s="489">
        <v>24253</v>
      </c>
      <c r="N25" s="489">
        <v>0</v>
      </c>
      <c r="O25" s="490">
        <v>3.65</v>
      </c>
      <c r="P25" s="491">
        <v>3.65</v>
      </c>
      <c r="Q25" s="500">
        <v>0</v>
      </c>
      <c r="R25" s="502">
        <f t="shared" si="1"/>
        <v>0</v>
      </c>
      <c r="S25" s="492">
        <v>0</v>
      </c>
      <c r="T25" s="492">
        <v>0</v>
      </c>
      <c r="U25" s="492">
        <v>0</v>
      </c>
      <c r="V25" s="492">
        <f t="shared" si="2"/>
        <v>0</v>
      </c>
      <c r="W25" s="492">
        <v>0</v>
      </c>
      <c r="X25" s="492">
        <v>0</v>
      </c>
      <c r="Y25" s="492">
        <v>0</v>
      </c>
      <c r="Z25" s="492">
        <f t="shared" si="3"/>
        <v>0</v>
      </c>
      <c r="AA25" s="492">
        <f t="shared" si="4"/>
        <v>0</v>
      </c>
      <c r="AB25" s="74">
        <f t="shared" si="5"/>
        <v>0</v>
      </c>
      <c r="AC25" s="74">
        <f t="shared" si="6"/>
        <v>0</v>
      </c>
      <c r="AD25" s="492">
        <v>0</v>
      </c>
      <c r="AE25" s="492">
        <v>0</v>
      </c>
      <c r="AF25" s="492">
        <f t="shared" si="7"/>
        <v>0</v>
      </c>
      <c r="AG25" s="492">
        <f t="shared" si="8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si="27"/>
        <v>0</v>
      </c>
      <c r="AP25" s="493">
        <f t="shared" si="28"/>
        <v>0</v>
      </c>
      <c r="AQ25" s="495">
        <f t="shared" si="18"/>
        <v>0</v>
      </c>
      <c r="AR25" s="501">
        <f t="shared" si="10"/>
        <v>1646791</v>
      </c>
      <c r="AS25" s="492">
        <f t="shared" si="11"/>
        <v>1212659</v>
      </c>
      <c r="AT25" s="492">
        <f t="shared" si="29"/>
        <v>0</v>
      </c>
      <c r="AU25" s="492">
        <f t="shared" si="30"/>
        <v>409879</v>
      </c>
      <c r="AV25" s="492">
        <f t="shared" si="30"/>
        <v>24253</v>
      </c>
      <c r="AW25" s="492">
        <f t="shared" si="13"/>
        <v>0</v>
      </c>
      <c r="AX25" s="493">
        <f t="shared" si="14"/>
        <v>3.65</v>
      </c>
      <c r="AY25" s="493">
        <f t="shared" si="31"/>
        <v>3.65</v>
      </c>
      <c r="AZ25" s="495">
        <f t="shared" si="31"/>
        <v>0</v>
      </c>
    </row>
    <row r="26" spans="1:52" s="238" customFormat="1" x14ac:dyDescent="0.2">
      <c r="A26" s="225">
        <v>4</v>
      </c>
      <c r="B26" s="226">
        <v>4407</v>
      </c>
      <c r="C26" s="226">
        <v>600074552</v>
      </c>
      <c r="D26" s="226">
        <v>70982201</v>
      </c>
      <c r="E26" s="224" t="s">
        <v>155</v>
      </c>
      <c r="F26" s="226">
        <v>3141</v>
      </c>
      <c r="G26" s="176" t="s">
        <v>316</v>
      </c>
      <c r="H26" s="227" t="s">
        <v>279</v>
      </c>
      <c r="I26" s="494">
        <v>1033853</v>
      </c>
      <c r="J26" s="489">
        <v>757419</v>
      </c>
      <c r="K26" s="489">
        <v>0</v>
      </c>
      <c r="L26" s="489">
        <v>256008</v>
      </c>
      <c r="M26" s="489">
        <v>15148</v>
      </c>
      <c r="N26" s="489">
        <v>5278</v>
      </c>
      <c r="O26" s="490">
        <v>2.39</v>
      </c>
      <c r="P26" s="491">
        <v>0</v>
      </c>
      <c r="Q26" s="500">
        <v>2.39</v>
      </c>
      <c r="R26" s="502">
        <f t="shared" si="1"/>
        <v>0</v>
      </c>
      <c r="S26" s="492">
        <v>0</v>
      </c>
      <c r="T26" s="492">
        <v>0</v>
      </c>
      <c r="U26" s="492">
        <v>0</v>
      </c>
      <c r="V26" s="492">
        <f t="shared" si="2"/>
        <v>0</v>
      </c>
      <c r="W26" s="492">
        <v>0</v>
      </c>
      <c r="X26" s="492">
        <v>0</v>
      </c>
      <c r="Y26" s="492">
        <v>0</v>
      </c>
      <c r="Z26" s="492">
        <f t="shared" si="3"/>
        <v>0</v>
      </c>
      <c r="AA26" s="492">
        <f t="shared" si="4"/>
        <v>0</v>
      </c>
      <c r="AB26" s="74">
        <f t="shared" si="5"/>
        <v>0</v>
      </c>
      <c r="AC26" s="74">
        <f t="shared" si="6"/>
        <v>0</v>
      </c>
      <c r="AD26" s="492">
        <v>0</v>
      </c>
      <c r="AE26" s="492">
        <v>0</v>
      </c>
      <c r="AF26" s="492">
        <f t="shared" si="7"/>
        <v>0</v>
      </c>
      <c r="AG26" s="492">
        <f t="shared" si="8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27"/>
        <v>0</v>
      </c>
      <c r="AP26" s="493">
        <f t="shared" si="28"/>
        <v>0</v>
      </c>
      <c r="AQ26" s="495">
        <f t="shared" si="18"/>
        <v>0</v>
      </c>
      <c r="AR26" s="501">
        <f t="shared" si="10"/>
        <v>1033853</v>
      </c>
      <c r="AS26" s="492">
        <f t="shared" si="11"/>
        <v>757419</v>
      </c>
      <c r="AT26" s="492">
        <f t="shared" si="29"/>
        <v>0</v>
      </c>
      <c r="AU26" s="492">
        <f t="shared" si="30"/>
        <v>256008</v>
      </c>
      <c r="AV26" s="492">
        <f t="shared" si="30"/>
        <v>15148</v>
      </c>
      <c r="AW26" s="492">
        <f t="shared" si="13"/>
        <v>5278</v>
      </c>
      <c r="AX26" s="493">
        <f t="shared" si="14"/>
        <v>2.39</v>
      </c>
      <c r="AY26" s="493">
        <f t="shared" si="31"/>
        <v>0</v>
      </c>
      <c r="AZ26" s="495">
        <f t="shared" si="31"/>
        <v>2.39</v>
      </c>
    </row>
    <row r="27" spans="1:52" s="238" customFormat="1" x14ac:dyDescent="0.2">
      <c r="A27" s="166">
        <v>4</v>
      </c>
      <c r="B27" s="20">
        <v>4407</v>
      </c>
      <c r="C27" s="20">
        <v>600074552</v>
      </c>
      <c r="D27" s="20">
        <v>70982201</v>
      </c>
      <c r="E27" s="175" t="s">
        <v>156</v>
      </c>
      <c r="F27" s="20"/>
      <c r="G27" s="165"/>
      <c r="H27" s="199"/>
      <c r="I27" s="553">
        <v>10728834</v>
      </c>
      <c r="J27" s="550">
        <v>7860755</v>
      </c>
      <c r="K27" s="550">
        <v>0</v>
      </c>
      <c r="L27" s="550">
        <v>2656936</v>
      </c>
      <c r="M27" s="550">
        <v>157215</v>
      </c>
      <c r="N27" s="550">
        <v>53928</v>
      </c>
      <c r="O27" s="551">
        <v>18.424600000000002</v>
      </c>
      <c r="P27" s="551">
        <v>12.0694</v>
      </c>
      <c r="Q27" s="555">
        <v>6.3552</v>
      </c>
      <c r="R27" s="553">
        <f t="shared" ref="R27:AZ27" si="32">SUM(R23:R26)</f>
        <v>0</v>
      </c>
      <c r="S27" s="550">
        <f t="shared" si="32"/>
        <v>0</v>
      </c>
      <c r="T27" s="550">
        <f t="shared" si="32"/>
        <v>0</v>
      </c>
      <c r="U27" s="550">
        <f t="shared" si="32"/>
        <v>0</v>
      </c>
      <c r="V27" s="550">
        <f t="shared" si="32"/>
        <v>0</v>
      </c>
      <c r="W27" s="550">
        <f t="shared" si="32"/>
        <v>0</v>
      </c>
      <c r="X27" s="550">
        <f t="shared" si="32"/>
        <v>0</v>
      </c>
      <c r="Y27" s="550">
        <f t="shared" si="32"/>
        <v>0</v>
      </c>
      <c r="Z27" s="550">
        <f t="shared" si="32"/>
        <v>0</v>
      </c>
      <c r="AA27" s="550">
        <f t="shared" si="32"/>
        <v>0</v>
      </c>
      <c r="AB27" s="550">
        <f t="shared" si="32"/>
        <v>0</v>
      </c>
      <c r="AC27" s="550">
        <f t="shared" si="32"/>
        <v>0</v>
      </c>
      <c r="AD27" s="550">
        <f t="shared" si="32"/>
        <v>0</v>
      </c>
      <c r="AE27" s="550">
        <f t="shared" si="32"/>
        <v>0</v>
      </c>
      <c r="AF27" s="550">
        <f t="shared" si="32"/>
        <v>0</v>
      </c>
      <c r="AG27" s="550">
        <f t="shared" si="32"/>
        <v>0</v>
      </c>
      <c r="AH27" s="551">
        <f t="shared" si="32"/>
        <v>0</v>
      </c>
      <c r="AI27" s="551">
        <f t="shared" si="32"/>
        <v>0</v>
      </c>
      <c r="AJ27" s="551">
        <f t="shared" si="32"/>
        <v>0</v>
      </c>
      <c r="AK27" s="551">
        <f t="shared" si="32"/>
        <v>0</v>
      </c>
      <c r="AL27" s="551">
        <f t="shared" si="32"/>
        <v>0</v>
      </c>
      <c r="AM27" s="551">
        <f t="shared" si="32"/>
        <v>1</v>
      </c>
      <c r="AN27" s="551">
        <f t="shared" si="32"/>
        <v>0</v>
      </c>
      <c r="AO27" s="551">
        <f t="shared" si="32"/>
        <v>1</v>
      </c>
      <c r="AP27" s="551">
        <f t="shared" si="32"/>
        <v>0</v>
      </c>
      <c r="AQ27" s="44">
        <f t="shared" si="32"/>
        <v>1</v>
      </c>
      <c r="AR27" s="557">
        <f t="shared" si="32"/>
        <v>10728834</v>
      </c>
      <c r="AS27" s="550">
        <f t="shared" si="32"/>
        <v>7860755</v>
      </c>
      <c r="AT27" s="550">
        <f t="shared" si="32"/>
        <v>0</v>
      </c>
      <c r="AU27" s="550">
        <f t="shared" si="32"/>
        <v>2656936</v>
      </c>
      <c r="AV27" s="550">
        <f t="shared" si="32"/>
        <v>157215</v>
      </c>
      <c r="AW27" s="550">
        <f t="shared" si="32"/>
        <v>53928</v>
      </c>
      <c r="AX27" s="551">
        <f t="shared" si="32"/>
        <v>19.424600000000002</v>
      </c>
      <c r="AY27" s="551">
        <f t="shared" si="32"/>
        <v>13.0694</v>
      </c>
      <c r="AZ27" s="44">
        <f t="shared" si="32"/>
        <v>6.3552</v>
      </c>
    </row>
    <row r="28" spans="1:52" s="238" customFormat="1" x14ac:dyDescent="0.2">
      <c r="A28" s="225">
        <v>5</v>
      </c>
      <c r="B28" s="226">
        <v>4492</v>
      </c>
      <c r="C28" s="226">
        <v>650065221</v>
      </c>
      <c r="D28" s="226">
        <v>71173838</v>
      </c>
      <c r="E28" s="224" t="s">
        <v>157</v>
      </c>
      <c r="F28" s="226">
        <v>3111</v>
      </c>
      <c r="G28" s="176" t="s">
        <v>312</v>
      </c>
      <c r="H28" s="227" t="s">
        <v>278</v>
      </c>
      <c r="I28" s="494">
        <v>7988494</v>
      </c>
      <c r="J28" s="489">
        <v>5845895</v>
      </c>
      <c r="K28" s="489">
        <v>3900</v>
      </c>
      <c r="L28" s="489">
        <v>1977231</v>
      </c>
      <c r="M28" s="489">
        <v>116918</v>
      </c>
      <c r="N28" s="489">
        <v>44550</v>
      </c>
      <c r="O28" s="490">
        <v>12.481300000000001</v>
      </c>
      <c r="P28" s="491">
        <v>8.99</v>
      </c>
      <c r="Q28" s="500">
        <v>3.4913000000000007</v>
      </c>
      <c r="R28" s="502">
        <f t="shared" si="1"/>
        <v>0</v>
      </c>
      <c r="S28" s="492">
        <v>0</v>
      </c>
      <c r="T28" s="492">
        <v>0</v>
      </c>
      <c r="U28" s="492">
        <v>0</v>
      </c>
      <c r="V28" s="492">
        <f t="shared" si="2"/>
        <v>0</v>
      </c>
      <c r="W28" s="492">
        <v>0</v>
      </c>
      <c r="X28" s="492">
        <v>0</v>
      </c>
      <c r="Y28" s="492">
        <v>0</v>
      </c>
      <c r="Z28" s="492">
        <f t="shared" si="3"/>
        <v>0</v>
      </c>
      <c r="AA28" s="492">
        <f t="shared" si="4"/>
        <v>0</v>
      </c>
      <c r="AB28" s="74">
        <f t="shared" si="5"/>
        <v>0</v>
      </c>
      <c r="AC28" s="74">
        <f t="shared" si="6"/>
        <v>0</v>
      </c>
      <c r="AD28" s="492">
        <v>0</v>
      </c>
      <c r="AE28" s="492">
        <v>0</v>
      </c>
      <c r="AF28" s="492">
        <f t="shared" si="7"/>
        <v>0</v>
      </c>
      <c r="AG28" s="492">
        <f t="shared" si="8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ref="AO28:AO30" si="33">AH28+AJ28+AM28+AK28</f>
        <v>0</v>
      </c>
      <c r="AP28" s="493">
        <f t="shared" ref="AP28:AP30" si="34">AI28+AN28+AL28</f>
        <v>0</v>
      </c>
      <c r="AQ28" s="495">
        <f t="shared" si="18"/>
        <v>0</v>
      </c>
      <c r="AR28" s="501">
        <f t="shared" si="10"/>
        <v>7988494</v>
      </c>
      <c r="AS28" s="492">
        <f t="shared" si="11"/>
        <v>5845895</v>
      </c>
      <c r="AT28" s="492">
        <f t="shared" ref="AT28:AT30" si="35">K28+Z28</f>
        <v>3900</v>
      </c>
      <c r="AU28" s="492">
        <f t="shared" ref="AU28:AV30" si="36">L28+AB28</f>
        <v>1977231</v>
      </c>
      <c r="AV28" s="492">
        <f t="shared" si="36"/>
        <v>116918</v>
      </c>
      <c r="AW28" s="492">
        <f t="shared" si="13"/>
        <v>44550</v>
      </c>
      <c r="AX28" s="493">
        <f t="shared" si="14"/>
        <v>12.481300000000001</v>
      </c>
      <c r="AY28" s="493">
        <f t="shared" ref="AY28:AZ30" si="37">P28+AO28</f>
        <v>8.99</v>
      </c>
      <c r="AZ28" s="495">
        <f t="shared" si="37"/>
        <v>3.4913000000000007</v>
      </c>
    </row>
    <row r="29" spans="1:52" s="238" customFormat="1" x14ac:dyDescent="0.2">
      <c r="A29" s="225">
        <v>5</v>
      </c>
      <c r="B29" s="226">
        <v>4492</v>
      </c>
      <c r="C29" s="226">
        <v>650065221</v>
      </c>
      <c r="D29" s="226">
        <v>71173838</v>
      </c>
      <c r="E29" s="224" t="s">
        <v>157</v>
      </c>
      <c r="F29" s="226">
        <v>3111</v>
      </c>
      <c r="G29" s="176" t="s">
        <v>313</v>
      </c>
      <c r="H29" s="227" t="s">
        <v>279</v>
      </c>
      <c r="I29" s="494">
        <v>940939</v>
      </c>
      <c r="J29" s="489">
        <v>692886</v>
      </c>
      <c r="K29" s="489">
        <v>0</v>
      </c>
      <c r="L29" s="489">
        <v>234195</v>
      </c>
      <c r="M29" s="489">
        <v>13858</v>
      </c>
      <c r="N29" s="489">
        <v>0</v>
      </c>
      <c r="O29" s="490">
        <v>2</v>
      </c>
      <c r="P29" s="491">
        <v>2</v>
      </c>
      <c r="Q29" s="500">
        <v>0</v>
      </c>
      <c r="R29" s="502">
        <f t="shared" si="1"/>
        <v>0</v>
      </c>
      <c r="S29" s="492">
        <v>0</v>
      </c>
      <c r="T29" s="492">
        <v>0</v>
      </c>
      <c r="U29" s="492">
        <v>0</v>
      </c>
      <c r="V29" s="492">
        <f t="shared" si="2"/>
        <v>0</v>
      </c>
      <c r="W29" s="492">
        <v>0</v>
      </c>
      <c r="X29" s="492">
        <v>0</v>
      </c>
      <c r="Y29" s="492">
        <v>0</v>
      </c>
      <c r="Z29" s="492">
        <f t="shared" si="3"/>
        <v>0</v>
      </c>
      <c r="AA29" s="492">
        <f t="shared" si="4"/>
        <v>0</v>
      </c>
      <c r="AB29" s="74">
        <f t="shared" si="5"/>
        <v>0</v>
      </c>
      <c r="AC29" s="74">
        <f t="shared" si="6"/>
        <v>0</v>
      </c>
      <c r="AD29" s="492">
        <v>0</v>
      </c>
      <c r="AE29" s="492">
        <v>0</v>
      </c>
      <c r="AF29" s="492">
        <f t="shared" si="7"/>
        <v>0</v>
      </c>
      <c r="AG29" s="492">
        <f t="shared" si="8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33"/>
        <v>0</v>
      </c>
      <c r="AP29" s="493">
        <f t="shared" si="34"/>
        <v>0</v>
      </c>
      <c r="AQ29" s="495">
        <f t="shared" si="18"/>
        <v>0</v>
      </c>
      <c r="AR29" s="501">
        <f t="shared" si="10"/>
        <v>940939</v>
      </c>
      <c r="AS29" s="492">
        <f t="shared" si="11"/>
        <v>692886</v>
      </c>
      <c r="AT29" s="492">
        <f t="shared" si="35"/>
        <v>0</v>
      </c>
      <c r="AU29" s="492">
        <f t="shared" si="36"/>
        <v>234195</v>
      </c>
      <c r="AV29" s="492">
        <f t="shared" si="36"/>
        <v>13858</v>
      </c>
      <c r="AW29" s="492">
        <f t="shared" si="13"/>
        <v>0</v>
      </c>
      <c r="AX29" s="493">
        <f t="shared" si="14"/>
        <v>2</v>
      </c>
      <c r="AY29" s="493">
        <f t="shared" si="37"/>
        <v>2</v>
      </c>
      <c r="AZ29" s="495">
        <f t="shared" si="37"/>
        <v>0</v>
      </c>
    </row>
    <row r="30" spans="1:52" s="238" customFormat="1" x14ac:dyDescent="0.2">
      <c r="A30" s="225">
        <v>5</v>
      </c>
      <c r="B30" s="226">
        <v>4492</v>
      </c>
      <c r="C30" s="226">
        <v>650065221</v>
      </c>
      <c r="D30" s="226">
        <v>71173838</v>
      </c>
      <c r="E30" s="224" t="s">
        <v>157</v>
      </c>
      <c r="F30" s="226">
        <v>3141</v>
      </c>
      <c r="G30" s="176" t="s">
        <v>316</v>
      </c>
      <c r="H30" s="227" t="s">
        <v>279</v>
      </c>
      <c r="I30" s="494">
        <v>1025859</v>
      </c>
      <c r="J30" s="489">
        <v>751575</v>
      </c>
      <c r="K30" s="489">
        <v>0</v>
      </c>
      <c r="L30" s="489">
        <v>254032</v>
      </c>
      <c r="M30" s="489">
        <v>15032</v>
      </c>
      <c r="N30" s="489">
        <v>5220</v>
      </c>
      <c r="O30" s="490">
        <v>2.37</v>
      </c>
      <c r="P30" s="491">
        <v>0</v>
      </c>
      <c r="Q30" s="500">
        <v>2.37</v>
      </c>
      <c r="R30" s="502">
        <f t="shared" si="1"/>
        <v>0</v>
      </c>
      <c r="S30" s="492">
        <v>0</v>
      </c>
      <c r="T30" s="492">
        <v>0</v>
      </c>
      <c r="U30" s="492">
        <v>0</v>
      </c>
      <c r="V30" s="492">
        <f t="shared" si="2"/>
        <v>0</v>
      </c>
      <c r="W30" s="492">
        <v>0</v>
      </c>
      <c r="X30" s="492">
        <v>0</v>
      </c>
      <c r="Y30" s="492">
        <v>0</v>
      </c>
      <c r="Z30" s="492">
        <f t="shared" si="3"/>
        <v>0</v>
      </c>
      <c r="AA30" s="492">
        <f t="shared" si="4"/>
        <v>0</v>
      </c>
      <c r="AB30" s="74">
        <f t="shared" si="5"/>
        <v>0</v>
      </c>
      <c r="AC30" s="74">
        <f t="shared" si="6"/>
        <v>0</v>
      </c>
      <c r="AD30" s="492">
        <v>0</v>
      </c>
      <c r="AE30" s="492">
        <v>0</v>
      </c>
      <c r="AF30" s="492">
        <f t="shared" si="7"/>
        <v>0</v>
      </c>
      <c r="AG30" s="492">
        <f t="shared" si="8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si="33"/>
        <v>0</v>
      </c>
      <c r="AP30" s="493">
        <f t="shared" si="34"/>
        <v>0</v>
      </c>
      <c r="AQ30" s="495">
        <f t="shared" si="18"/>
        <v>0</v>
      </c>
      <c r="AR30" s="501">
        <f t="shared" si="10"/>
        <v>1025859</v>
      </c>
      <c r="AS30" s="492">
        <f t="shared" si="11"/>
        <v>751575</v>
      </c>
      <c r="AT30" s="492">
        <f t="shared" si="35"/>
        <v>0</v>
      </c>
      <c r="AU30" s="492">
        <f t="shared" si="36"/>
        <v>254032</v>
      </c>
      <c r="AV30" s="492">
        <f t="shared" si="36"/>
        <v>15032</v>
      </c>
      <c r="AW30" s="492">
        <f t="shared" si="13"/>
        <v>5220</v>
      </c>
      <c r="AX30" s="493">
        <f t="shared" si="14"/>
        <v>2.37</v>
      </c>
      <c r="AY30" s="493">
        <f t="shared" si="37"/>
        <v>0</v>
      </c>
      <c r="AZ30" s="495">
        <f t="shared" si="37"/>
        <v>2.37</v>
      </c>
    </row>
    <row r="31" spans="1:52" s="238" customFormat="1" x14ac:dyDescent="0.2">
      <c r="A31" s="166">
        <v>5</v>
      </c>
      <c r="B31" s="20">
        <v>4492</v>
      </c>
      <c r="C31" s="20">
        <v>650065221</v>
      </c>
      <c r="D31" s="20">
        <v>71173838</v>
      </c>
      <c r="E31" s="175" t="s">
        <v>158</v>
      </c>
      <c r="F31" s="20"/>
      <c r="G31" s="165"/>
      <c r="H31" s="199"/>
      <c r="I31" s="553">
        <v>9955292</v>
      </c>
      <c r="J31" s="550">
        <v>7290356</v>
      </c>
      <c r="K31" s="550">
        <v>3900</v>
      </c>
      <c r="L31" s="550">
        <v>2465458</v>
      </c>
      <c r="M31" s="550">
        <v>145808</v>
      </c>
      <c r="N31" s="550">
        <v>49770</v>
      </c>
      <c r="O31" s="551">
        <v>16.851300000000002</v>
      </c>
      <c r="P31" s="551">
        <v>10.99</v>
      </c>
      <c r="Q31" s="555">
        <v>5.8613000000000008</v>
      </c>
      <c r="R31" s="553">
        <f t="shared" ref="R31:AZ31" si="38">SUM(R28:R30)</f>
        <v>0</v>
      </c>
      <c r="S31" s="550">
        <f t="shared" si="38"/>
        <v>0</v>
      </c>
      <c r="T31" s="550">
        <f t="shared" si="38"/>
        <v>0</v>
      </c>
      <c r="U31" s="550">
        <f t="shared" si="38"/>
        <v>0</v>
      </c>
      <c r="V31" s="550">
        <f t="shared" si="38"/>
        <v>0</v>
      </c>
      <c r="W31" s="550">
        <f t="shared" si="38"/>
        <v>0</v>
      </c>
      <c r="X31" s="550">
        <f t="shared" si="38"/>
        <v>0</v>
      </c>
      <c r="Y31" s="550">
        <f t="shared" si="38"/>
        <v>0</v>
      </c>
      <c r="Z31" s="550">
        <f t="shared" si="38"/>
        <v>0</v>
      </c>
      <c r="AA31" s="550">
        <f t="shared" si="38"/>
        <v>0</v>
      </c>
      <c r="AB31" s="550">
        <f t="shared" si="38"/>
        <v>0</v>
      </c>
      <c r="AC31" s="550">
        <f t="shared" si="38"/>
        <v>0</v>
      </c>
      <c r="AD31" s="550">
        <f t="shared" si="38"/>
        <v>0</v>
      </c>
      <c r="AE31" s="550">
        <f t="shared" si="38"/>
        <v>0</v>
      </c>
      <c r="AF31" s="550">
        <f t="shared" si="38"/>
        <v>0</v>
      </c>
      <c r="AG31" s="550">
        <f t="shared" si="38"/>
        <v>0</v>
      </c>
      <c r="AH31" s="551">
        <f t="shared" si="38"/>
        <v>0</v>
      </c>
      <c r="AI31" s="551">
        <f t="shared" si="38"/>
        <v>0</v>
      </c>
      <c r="AJ31" s="551">
        <f t="shared" si="38"/>
        <v>0</v>
      </c>
      <c r="AK31" s="551">
        <f t="shared" si="38"/>
        <v>0</v>
      </c>
      <c r="AL31" s="551">
        <f t="shared" si="38"/>
        <v>0</v>
      </c>
      <c r="AM31" s="551">
        <f t="shared" si="38"/>
        <v>0</v>
      </c>
      <c r="AN31" s="551">
        <f t="shared" si="38"/>
        <v>0</v>
      </c>
      <c r="AO31" s="551">
        <f t="shared" si="38"/>
        <v>0</v>
      </c>
      <c r="AP31" s="551">
        <f t="shared" si="38"/>
        <v>0</v>
      </c>
      <c r="AQ31" s="44">
        <f t="shared" si="38"/>
        <v>0</v>
      </c>
      <c r="AR31" s="557">
        <f t="shared" si="38"/>
        <v>9955292</v>
      </c>
      <c r="AS31" s="550">
        <f t="shared" si="38"/>
        <v>7290356</v>
      </c>
      <c r="AT31" s="550">
        <f t="shared" si="38"/>
        <v>3900</v>
      </c>
      <c r="AU31" s="550">
        <f t="shared" si="38"/>
        <v>2465458</v>
      </c>
      <c r="AV31" s="550">
        <f t="shared" si="38"/>
        <v>145808</v>
      </c>
      <c r="AW31" s="550">
        <f t="shared" si="38"/>
        <v>49770</v>
      </c>
      <c r="AX31" s="551">
        <f t="shared" si="38"/>
        <v>16.851300000000002</v>
      </c>
      <c r="AY31" s="551">
        <f t="shared" si="38"/>
        <v>10.99</v>
      </c>
      <c r="AZ31" s="44">
        <f t="shared" si="38"/>
        <v>5.8613000000000008</v>
      </c>
    </row>
    <row r="32" spans="1:52" s="238" customFormat="1" x14ac:dyDescent="0.2">
      <c r="A32" s="225">
        <v>6</v>
      </c>
      <c r="B32" s="226">
        <v>4408</v>
      </c>
      <c r="C32" s="226">
        <v>600074528</v>
      </c>
      <c r="D32" s="226">
        <v>70982163</v>
      </c>
      <c r="E32" s="224" t="s">
        <v>159</v>
      </c>
      <c r="F32" s="226">
        <v>3111</v>
      </c>
      <c r="G32" s="176" t="s">
        <v>312</v>
      </c>
      <c r="H32" s="227" t="s">
        <v>278</v>
      </c>
      <c r="I32" s="494">
        <v>10831508</v>
      </c>
      <c r="J32" s="489">
        <v>7899649</v>
      </c>
      <c r="K32" s="489">
        <v>32500</v>
      </c>
      <c r="L32" s="489">
        <v>2681066</v>
      </c>
      <c r="M32" s="489">
        <v>157993</v>
      </c>
      <c r="N32" s="489">
        <v>60300</v>
      </c>
      <c r="O32" s="490">
        <v>16.894500000000001</v>
      </c>
      <c r="P32" s="491">
        <v>12.69</v>
      </c>
      <c r="Q32" s="500">
        <v>4.2045000000000012</v>
      </c>
      <c r="R32" s="502">
        <f t="shared" si="1"/>
        <v>0</v>
      </c>
      <c r="S32" s="492">
        <v>0</v>
      </c>
      <c r="T32" s="492">
        <v>0</v>
      </c>
      <c r="U32" s="492">
        <v>0</v>
      </c>
      <c r="V32" s="492">
        <f t="shared" si="2"/>
        <v>0</v>
      </c>
      <c r="W32" s="492">
        <v>0</v>
      </c>
      <c r="X32" s="492">
        <v>0</v>
      </c>
      <c r="Y32" s="492">
        <v>0</v>
      </c>
      <c r="Z32" s="492">
        <f t="shared" si="3"/>
        <v>0</v>
      </c>
      <c r="AA32" s="492">
        <f t="shared" si="4"/>
        <v>0</v>
      </c>
      <c r="AB32" s="74">
        <f t="shared" si="5"/>
        <v>0</v>
      </c>
      <c r="AC32" s="74">
        <f t="shared" si="6"/>
        <v>0</v>
      </c>
      <c r="AD32" s="492">
        <v>0</v>
      </c>
      <c r="AE32" s="492">
        <v>0</v>
      </c>
      <c r="AF32" s="492">
        <f t="shared" si="7"/>
        <v>0</v>
      </c>
      <c r="AG32" s="492">
        <f t="shared" si="8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ref="AO32:AO33" si="39">AH32+AJ32+AM32+AK32</f>
        <v>0</v>
      </c>
      <c r="AP32" s="493">
        <f t="shared" ref="AP32:AP33" si="40">AI32+AN32+AL32</f>
        <v>0</v>
      </c>
      <c r="AQ32" s="495">
        <f t="shared" si="18"/>
        <v>0</v>
      </c>
      <c r="AR32" s="501">
        <f t="shared" si="10"/>
        <v>10831508</v>
      </c>
      <c r="AS32" s="492">
        <f t="shared" si="11"/>
        <v>7899649</v>
      </c>
      <c r="AT32" s="492">
        <f t="shared" ref="AT32:AT33" si="41">K32+Z32</f>
        <v>32500</v>
      </c>
      <c r="AU32" s="492">
        <f>L32+AB32</f>
        <v>2681066</v>
      </c>
      <c r="AV32" s="492">
        <f>M32+AC32</f>
        <v>157993</v>
      </c>
      <c r="AW32" s="492">
        <f t="shared" si="13"/>
        <v>60300</v>
      </c>
      <c r="AX32" s="493">
        <f t="shared" si="14"/>
        <v>16.894500000000001</v>
      </c>
      <c r="AY32" s="493">
        <f>P32+AO32</f>
        <v>12.69</v>
      </c>
      <c r="AZ32" s="495">
        <f>Q32+AP32</f>
        <v>4.2045000000000012</v>
      </c>
    </row>
    <row r="33" spans="1:52" s="238" customFormat="1" x14ac:dyDescent="0.2">
      <c r="A33" s="225">
        <v>6</v>
      </c>
      <c r="B33" s="226">
        <v>4408</v>
      </c>
      <c r="C33" s="226">
        <v>600074528</v>
      </c>
      <c r="D33" s="226">
        <v>70982163</v>
      </c>
      <c r="E33" s="224" t="s">
        <v>159</v>
      </c>
      <c r="F33" s="226">
        <v>3141</v>
      </c>
      <c r="G33" s="176" t="s">
        <v>316</v>
      </c>
      <c r="H33" s="227" t="s">
        <v>279</v>
      </c>
      <c r="I33" s="494">
        <v>1397884</v>
      </c>
      <c r="J33" s="489">
        <v>1010795</v>
      </c>
      <c r="K33" s="489">
        <v>13000</v>
      </c>
      <c r="L33" s="489">
        <v>346043</v>
      </c>
      <c r="M33" s="489">
        <v>20216</v>
      </c>
      <c r="N33" s="489">
        <v>7830</v>
      </c>
      <c r="O33" s="490">
        <v>3.22</v>
      </c>
      <c r="P33" s="491">
        <v>0</v>
      </c>
      <c r="Q33" s="500">
        <v>3.22</v>
      </c>
      <c r="R33" s="502">
        <f t="shared" si="1"/>
        <v>0</v>
      </c>
      <c r="S33" s="492">
        <v>0</v>
      </c>
      <c r="T33" s="492">
        <v>0</v>
      </c>
      <c r="U33" s="492">
        <v>0</v>
      </c>
      <c r="V33" s="492">
        <f t="shared" si="2"/>
        <v>0</v>
      </c>
      <c r="W33" s="492">
        <v>0</v>
      </c>
      <c r="X33" s="492">
        <v>0</v>
      </c>
      <c r="Y33" s="492">
        <v>0</v>
      </c>
      <c r="Z33" s="492">
        <f t="shared" si="3"/>
        <v>0</v>
      </c>
      <c r="AA33" s="492">
        <f t="shared" si="4"/>
        <v>0</v>
      </c>
      <c r="AB33" s="74">
        <f t="shared" si="5"/>
        <v>0</v>
      </c>
      <c r="AC33" s="74">
        <f t="shared" si="6"/>
        <v>0</v>
      </c>
      <c r="AD33" s="492">
        <v>0</v>
      </c>
      <c r="AE33" s="492">
        <v>0</v>
      </c>
      <c r="AF33" s="492">
        <f t="shared" si="7"/>
        <v>0</v>
      </c>
      <c r="AG33" s="492">
        <f t="shared" si="8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si="39"/>
        <v>0</v>
      </c>
      <c r="AP33" s="493">
        <f t="shared" si="40"/>
        <v>0</v>
      </c>
      <c r="AQ33" s="495">
        <f t="shared" si="18"/>
        <v>0</v>
      </c>
      <c r="AR33" s="501">
        <f t="shared" si="10"/>
        <v>1397884</v>
      </c>
      <c r="AS33" s="492">
        <f t="shared" si="11"/>
        <v>1010795</v>
      </c>
      <c r="AT33" s="492">
        <f t="shared" si="41"/>
        <v>13000</v>
      </c>
      <c r="AU33" s="492">
        <f>L33+AB33</f>
        <v>346043</v>
      </c>
      <c r="AV33" s="492">
        <f>M33+AC33</f>
        <v>20216</v>
      </c>
      <c r="AW33" s="492">
        <f t="shared" si="13"/>
        <v>7830</v>
      </c>
      <c r="AX33" s="493">
        <f t="shared" si="14"/>
        <v>3.22</v>
      </c>
      <c r="AY33" s="493">
        <f>P33+AO33</f>
        <v>0</v>
      </c>
      <c r="AZ33" s="495">
        <f>Q33+AP33</f>
        <v>3.22</v>
      </c>
    </row>
    <row r="34" spans="1:52" s="238" customFormat="1" x14ac:dyDescent="0.2">
      <c r="A34" s="166">
        <v>6</v>
      </c>
      <c r="B34" s="20">
        <v>4408</v>
      </c>
      <c r="C34" s="20">
        <v>600074528</v>
      </c>
      <c r="D34" s="20">
        <v>70982163</v>
      </c>
      <c r="E34" s="175" t="s">
        <v>160</v>
      </c>
      <c r="F34" s="20"/>
      <c r="G34" s="165"/>
      <c r="H34" s="199"/>
      <c r="I34" s="553">
        <v>12229392</v>
      </c>
      <c r="J34" s="550">
        <v>8910444</v>
      </c>
      <c r="K34" s="550">
        <v>45500</v>
      </c>
      <c r="L34" s="550">
        <v>3027109</v>
      </c>
      <c r="M34" s="550">
        <v>178209</v>
      </c>
      <c r="N34" s="550">
        <v>68130</v>
      </c>
      <c r="O34" s="551">
        <v>20.1145</v>
      </c>
      <c r="P34" s="551">
        <v>12.69</v>
      </c>
      <c r="Q34" s="555">
        <v>7.4245000000000019</v>
      </c>
      <c r="R34" s="553">
        <f t="shared" ref="R34:AZ34" si="42">SUM(R32:R33)</f>
        <v>0</v>
      </c>
      <c r="S34" s="550">
        <f t="shared" si="42"/>
        <v>0</v>
      </c>
      <c r="T34" s="550">
        <f t="shared" si="42"/>
        <v>0</v>
      </c>
      <c r="U34" s="550">
        <f t="shared" si="42"/>
        <v>0</v>
      </c>
      <c r="V34" s="550">
        <f t="shared" si="42"/>
        <v>0</v>
      </c>
      <c r="W34" s="550">
        <f t="shared" si="42"/>
        <v>0</v>
      </c>
      <c r="X34" s="550">
        <f t="shared" si="42"/>
        <v>0</v>
      </c>
      <c r="Y34" s="550">
        <f t="shared" si="42"/>
        <v>0</v>
      </c>
      <c r="Z34" s="550">
        <f t="shared" si="42"/>
        <v>0</v>
      </c>
      <c r="AA34" s="550">
        <f t="shared" si="42"/>
        <v>0</v>
      </c>
      <c r="AB34" s="550">
        <f t="shared" si="42"/>
        <v>0</v>
      </c>
      <c r="AC34" s="550">
        <f t="shared" si="42"/>
        <v>0</v>
      </c>
      <c r="AD34" s="550">
        <f t="shared" si="42"/>
        <v>0</v>
      </c>
      <c r="AE34" s="550">
        <f t="shared" si="42"/>
        <v>0</v>
      </c>
      <c r="AF34" s="550">
        <f t="shared" si="42"/>
        <v>0</v>
      </c>
      <c r="AG34" s="550">
        <f t="shared" si="42"/>
        <v>0</v>
      </c>
      <c r="AH34" s="551">
        <f t="shared" si="42"/>
        <v>0</v>
      </c>
      <c r="AI34" s="551">
        <f t="shared" si="42"/>
        <v>0</v>
      </c>
      <c r="AJ34" s="551">
        <f t="shared" si="42"/>
        <v>0</v>
      </c>
      <c r="AK34" s="551">
        <f t="shared" si="42"/>
        <v>0</v>
      </c>
      <c r="AL34" s="551">
        <f t="shared" si="42"/>
        <v>0</v>
      </c>
      <c r="AM34" s="551">
        <f t="shared" si="42"/>
        <v>0</v>
      </c>
      <c r="AN34" s="551">
        <f t="shared" si="42"/>
        <v>0</v>
      </c>
      <c r="AO34" s="551">
        <f t="shared" si="42"/>
        <v>0</v>
      </c>
      <c r="AP34" s="551">
        <f t="shared" si="42"/>
        <v>0</v>
      </c>
      <c r="AQ34" s="44">
        <f t="shared" si="42"/>
        <v>0</v>
      </c>
      <c r="AR34" s="557">
        <f t="shared" si="42"/>
        <v>12229392</v>
      </c>
      <c r="AS34" s="550">
        <f t="shared" si="42"/>
        <v>8910444</v>
      </c>
      <c r="AT34" s="550">
        <f t="shared" si="42"/>
        <v>45500</v>
      </c>
      <c r="AU34" s="550">
        <f t="shared" si="42"/>
        <v>3027109</v>
      </c>
      <c r="AV34" s="550">
        <f t="shared" si="42"/>
        <v>178209</v>
      </c>
      <c r="AW34" s="550">
        <f t="shared" si="42"/>
        <v>68130</v>
      </c>
      <c r="AX34" s="551">
        <f t="shared" si="42"/>
        <v>20.1145</v>
      </c>
      <c r="AY34" s="551">
        <f t="shared" si="42"/>
        <v>12.69</v>
      </c>
      <c r="AZ34" s="44">
        <f t="shared" si="42"/>
        <v>7.4245000000000019</v>
      </c>
    </row>
    <row r="35" spans="1:52" s="238" customFormat="1" x14ac:dyDescent="0.2">
      <c r="A35" s="225">
        <v>7</v>
      </c>
      <c r="B35" s="226">
        <v>4423</v>
      </c>
      <c r="C35" s="226">
        <v>600074439</v>
      </c>
      <c r="D35" s="226">
        <v>70982155</v>
      </c>
      <c r="E35" s="224" t="s">
        <v>161</v>
      </c>
      <c r="F35" s="226">
        <v>3111</v>
      </c>
      <c r="G35" s="176" t="s">
        <v>312</v>
      </c>
      <c r="H35" s="227" t="s">
        <v>278</v>
      </c>
      <c r="I35" s="494">
        <v>7139029</v>
      </c>
      <c r="J35" s="489">
        <v>5177151</v>
      </c>
      <c r="K35" s="489">
        <v>48100</v>
      </c>
      <c r="L35" s="489">
        <v>1766135</v>
      </c>
      <c r="M35" s="489">
        <v>103543</v>
      </c>
      <c r="N35" s="489">
        <v>44100</v>
      </c>
      <c r="O35" s="490">
        <v>11.0282</v>
      </c>
      <c r="P35" s="491">
        <v>8</v>
      </c>
      <c r="Q35" s="500">
        <v>3.0282</v>
      </c>
      <c r="R35" s="502">
        <f t="shared" si="1"/>
        <v>0</v>
      </c>
      <c r="S35" s="492">
        <v>0</v>
      </c>
      <c r="T35" s="492">
        <v>0</v>
      </c>
      <c r="U35" s="492">
        <v>0</v>
      </c>
      <c r="V35" s="492">
        <f t="shared" si="2"/>
        <v>0</v>
      </c>
      <c r="W35" s="492">
        <v>0</v>
      </c>
      <c r="X35" s="492">
        <v>0</v>
      </c>
      <c r="Y35" s="492">
        <v>0</v>
      </c>
      <c r="Z35" s="492">
        <f t="shared" si="3"/>
        <v>0</v>
      </c>
      <c r="AA35" s="492">
        <f t="shared" si="4"/>
        <v>0</v>
      </c>
      <c r="AB35" s="74">
        <f t="shared" si="5"/>
        <v>0</v>
      </c>
      <c r="AC35" s="74">
        <f t="shared" si="6"/>
        <v>0</v>
      </c>
      <c r="AD35" s="492">
        <v>0</v>
      </c>
      <c r="AE35" s="492">
        <v>0</v>
      </c>
      <c r="AF35" s="492">
        <f t="shared" si="7"/>
        <v>0</v>
      </c>
      <c r="AG35" s="492">
        <f t="shared" si="8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ref="AO35:AO37" si="43">AH35+AJ35+AM35+AK35</f>
        <v>0</v>
      </c>
      <c r="AP35" s="493">
        <f t="shared" ref="AP35:AP37" si="44">AI35+AN35+AL35</f>
        <v>0</v>
      </c>
      <c r="AQ35" s="495">
        <f t="shared" si="18"/>
        <v>0</v>
      </c>
      <c r="AR35" s="501">
        <f t="shared" si="10"/>
        <v>7139029</v>
      </c>
      <c r="AS35" s="492">
        <f t="shared" si="11"/>
        <v>5177151</v>
      </c>
      <c r="AT35" s="492">
        <f t="shared" ref="AT35:AT37" si="45">K35+Z35</f>
        <v>48100</v>
      </c>
      <c r="AU35" s="492">
        <f t="shared" ref="AU35:AV37" si="46">L35+AB35</f>
        <v>1766135</v>
      </c>
      <c r="AV35" s="492">
        <f t="shared" si="46"/>
        <v>103543</v>
      </c>
      <c r="AW35" s="492">
        <f t="shared" si="13"/>
        <v>44100</v>
      </c>
      <c r="AX35" s="493">
        <f t="shared" si="14"/>
        <v>11.0282</v>
      </c>
      <c r="AY35" s="493">
        <f t="shared" ref="AY35:AZ37" si="47">P35+AO35</f>
        <v>8</v>
      </c>
      <c r="AZ35" s="495">
        <f t="shared" si="47"/>
        <v>3.0282</v>
      </c>
    </row>
    <row r="36" spans="1:52" s="238" customFormat="1" x14ac:dyDescent="0.2">
      <c r="A36" s="225">
        <v>7</v>
      </c>
      <c r="B36" s="226">
        <v>4423</v>
      </c>
      <c r="C36" s="226">
        <v>600074439</v>
      </c>
      <c r="D36" s="226">
        <v>70982155</v>
      </c>
      <c r="E36" s="224" t="s">
        <v>161</v>
      </c>
      <c r="F36" s="226">
        <v>3111</v>
      </c>
      <c r="G36" s="176" t="s">
        <v>313</v>
      </c>
      <c r="H36" s="227" t="s">
        <v>279</v>
      </c>
      <c r="I36" s="494">
        <v>275534</v>
      </c>
      <c r="J36" s="489">
        <v>202897</v>
      </c>
      <c r="K36" s="489">
        <v>0</v>
      </c>
      <c r="L36" s="489">
        <v>68579</v>
      </c>
      <c r="M36" s="489">
        <v>4058</v>
      </c>
      <c r="N36" s="489">
        <v>0</v>
      </c>
      <c r="O36" s="490">
        <v>0.59</v>
      </c>
      <c r="P36" s="491">
        <v>0.59</v>
      </c>
      <c r="Q36" s="500">
        <v>0</v>
      </c>
      <c r="R36" s="502">
        <f t="shared" si="1"/>
        <v>0</v>
      </c>
      <c r="S36" s="492">
        <v>0</v>
      </c>
      <c r="T36" s="492">
        <v>0</v>
      </c>
      <c r="U36" s="492">
        <v>0</v>
      </c>
      <c r="V36" s="492">
        <f t="shared" si="2"/>
        <v>0</v>
      </c>
      <c r="W36" s="492">
        <v>0</v>
      </c>
      <c r="X36" s="492">
        <v>0</v>
      </c>
      <c r="Y36" s="492">
        <v>0</v>
      </c>
      <c r="Z36" s="492">
        <f t="shared" si="3"/>
        <v>0</v>
      </c>
      <c r="AA36" s="492">
        <f t="shared" si="4"/>
        <v>0</v>
      </c>
      <c r="AB36" s="74">
        <f t="shared" si="5"/>
        <v>0</v>
      </c>
      <c r="AC36" s="74">
        <f t="shared" si="6"/>
        <v>0</v>
      </c>
      <c r="AD36" s="492">
        <v>0</v>
      </c>
      <c r="AE36" s="492">
        <v>0</v>
      </c>
      <c r="AF36" s="492">
        <f t="shared" si="7"/>
        <v>0</v>
      </c>
      <c r="AG36" s="492">
        <f t="shared" si="8"/>
        <v>0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0</v>
      </c>
      <c r="AN36" s="493">
        <v>0</v>
      </c>
      <c r="AO36" s="493">
        <f t="shared" si="43"/>
        <v>0</v>
      </c>
      <c r="AP36" s="493">
        <f t="shared" si="44"/>
        <v>0</v>
      </c>
      <c r="AQ36" s="495">
        <f t="shared" si="18"/>
        <v>0</v>
      </c>
      <c r="AR36" s="501">
        <f t="shared" si="10"/>
        <v>275534</v>
      </c>
      <c r="AS36" s="492">
        <f t="shared" si="11"/>
        <v>202897</v>
      </c>
      <c r="AT36" s="492">
        <f t="shared" si="45"/>
        <v>0</v>
      </c>
      <c r="AU36" s="492">
        <f t="shared" si="46"/>
        <v>68579</v>
      </c>
      <c r="AV36" s="492">
        <f t="shared" si="46"/>
        <v>4058</v>
      </c>
      <c r="AW36" s="492">
        <f t="shared" si="13"/>
        <v>0</v>
      </c>
      <c r="AX36" s="493">
        <f t="shared" si="14"/>
        <v>0.59</v>
      </c>
      <c r="AY36" s="493">
        <f t="shared" si="47"/>
        <v>0.59</v>
      </c>
      <c r="AZ36" s="495">
        <f t="shared" si="47"/>
        <v>0</v>
      </c>
    </row>
    <row r="37" spans="1:52" s="238" customFormat="1" x14ac:dyDescent="0.2">
      <c r="A37" s="225">
        <v>7</v>
      </c>
      <c r="B37" s="226">
        <v>4423</v>
      </c>
      <c r="C37" s="226">
        <v>600074439</v>
      </c>
      <c r="D37" s="226">
        <v>70982155</v>
      </c>
      <c r="E37" s="224" t="s">
        <v>161</v>
      </c>
      <c r="F37" s="226">
        <v>3141</v>
      </c>
      <c r="G37" s="176" t="s">
        <v>316</v>
      </c>
      <c r="H37" s="227" t="s">
        <v>279</v>
      </c>
      <c r="I37" s="494">
        <v>1296020</v>
      </c>
      <c r="J37" s="489">
        <v>927119</v>
      </c>
      <c r="K37" s="489">
        <v>23400</v>
      </c>
      <c r="L37" s="489">
        <v>321275</v>
      </c>
      <c r="M37" s="489">
        <v>18542</v>
      </c>
      <c r="N37" s="489">
        <v>5684</v>
      </c>
      <c r="O37" s="490">
        <v>2.91</v>
      </c>
      <c r="P37" s="491">
        <v>0</v>
      </c>
      <c r="Q37" s="500">
        <v>2.91</v>
      </c>
      <c r="R37" s="502">
        <f t="shared" si="1"/>
        <v>0</v>
      </c>
      <c r="S37" s="492">
        <v>0</v>
      </c>
      <c r="T37" s="492">
        <v>0</v>
      </c>
      <c r="U37" s="492">
        <v>0</v>
      </c>
      <c r="V37" s="492">
        <f t="shared" si="2"/>
        <v>0</v>
      </c>
      <c r="W37" s="492">
        <v>0</v>
      </c>
      <c r="X37" s="492">
        <v>0</v>
      </c>
      <c r="Y37" s="492">
        <v>0</v>
      </c>
      <c r="Z37" s="492">
        <f t="shared" si="3"/>
        <v>0</v>
      </c>
      <c r="AA37" s="492">
        <f t="shared" si="4"/>
        <v>0</v>
      </c>
      <c r="AB37" s="74">
        <f t="shared" si="5"/>
        <v>0</v>
      </c>
      <c r="AC37" s="74">
        <f t="shared" si="6"/>
        <v>0</v>
      </c>
      <c r="AD37" s="492">
        <v>0</v>
      </c>
      <c r="AE37" s="492">
        <v>0</v>
      </c>
      <c r="AF37" s="492">
        <f t="shared" si="7"/>
        <v>0</v>
      </c>
      <c r="AG37" s="492">
        <f t="shared" si="8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43"/>
        <v>0</v>
      </c>
      <c r="AP37" s="493">
        <f t="shared" si="44"/>
        <v>0</v>
      </c>
      <c r="AQ37" s="495">
        <f t="shared" si="18"/>
        <v>0</v>
      </c>
      <c r="AR37" s="501">
        <f t="shared" si="10"/>
        <v>1296020</v>
      </c>
      <c r="AS37" s="492">
        <f t="shared" si="11"/>
        <v>927119</v>
      </c>
      <c r="AT37" s="492">
        <f t="shared" si="45"/>
        <v>23400</v>
      </c>
      <c r="AU37" s="492">
        <f t="shared" si="46"/>
        <v>321275</v>
      </c>
      <c r="AV37" s="492">
        <f t="shared" si="46"/>
        <v>18542</v>
      </c>
      <c r="AW37" s="492">
        <f t="shared" si="13"/>
        <v>5684</v>
      </c>
      <c r="AX37" s="493">
        <f t="shared" si="14"/>
        <v>2.91</v>
      </c>
      <c r="AY37" s="493">
        <f t="shared" si="47"/>
        <v>0</v>
      </c>
      <c r="AZ37" s="495">
        <f t="shared" si="47"/>
        <v>2.91</v>
      </c>
    </row>
    <row r="38" spans="1:52" s="238" customFormat="1" x14ac:dyDescent="0.2">
      <c r="A38" s="166">
        <v>7</v>
      </c>
      <c r="B38" s="20">
        <v>4423</v>
      </c>
      <c r="C38" s="20">
        <v>600074439</v>
      </c>
      <c r="D38" s="20">
        <v>70982155</v>
      </c>
      <c r="E38" s="175" t="s">
        <v>162</v>
      </c>
      <c r="F38" s="20"/>
      <c r="G38" s="165"/>
      <c r="H38" s="199"/>
      <c r="I38" s="553">
        <v>8710583</v>
      </c>
      <c r="J38" s="550">
        <v>6307167</v>
      </c>
      <c r="K38" s="550">
        <v>71500</v>
      </c>
      <c r="L38" s="550">
        <v>2155989</v>
      </c>
      <c r="M38" s="550">
        <v>126143</v>
      </c>
      <c r="N38" s="550">
        <v>49784</v>
      </c>
      <c r="O38" s="551">
        <v>14.5282</v>
      </c>
      <c r="P38" s="551">
        <v>8.59</v>
      </c>
      <c r="Q38" s="555">
        <v>5.9382000000000001</v>
      </c>
      <c r="R38" s="553">
        <f t="shared" ref="R38:AZ38" si="48">SUM(R35:R37)</f>
        <v>0</v>
      </c>
      <c r="S38" s="550">
        <f t="shared" si="48"/>
        <v>0</v>
      </c>
      <c r="T38" s="550">
        <f t="shared" si="48"/>
        <v>0</v>
      </c>
      <c r="U38" s="550">
        <f t="shared" si="48"/>
        <v>0</v>
      </c>
      <c r="V38" s="550">
        <f t="shared" si="48"/>
        <v>0</v>
      </c>
      <c r="W38" s="550">
        <f t="shared" si="48"/>
        <v>0</v>
      </c>
      <c r="X38" s="550">
        <f t="shared" si="48"/>
        <v>0</v>
      </c>
      <c r="Y38" s="550">
        <f t="shared" si="48"/>
        <v>0</v>
      </c>
      <c r="Z38" s="550">
        <f t="shared" si="48"/>
        <v>0</v>
      </c>
      <c r="AA38" s="550">
        <f t="shared" si="48"/>
        <v>0</v>
      </c>
      <c r="AB38" s="550">
        <f t="shared" si="48"/>
        <v>0</v>
      </c>
      <c r="AC38" s="550">
        <f t="shared" si="48"/>
        <v>0</v>
      </c>
      <c r="AD38" s="550">
        <f t="shared" si="48"/>
        <v>0</v>
      </c>
      <c r="AE38" s="550">
        <f t="shared" si="48"/>
        <v>0</v>
      </c>
      <c r="AF38" s="550">
        <f t="shared" si="48"/>
        <v>0</v>
      </c>
      <c r="AG38" s="550">
        <f t="shared" si="48"/>
        <v>0</v>
      </c>
      <c r="AH38" s="551">
        <f t="shared" si="48"/>
        <v>0</v>
      </c>
      <c r="AI38" s="551">
        <f t="shared" si="48"/>
        <v>0</v>
      </c>
      <c r="AJ38" s="551">
        <f t="shared" si="48"/>
        <v>0</v>
      </c>
      <c r="AK38" s="551">
        <f t="shared" si="48"/>
        <v>0</v>
      </c>
      <c r="AL38" s="551">
        <f t="shared" si="48"/>
        <v>0</v>
      </c>
      <c r="AM38" s="551">
        <f t="shared" si="48"/>
        <v>0</v>
      </c>
      <c r="AN38" s="551">
        <f t="shared" si="48"/>
        <v>0</v>
      </c>
      <c r="AO38" s="551">
        <f t="shared" si="48"/>
        <v>0</v>
      </c>
      <c r="AP38" s="551">
        <f t="shared" si="48"/>
        <v>0</v>
      </c>
      <c r="AQ38" s="44">
        <f t="shared" si="48"/>
        <v>0</v>
      </c>
      <c r="AR38" s="557">
        <f t="shared" si="48"/>
        <v>8710583</v>
      </c>
      <c r="AS38" s="550">
        <f t="shared" si="48"/>
        <v>6307167</v>
      </c>
      <c r="AT38" s="550">
        <f t="shared" si="48"/>
        <v>71500</v>
      </c>
      <c r="AU38" s="550">
        <f t="shared" si="48"/>
        <v>2155989</v>
      </c>
      <c r="AV38" s="550">
        <f t="shared" si="48"/>
        <v>126143</v>
      </c>
      <c r="AW38" s="550">
        <f t="shared" si="48"/>
        <v>49784</v>
      </c>
      <c r="AX38" s="551">
        <f t="shared" si="48"/>
        <v>14.5282</v>
      </c>
      <c r="AY38" s="551">
        <f t="shared" si="48"/>
        <v>8.59</v>
      </c>
      <c r="AZ38" s="44">
        <f t="shared" si="48"/>
        <v>5.9382000000000001</v>
      </c>
    </row>
    <row r="39" spans="1:52" s="238" customFormat="1" x14ac:dyDescent="0.2">
      <c r="A39" s="225">
        <v>8</v>
      </c>
      <c r="B39" s="226">
        <v>4404</v>
      </c>
      <c r="C39" s="226">
        <v>600074331</v>
      </c>
      <c r="D39" s="226">
        <v>831298</v>
      </c>
      <c r="E39" s="224" t="s">
        <v>163</v>
      </c>
      <c r="F39" s="226">
        <v>3111</v>
      </c>
      <c r="G39" s="176" t="s">
        <v>312</v>
      </c>
      <c r="H39" s="227" t="s">
        <v>278</v>
      </c>
      <c r="I39" s="494">
        <v>21865254</v>
      </c>
      <c r="J39" s="489">
        <v>16006630</v>
      </c>
      <c r="K39" s="489">
        <v>0</v>
      </c>
      <c r="L39" s="489">
        <v>5410241</v>
      </c>
      <c r="M39" s="489">
        <v>320133</v>
      </c>
      <c r="N39" s="489">
        <v>128250</v>
      </c>
      <c r="O39" s="490">
        <v>35.580800000000004</v>
      </c>
      <c r="P39" s="491">
        <v>26</v>
      </c>
      <c r="Q39" s="500">
        <v>9.5808000000000035</v>
      </c>
      <c r="R39" s="502">
        <f t="shared" si="1"/>
        <v>0</v>
      </c>
      <c r="S39" s="492">
        <v>0</v>
      </c>
      <c r="T39" s="492">
        <v>0</v>
      </c>
      <c r="U39" s="492">
        <v>0</v>
      </c>
      <c r="V39" s="492">
        <f t="shared" si="2"/>
        <v>0</v>
      </c>
      <c r="W39" s="492">
        <v>0</v>
      </c>
      <c r="X39" s="492">
        <v>0</v>
      </c>
      <c r="Y39" s="492">
        <v>0</v>
      </c>
      <c r="Z39" s="492">
        <f t="shared" si="3"/>
        <v>0</v>
      </c>
      <c r="AA39" s="492">
        <f t="shared" si="4"/>
        <v>0</v>
      </c>
      <c r="AB39" s="74">
        <f t="shared" si="5"/>
        <v>0</v>
      </c>
      <c r="AC39" s="74">
        <f t="shared" si="6"/>
        <v>0</v>
      </c>
      <c r="AD39" s="492">
        <v>0</v>
      </c>
      <c r="AE39" s="492">
        <v>0</v>
      </c>
      <c r="AF39" s="492">
        <f t="shared" si="7"/>
        <v>0</v>
      </c>
      <c r="AG39" s="492">
        <f t="shared" si="8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ref="AO39:AO41" si="49">AH39+AJ39+AM39+AK39</f>
        <v>0</v>
      </c>
      <c r="AP39" s="493">
        <f t="shared" ref="AP39:AP41" si="50">AI39+AN39+AL39</f>
        <v>0</v>
      </c>
      <c r="AQ39" s="495">
        <f t="shared" si="18"/>
        <v>0</v>
      </c>
      <c r="AR39" s="501">
        <f t="shared" si="10"/>
        <v>21865254</v>
      </c>
      <c r="AS39" s="492">
        <f t="shared" si="11"/>
        <v>16006630</v>
      </c>
      <c r="AT39" s="492">
        <f t="shared" ref="AT39:AT41" si="51">K39+Z39</f>
        <v>0</v>
      </c>
      <c r="AU39" s="492">
        <f t="shared" ref="AU39:AV41" si="52">L39+AB39</f>
        <v>5410241</v>
      </c>
      <c r="AV39" s="492">
        <f t="shared" si="52"/>
        <v>320133</v>
      </c>
      <c r="AW39" s="492">
        <f t="shared" si="13"/>
        <v>128250</v>
      </c>
      <c r="AX39" s="493">
        <f t="shared" si="14"/>
        <v>35.580800000000004</v>
      </c>
      <c r="AY39" s="493">
        <f t="shared" ref="AY39:AZ41" si="53">P39+AO39</f>
        <v>26</v>
      </c>
      <c r="AZ39" s="495">
        <f t="shared" si="53"/>
        <v>9.5808000000000035</v>
      </c>
    </row>
    <row r="40" spans="1:52" s="238" customFormat="1" x14ac:dyDescent="0.2">
      <c r="A40" s="225">
        <v>8</v>
      </c>
      <c r="B40" s="226">
        <v>4404</v>
      </c>
      <c r="C40" s="226">
        <v>600074331</v>
      </c>
      <c r="D40" s="226">
        <v>831298</v>
      </c>
      <c r="E40" s="224" t="s">
        <v>163</v>
      </c>
      <c r="F40" s="226">
        <v>3111</v>
      </c>
      <c r="G40" s="176" t="s">
        <v>313</v>
      </c>
      <c r="H40" s="227" t="s">
        <v>279</v>
      </c>
      <c r="I40" s="494">
        <v>431265</v>
      </c>
      <c r="J40" s="489">
        <v>317574</v>
      </c>
      <c r="K40" s="489">
        <v>0</v>
      </c>
      <c r="L40" s="489">
        <v>107340</v>
      </c>
      <c r="M40" s="489">
        <v>6351</v>
      </c>
      <c r="N40" s="489">
        <v>0</v>
      </c>
      <c r="O40" s="490">
        <v>0.91999999999999993</v>
      </c>
      <c r="P40" s="491">
        <v>0.91999999999999993</v>
      </c>
      <c r="Q40" s="500">
        <v>0</v>
      </c>
      <c r="R40" s="502">
        <f t="shared" si="1"/>
        <v>0</v>
      </c>
      <c r="S40" s="492">
        <v>0</v>
      </c>
      <c r="T40" s="492">
        <v>0</v>
      </c>
      <c r="U40" s="492">
        <v>0</v>
      </c>
      <c r="V40" s="492">
        <f t="shared" si="2"/>
        <v>0</v>
      </c>
      <c r="W40" s="492">
        <v>0</v>
      </c>
      <c r="X40" s="492">
        <v>0</v>
      </c>
      <c r="Y40" s="492">
        <v>0</v>
      </c>
      <c r="Z40" s="492">
        <f t="shared" si="3"/>
        <v>0</v>
      </c>
      <c r="AA40" s="492">
        <f t="shared" si="4"/>
        <v>0</v>
      </c>
      <c r="AB40" s="74">
        <f t="shared" si="5"/>
        <v>0</v>
      </c>
      <c r="AC40" s="74">
        <f t="shared" si="6"/>
        <v>0</v>
      </c>
      <c r="AD40" s="492">
        <v>0</v>
      </c>
      <c r="AE40" s="492">
        <v>0</v>
      </c>
      <c r="AF40" s="492">
        <f t="shared" si="7"/>
        <v>0</v>
      </c>
      <c r="AG40" s="492">
        <f t="shared" si="8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49"/>
        <v>0</v>
      </c>
      <c r="AP40" s="493">
        <f t="shared" si="50"/>
        <v>0</v>
      </c>
      <c r="AQ40" s="495">
        <f t="shared" si="18"/>
        <v>0</v>
      </c>
      <c r="AR40" s="501">
        <f t="shared" si="10"/>
        <v>431265</v>
      </c>
      <c r="AS40" s="492">
        <f t="shared" si="11"/>
        <v>317574</v>
      </c>
      <c r="AT40" s="492">
        <f t="shared" si="51"/>
        <v>0</v>
      </c>
      <c r="AU40" s="492">
        <f t="shared" si="52"/>
        <v>107340</v>
      </c>
      <c r="AV40" s="492">
        <f t="shared" si="52"/>
        <v>6351</v>
      </c>
      <c r="AW40" s="492">
        <f t="shared" si="13"/>
        <v>0</v>
      </c>
      <c r="AX40" s="493">
        <f t="shared" si="14"/>
        <v>0.91999999999999993</v>
      </c>
      <c r="AY40" s="493">
        <f t="shared" si="53"/>
        <v>0.91999999999999993</v>
      </c>
      <c r="AZ40" s="495">
        <f t="shared" si="53"/>
        <v>0</v>
      </c>
    </row>
    <row r="41" spans="1:52" s="238" customFormat="1" x14ac:dyDescent="0.2">
      <c r="A41" s="225">
        <v>8</v>
      </c>
      <c r="B41" s="226">
        <v>4404</v>
      </c>
      <c r="C41" s="226">
        <v>600074331</v>
      </c>
      <c r="D41" s="226">
        <v>831298</v>
      </c>
      <c r="E41" s="224" t="s">
        <v>163</v>
      </c>
      <c r="F41" s="226">
        <v>3141</v>
      </c>
      <c r="G41" s="176" t="s">
        <v>316</v>
      </c>
      <c r="H41" s="227" t="s">
        <v>279</v>
      </c>
      <c r="I41" s="494">
        <v>3475786</v>
      </c>
      <c r="J41" s="489">
        <v>2547274</v>
      </c>
      <c r="K41" s="489">
        <v>0</v>
      </c>
      <c r="L41" s="489">
        <v>860979</v>
      </c>
      <c r="M41" s="489">
        <v>50945</v>
      </c>
      <c r="N41" s="489">
        <v>16588</v>
      </c>
      <c r="O41" s="490">
        <v>8.0299999999999994</v>
      </c>
      <c r="P41" s="491">
        <v>0</v>
      </c>
      <c r="Q41" s="500">
        <v>8.0299999999999994</v>
      </c>
      <c r="R41" s="502">
        <f t="shared" si="1"/>
        <v>0</v>
      </c>
      <c r="S41" s="492">
        <v>0</v>
      </c>
      <c r="T41" s="492">
        <v>0</v>
      </c>
      <c r="U41" s="492">
        <v>0</v>
      </c>
      <c r="V41" s="492">
        <f t="shared" si="2"/>
        <v>0</v>
      </c>
      <c r="W41" s="492">
        <v>0</v>
      </c>
      <c r="X41" s="492">
        <v>0</v>
      </c>
      <c r="Y41" s="492">
        <v>0</v>
      </c>
      <c r="Z41" s="492">
        <f t="shared" si="3"/>
        <v>0</v>
      </c>
      <c r="AA41" s="492">
        <f t="shared" si="4"/>
        <v>0</v>
      </c>
      <c r="AB41" s="74">
        <f t="shared" si="5"/>
        <v>0</v>
      </c>
      <c r="AC41" s="74">
        <f t="shared" si="6"/>
        <v>0</v>
      </c>
      <c r="AD41" s="492">
        <v>0</v>
      </c>
      <c r="AE41" s="492">
        <v>0</v>
      </c>
      <c r="AF41" s="492">
        <f t="shared" si="7"/>
        <v>0</v>
      </c>
      <c r="AG41" s="492">
        <f t="shared" si="8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49"/>
        <v>0</v>
      </c>
      <c r="AP41" s="493">
        <f t="shared" si="50"/>
        <v>0</v>
      </c>
      <c r="AQ41" s="495">
        <f t="shared" si="18"/>
        <v>0</v>
      </c>
      <c r="AR41" s="501">
        <f t="shared" si="10"/>
        <v>3475786</v>
      </c>
      <c r="AS41" s="492">
        <f t="shared" si="11"/>
        <v>2547274</v>
      </c>
      <c r="AT41" s="492">
        <f t="shared" si="51"/>
        <v>0</v>
      </c>
      <c r="AU41" s="492">
        <f t="shared" si="52"/>
        <v>860979</v>
      </c>
      <c r="AV41" s="492">
        <f t="shared" si="52"/>
        <v>50945</v>
      </c>
      <c r="AW41" s="492">
        <f t="shared" si="13"/>
        <v>16588</v>
      </c>
      <c r="AX41" s="493">
        <f t="shared" si="14"/>
        <v>8.0299999999999994</v>
      </c>
      <c r="AY41" s="493">
        <f t="shared" si="53"/>
        <v>0</v>
      </c>
      <c r="AZ41" s="495">
        <f t="shared" si="53"/>
        <v>8.0299999999999994</v>
      </c>
    </row>
    <row r="42" spans="1:52" s="238" customFormat="1" x14ac:dyDescent="0.2">
      <c r="A42" s="166">
        <v>8</v>
      </c>
      <c r="B42" s="20">
        <v>4404</v>
      </c>
      <c r="C42" s="20">
        <v>600074331</v>
      </c>
      <c r="D42" s="20">
        <v>831298</v>
      </c>
      <c r="E42" s="175" t="s">
        <v>164</v>
      </c>
      <c r="F42" s="20"/>
      <c r="G42" s="165"/>
      <c r="H42" s="199"/>
      <c r="I42" s="553">
        <v>25772305</v>
      </c>
      <c r="J42" s="550">
        <v>18871478</v>
      </c>
      <c r="K42" s="550">
        <v>0</v>
      </c>
      <c r="L42" s="550">
        <v>6378560</v>
      </c>
      <c r="M42" s="550">
        <v>377429</v>
      </c>
      <c r="N42" s="550">
        <v>144838</v>
      </c>
      <c r="O42" s="551">
        <v>44.530800000000006</v>
      </c>
      <c r="P42" s="551">
        <v>26.92</v>
      </c>
      <c r="Q42" s="555">
        <v>17.610800000000005</v>
      </c>
      <c r="R42" s="553">
        <f t="shared" ref="R42:AZ42" si="54">SUM(R39:R41)</f>
        <v>0</v>
      </c>
      <c r="S42" s="550">
        <f t="shared" si="54"/>
        <v>0</v>
      </c>
      <c r="T42" s="550">
        <f t="shared" si="54"/>
        <v>0</v>
      </c>
      <c r="U42" s="550">
        <f t="shared" si="54"/>
        <v>0</v>
      </c>
      <c r="V42" s="550">
        <f t="shared" si="54"/>
        <v>0</v>
      </c>
      <c r="W42" s="550">
        <f t="shared" si="54"/>
        <v>0</v>
      </c>
      <c r="X42" s="550">
        <f t="shared" si="54"/>
        <v>0</v>
      </c>
      <c r="Y42" s="550">
        <f t="shared" si="54"/>
        <v>0</v>
      </c>
      <c r="Z42" s="550">
        <f t="shared" si="54"/>
        <v>0</v>
      </c>
      <c r="AA42" s="550">
        <f t="shared" si="54"/>
        <v>0</v>
      </c>
      <c r="AB42" s="550">
        <f t="shared" si="54"/>
        <v>0</v>
      </c>
      <c r="AC42" s="550">
        <f t="shared" si="54"/>
        <v>0</v>
      </c>
      <c r="AD42" s="550">
        <f t="shared" si="54"/>
        <v>0</v>
      </c>
      <c r="AE42" s="550">
        <f t="shared" si="54"/>
        <v>0</v>
      </c>
      <c r="AF42" s="550">
        <f t="shared" si="54"/>
        <v>0</v>
      </c>
      <c r="AG42" s="550">
        <f t="shared" si="54"/>
        <v>0</v>
      </c>
      <c r="AH42" s="551">
        <f t="shared" si="54"/>
        <v>0</v>
      </c>
      <c r="AI42" s="551">
        <f t="shared" si="54"/>
        <v>0</v>
      </c>
      <c r="AJ42" s="551">
        <f t="shared" si="54"/>
        <v>0</v>
      </c>
      <c r="AK42" s="551">
        <f t="shared" si="54"/>
        <v>0</v>
      </c>
      <c r="AL42" s="551">
        <f t="shared" si="54"/>
        <v>0</v>
      </c>
      <c r="AM42" s="551">
        <f t="shared" si="54"/>
        <v>0</v>
      </c>
      <c r="AN42" s="551">
        <f t="shared" si="54"/>
        <v>0</v>
      </c>
      <c r="AO42" s="551">
        <f t="shared" si="54"/>
        <v>0</v>
      </c>
      <c r="AP42" s="551">
        <f t="shared" si="54"/>
        <v>0</v>
      </c>
      <c r="AQ42" s="44">
        <f t="shared" si="54"/>
        <v>0</v>
      </c>
      <c r="AR42" s="557">
        <f t="shared" si="54"/>
        <v>25772305</v>
      </c>
      <c r="AS42" s="550">
        <f t="shared" si="54"/>
        <v>18871478</v>
      </c>
      <c r="AT42" s="550">
        <f t="shared" si="54"/>
        <v>0</v>
      </c>
      <c r="AU42" s="550">
        <f t="shared" si="54"/>
        <v>6378560</v>
      </c>
      <c r="AV42" s="550">
        <f t="shared" si="54"/>
        <v>377429</v>
      </c>
      <c r="AW42" s="550">
        <f t="shared" si="54"/>
        <v>144838</v>
      </c>
      <c r="AX42" s="551">
        <f t="shared" si="54"/>
        <v>44.530800000000006</v>
      </c>
      <c r="AY42" s="551">
        <f t="shared" si="54"/>
        <v>26.92</v>
      </c>
      <c r="AZ42" s="44">
        <f t="shared" si="54"/>
        <v>17.610800000000005</v>
      </c>
    </row>
    <row r="43" spans="1:52" s="238" customFormat="1" x14ac:dyDescent="0.2">
      <c r="A43" s="225">
        <v>9</v>
      </c>
      <c r="B43" s="226">
        <v>4480</v>
      </c>
      <c r="C43" s="226">
        <v>600075249</v>
      </c>
      <c r="D43" s="226">
        <v>49864548</v>
      </c>
      <c r="E43" s="224" t="s">
        <v>165</v>
      </c>
      <c r="F43" s="226">
        <v>3141</v>
      </c>
      <c r="G43" s="176" t="s">
        <v>316</v>
      </c>
      <c r="H43" s="227" t="s">
        <v>279</v>
      </c>
      <c r="I43" s="494">
        <v>4636784</v>
      </c>
      <c r="J43" s="489">
        <v>3385599</v>
      </c>
      <c r="K43" s="489">
        <v>0</v>
      </c>
      <c r="L43" s="489">
        <v>1144333</v>
      </c>
      <c r="M43" s="489">
        <v>67712</v>
      </c>
      <c r="N43" s="489">
        <v>39140</v>
      </c>
      <c r="O43" s="490">
        <v>10.66</v>
      </c>
      <c r="P43" s="491">
        <v>0</v>
      </c>
      <c r="Q43" s="500">
        <v>10.66</v>
      </c>
      <c r="R43" s="502">
        <f t="shared" si="1"/>
        <v>0</v>
      </c>
      <c r="S43" s="492">
        <v>0</v>
      </c>
      <c r="T43" s="492">
        <v>0</v>
      </c>
      <c r="U43" s="492">
        <v>0</v>
      </c>
      <c r="V43" s="492">
        <f t="shared" si="2"/>
        <v>0</v>
      </c>
      <c r="W43" s="492">
        <v>0</v>
      </c>
      <c r="X43" s="492">
        <v>0</v>
      </c>
      <c r="Y43" s="492">
        <v>0</v>
      </c>
      <c r="Z43" s="492">
        <f t="shared" si="3"/>
        <v>0</v>
      </c>
      <c r="AA43" s="492">
        <f t="shared" si="4"/>
        <v>0</v>
      </c>
      <c r="AB43" s="74">
        <f t="shared" si="5"/>
        <v>0</v>
      </c>
      <c r="AC43" s="74">
        <f t="shared" si="6"/>
        <v>0</v>
      </c>
      <c r="AD43" s="492">
        <v>0</v>
      </c>
      <c r="AE43" s="492">
        <v>0</v>
      </c>
      <c r="AF43" s="492">
        <f t="shared" si="7"/>
        <v>0</v>
      </c>
      <c r="AG43" s="492">
        <f t="shared" si="8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>AH43+AJ43+AM43+AK43</f>
        <v>0</v>
      </c>
      <c r="AP43" s="493">
        <f>AI43+AN43+AL43</f>
        <v>0</v>
      </c>
      <c r="AQ43" s="495">
        <f t="shared" si="18"/>
        <v>0</v>
      </c>
      <c r="AR43" s="501">
        <f t="shared" si="10"/>
        <v>4636784</v>
      </c>
      <c r="AS43" s="492">
        <f t="shared" si="11"/>
        <v>3385599</v>
      </c>
      <c r="AT43" s="492">
        <f>K43+Z43</f>
        <v>0</v>
      </c>
      <c r="AU43" s="492">
        <f>L43+AB43</f>
        <v>1144333</v>
      </c>
      <c r="AV43" s="492">
        <f>M43+AC43</f>
        <v>67712</v>
      </c>
      <c r="AW43" s="492">
        <f t="shared" si="13"/>
        <v>39140</v>
      </c>
      <c r="AX43" s="493">
        <f t="shared" si="14"/>
        <v>10.66</v>
      </c>
      <c r="AY43" s="493">
        <f>P43+AO43</f>
        <v>0</v>
      </c>
      <c r="AZ43" s="495">
        <f>Q43+AP43</f>
        <v>10.66</v>
      </c>
    </row>
    <row r="44" spans="1:52" s="238" customFormat="1" x14ac:dyDescent="0.2">
      <c r="A44" s="166">
        <v>9</v>
      </c>
      <c r="B44" s="20">
        <v>4480</v>
      </c>
      <c r="C44" s="20">
        <v>600075249</v>
      </c>
      <c r="D44" s="20">
        <v>49864548</v>
      </c>
      <c r="E44" s="175" t="s">
        <v>166</v>
      </c>
      <c r="F44" s="20"/>
      <c r="G44" s="165"/>
      <c r="H44" s="199"/>
      <c r="I44" s="553">
        <v>4636784</v>
      </c>
      <c r="J44" s="550">
        <v>3385599</v>
      </c>
      <c r="K44" s="550">
        <v>0</v>
      </c>
      <c r="L44" s="550">
        <v>1144333</v>
      </c>
      <c r="M44" s="550">
        <v>67712</v>
      </c>
      <c r="N44" s="550">
        <v>39140</v>
      </c>
      <c r="O44" s="551">
        <v>10.66</v>
      </c>
      <c r="P44" s="551">
        <v>0</v>
      </c>
      <c r="Q44" s="555">
        <v>10.66</v>
      </c>
      <c r="R44" s="553">
        <f t="shared" ref="R44:AZ44" si="55">SUM(R43)</f>
        <v>0</v>
      </c>
      <c r="S44" s="550">
        <f t="shared" si="55"/>
        <v>0</v>
      </c>
      <c r="T44" s="550">
        <f t="shared" si="55"/>
        <v>0</v>
      </c>
      <c r="U44" s="550">
        <f t="shared" si="55"/>
        <v>0</v>
      </c>
      <c r="V44" s="550">
        <f t="shared" si="55"/>
        <v>0</v>
      </c>
      <c r="W44" s="550">
        <f t="shared" si="55"/>
        <v>0</v>
      </c>
      <c r="X44" s="550">
        <f t="shared" si="55"/>
        <v>0</v>
      </c>
      <c r="Y44" s="550">
        <f t="shared" si="55"/>
        <v>0</v>
      </c>
      <c r="Z44" s="550">
        <f t="shared" si="55"/>
        <v>0</v>
      </c>
      <c r="AA44" s="550">
        <f t="shared" si="55"/>
        <v>0</v>
      </c>
      <c r="AB44" s="550">
        <f t="shared" si="55"/>
        <v>0</v>
      </c>
      <c r="AC44" s="550">
        <f t="shared" si="55"/>
        <v>0</v>
      </c>
      <c r="AD44" s="550">
        <f t="shared" si="55"/>
        <v>0</v>
      </c>
      <c r="AE44" s="550">
        <f t="shared" si="55"/>
        <v>0</v>
      </c>
      <c r="AF44" s="550">
        <f t="shared" si="55"/>
        <v>0</v>
      </c>
      <c r="AG44" s="550">
        <f t="shared" si="55"/>
        <v>0</v>
      </c>
      <c r="AH44" s="551">
        <f t="shared" si="55"/>
        <v>0</v>
      </c>
      <c r="AI44" s="551">
        <f t="shared" si="55"/>
        <v>0</v>
      </c>
      <c r="AJ44" s="551">
        <f t="shared" si="55"/>
        <v>0</v>
      </c>
      <c r="AK44" s="551">
        <f t="shared" si="55"/>
        <v>0</v>
      </c>
      <c r="AL44" s="551">
        <f t="shared" si="55"/>
        <v>0</v>
      </c>
      <c r="AM44" s="551">
        <f t="shared" si="55"/>
        <v>0</v>
      </c>
      <c r="AN44" s="551">
        <f t="shared" si="55"/>
        <v>0</v>
      </c>
      <c r="AO44" s="551">
        <f t="shared" si="55"/>
        <v>0</v>
      </c>
      <c r="AP44" s="551">
        <f t="shared" si="55"/>
        <v>0</v>
      </c>
      <c r="AQ44" s="44">
        <f t="shared" si="55"/>
        <v>0</v>
      </c>
      <c r="AR44" s="557">
        <f t="shared" si="55"/>
        <v>4636784</v>
      </c>
      <c r="AS44" s="550">
        <f t="shared" si="55"/>
        <v>3385599</v>
      </c>
      <c r="AT44" s="550">
        <f t="shared" si="55"/>
        <v>0</v>
      </c>
      <c r="AU44" s="550">
        <f t="shared" si="55"/>
        <v>1144333</v>
      </c>
      <c r="AV44" s="550">
        <f t="shared" si="55"/>
        <v>67712</v>
      </c>
      <c r="AW44" s="550">
        <f t="shared" si="55"/>
        <v>39140</v>
      </c>
      <c r="AX44" s="551">
        <f t="shared" si="55"/>
        <v>10.66</v>
      </c>
      <c r="AY44" s="551">
        <f t="shared" si="55"/>
        <v>0</v>
      </c>
      <c r="AZ44" s="44">
        <f t="shared" si="55"/>
        <v>10.66</v>
      </c>
    </row>
    <row r="45" spans="1:52" s="238" customFormat="1" x14ac:dyDescent="0.2">
      <c r="A45" s="225">
        <v>10</v>
      </c>
      <c r="B45" s="226">
        <v>4439</v>
      </c>
      <c r="C45" s="226">
        <v>600074951</v>
      </c>
      <c r="D45" s="226">
        <v>48283088</v>
      </c>
      <c r="E45" s="224" t="s">
        <v>167</v>
      </c>
      <c r="F45" s="226">
        <v>3111</v>
      </c>
      <c r="G45" s="176" t="s">
        <v>312</v>
      </c>
      <c r="H45" s="227" t="s">
        <v>278</v>
      </c>
      <c r="I45" s="494">
        <v>4611818</v>
      </c>
      <c r="J45" s="489">
        <v>3373504</v>
      </c>
      <c r="K45" s="489">
        <v>0</v>
      </c>
      <c r="L45" s="489">
        <v>1140244</v>
      </c>
      <c r="M45" s="489">
        <v>67470</v>
      </c>
      <c r="N45" s="489">
        <v>30600</v>
      </c>
      <c r="O45" s="490">
        <v>7.5327999999999999</v>
      </c>
      <c r="P45" s="491">
        <v>6</v>
      </c>
      <c r="Q45" s="500">
        <v>1.5327999999999999</v>
      </c>
      <c r="R45" s="502">
        <f t="shared" si="1"/>
        <v>0</v>
      </c>
      <c r="S45" s="492">
        <v>0</v>
      </c>
      <c r="T45" s="492">
        <v>0</v>
      </c>
      <c r="U45" s="492">
        <v>0</v>
      </c>
      <c r="V45" s="492">
        <f t="shared" si="2"/>
        <v>0</v>
      </c>
      <c r="W45" s="492">
        <v>0</v>
      </c>
      <c r="X45" s="492">
        <v>0</v>
      </c>
      <c r="Y45" s="492">
        <v>0</v>
      </c>
      <c r="Z45" s="492">
        <f t="shared" si="3"/>
        <v>0</v>
      </c>
      <c r="AA45" s="492">
        <f t="shared" si="4"/>
        <v>0</v>
      </c>
      <c r="AB45" s="74">
        <f t="shared" si="5"/>
        <v>0</v>
      </c>
      <c r="AC45" s="74">
        <f t="shared" si="6"/>
        <v>0</v>
      </c>
      <c r="AD45" s="492">
        <v>0</v>
      </c>
      <c r="AE45" s="492">
        <v>0</v>
      </c>
      <c r="AF45" s="492">
        <f t="shared" si="7"/>
        <v>0</v>
      </c>
      <c r="AG45" s="492">
        <f t="shared" si="8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ref="AO45:AO50" si="56">AH45+AJ45+AM45+AK45</f>
        <v>0</v>
      </c>
      <c r="AP45" s="493">
        <f t="shared" ref="AP45:AP50" si="57">AI45+AN45+AL45</f>
        <v>0</v>
      </c>
      <c r="AQ45" s="495">
        <f t="shared" si="18"/>
        <v>0</v>
      </c>
      <c r="AR45" s="501">
        <f t="shared" si="10"/>
        <v>4611818</v>
      </c>
      <c r="AS45" s="492">
        <f t="shared" si="11"/>
        <v>3373504</v>
      </c>
      <c r="AT45" s="492">
        <f t="shared" ref="AT45:AT50" si="58">K45+Z45</f>
        <v>0</v>
      </c>
      <c r="AU45" s="492">
        <f t="shared" ref="AU45:AV50" si="59">L45+AB45</f>
        <v>1140244</v>
      </c>
      <c r="AV45" s="492">
        <f t="shared" si="59"/>
        <v>67470</v>
      </c>
      <c r="AW45" s="492">
        <f t="shared" si="13"/>
        <v>30600</v>
      </c>
      <c r="AX45" s="493">
        <f t="shared" si="14"/>
        <v>7.5327999999999999</v>
      </c>
      <c r="AY45" s="493">
        <f t="shared" ref="AY45:AZ50" si="60">P45+AO45</f>
        <v>6</v>
      </c>
      <c r="AZ45" s="495">
        <f t="shared" si="60"/>
        <v>1.5327999999999999</v>
      </c>
    </row>
    <row r="46" spans="1:52" s="238" customFormat="1" x14ac:dyDescent="0.2">
      <c r="A46" s="225">
        <v>10</v>
      </c>
      <c r="B46" s="226">
        <v>4439</v>
      </c>
      <c r="C46" s="226">
        <v>600074951</v>
      </c>
      <c r="D46" s="226">
        <v>48283088</v>
      </c>
      <c r="E46" s="224" t="s">
        <v>167</v>
      </c>
      <c r="F46" s="226">
        <v>3113</v>
      </c>
      <c r="G46" s="176" t="s">
        <v>315</v>
      </c>
      <c r="H46" s="227" t="s">
        <v>278</v>
      </c>
      <c r="I46" s="494">
        <v>22882136</v>
      </c>
      <c r="J46" s="489">
        <v>16449367</v>
      </c>
      <c r="K46" s="489">
        <v>9750</v>
      </c>
      <c r="L46" s="489">
        <v>5563182</v>
      </c>
      <c r="M46" s="489">
        <v>328987</v>
      </c>
      <c r="N46" s="489">
        <v>530850</v>
      </c>
      <c r="O46" s="490">
        <v>31.454800000000002</v>
      </c>
      <c r="P46" s="491">
        <v>23.752600000000001</v>
      </c>
      <c r="Q46" s="500">
        <v>7.7021999999999995</v>
      </c>
      <c r="R46" s="502">
        <f t="shared" si="1"/>
        <v>0</v>
      </c>
      <c r="S46" s="492">
        <v>0</v>
      </c>
      <c r="T46" s="492">
        <v>0</v>
      </c>
      <c r="U46" s="492">
        <v>0</v>
      </c>
      <c r="V46" s="492">
        <f t="shared" si="2"/>
        <v>0</v>
      </c>
      <c r="W46" s="492">
        <v>0</v>
      </c>
      <c r="X46" s="492">
        <v>0</v>
      </c>
      <c r="Y46" s="492">
        <v>0</v>
      </c>
      <c r="Z46" s="492">
        <f t="shared" si="3"/>
        <v>0</v>
      </c>
      <c r="AA46" s="492">
        <f t="shared" si="4"/>
        <v>0</v>
      </c>
      <c r="AB46" s="74">
        <f t="shared" si="5"/>
        <v>0</v>
      </c>
      <c r="AC46" s="74">
        <f t="shared" si="6"/>
        <v>0</v>
      </c>
      <c r="AD46" s="492">
        <v>0</v>
      </c>
      <c r="AE46" s="492">
        <v>0</v>
      </c>
      <c r="AF46" s="492">
        <f t="shared" si="7"/>
        <v>0</v>
      </c>
      <c r="AG46" s="492">
        <f t="shared" si="8"/>
        <v>0</v>
      </c>
      <c r="AH46" s="493">
        <v>0</v>
      </c>
      <c r="AI46" s="493">
        <v>0</v>
      </c>
      <c r="AJ46" s="493">
        <v>0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56"/>
        <v>0</v>
      </c>
      <c r="AP46" s="493">
        <f t="shared" si="57"/>
        <v>0</v>
      </c>
      <c r="AQ46" s="495">
        <f t="shared" si="18"/>
        <v>0</v>
      </c>
      <c r="AR46" s="501">
        <f t="shared" si="10"/>
        <v>22882136</v>
      </c>
      <c r="AS46" s="492">
        <f t="shared" si="11"/>
        <v>16449367</v>
      </c>
      <c r="AT46" s="492">
        <f t="shared" si="58"/>
        <v>9750</v>
      </c>
      <c r="AU46" s="492">
        <f t="shared" si="59"/>
        <v>5563182</v>
      </c>
      <c r="AV46" s="492">
        <f t="shared" si="59"/>
        <v>328987</v>
      </c>
      <c r="AW46" s="492">
        <f t="shared" si="13"/>
        <v>530850</v>
      </c>
      <c r="AX46" s="493">
        <f t="shared" si="14"/>
        <v>31.454800000000002</v>
      </c>
      <c r="AY46" s="493">
        <f t="shared" si="60"/>
        <v>23.752600000000001</v>
      </c>
      <c r="AZ46" s="495">
        <f t="shared" si="60"/>
        <v>7.7021999999999995</v>
      </c>
    </row>
    <row r="47" spans="1:52" s="238" customFormat="1" x14ac:dyDescent="0.2">
      <c r="A47" s="225">
        <v>10</v>
      </c>
      <c r="B47" s="226">
        <v>4439</v>
      </c>
      <c r="C47" s="226">
        <v>600074951</v>
      </c>
      <c r="D47" s="226">
        <v>48283088</v>
      </c>
      <c r="E47" s="224" t="s">
        <v>167</v>
      </c>
      <c r="F47" s="226">
        <v>3113</v>
      </c>
      <c r="G47" s="176" t="s">
        <v>313</v>
      </c>
      <c r="H47" s="227" t="s">
        <v>279</v>
      </c>
      <c r="I47" s="494">
        <v>2731360</v>
      </c>
      <c r="J47" s="489">
        <v>2011311</v>
      </c>
      <c r="K47" s="489">
        <v>0</v>
      </c>
      <c r="L47" s="489">
        <v>679823</v>
      </c>
      <c r="M47" s="489">
        <v>40226</v>
      </c>
      <c r="N47" s="489">
        <v>0</v>
      </c>
      <c r="O47" s="490">
        <v>5.81</v>
      </c>
      <c r="P47" s="491">
        <v>5.81</v>
      </c>
      <c r="Q47" s="500">
        <v>0</v>
      </c>
      <c r="R47" s="502">
        <f t="shared" si="1"/>
        <v>0</v>
      </c>
      <c r="S47" s="492">
        <v>129917</v>
      </c>
      <c r="T47" s="492">
        <v>0</v>
      </c>
      <c r="U47" s="492">
        <v>0</v>
      </c>
      <c r="V47" s="492">
        <f t="shared" si="2"/>
        <v>129917</v>
      </c>
      <c r="W47" s="492">
        <v>0</v>
      </c>
      <c r="X47" s="492">
        <v>0</v>
      </c>
      <c r="Y47" s="492">
        <v>0</v>
      </c>
      <c r="Z47" s="492">
        <f t="shared" si="3"/>
        <v>0</v>
      </c>
      <c r="AA47" s="492">
        <f t="shared" si="4"/>
        <v>129917</v>
      </c>
      <c r="AB47" s="74">
        <f t="shared" si="5"/>
        <v>43912</v>
      </c>
      <c r="AC47" s="74">
        <f t="shared" si="6"/>
        <v>2598</v>
      </c>
      <c r="AD47" s="492">
        <v>2500</v>
      </c>
      <c r="AE47" s="492">
        <v>0</v>
      </c>
      <c r="AF47" s="492">
        <f t="shared" si="7"/>
        <v>2500</v>
      </c>
      <c r="AG47" s="492">
        <f t="shared" si="8"/>
        <v>178927</v>
      </c>
      <c r="AH47" s="493">
        <v>0</v>
      </c>
      <c r="AI47" s="493">
        <v>0</v>
      </c>
      <c r="AJ47" s="493">
        <v>0.38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56"/>
        <v>0.38</v>
      </c>
      <c r="AP47" s="493">
        <f t="shared" si="57"/>
        <v>0</v>
      </c>
      <c r="AQ47" s="495">
        <f t="shared" si="18"/>
        <v>0.38</v>
      </c>
      <c r="AR47" s="501">
        <f t="shared" si="10"/>
        <v>2910287</v>
      </c>
      <c r="AS47" s="492">
        <f t="shared" si="11"/>
        <v>2141228</v>
      </c>
      <c r="AT47" s="492">
        <f t="shared" si="58"/>
        <v>0</v>
      </c>
      <c r="AU47" s="492">
        <f t="shared" si="59"/>
        <v>723735</v>
      </c>
      <c r="AV47" s="492">
        <f t="shared" si="59"/>
        <v>42824</v>
      </c>
      <c r="AW47" s="492">
        <f t="shared" si="13"/>
        <v>2500</v>
      </c>
      <c r="AX47" s="493">
        <f t="shared" si="14"/>
        <v>6.1899999999999995</v>
      </c>
      <c r="AY47" s="493">
        <f t="shared" si="60"/>
        <v>6.1899999999999995</v>
      </c>
      <c r="AZ47" s="495">
        <f t="shared" si="60"/>
        <v>0</v>
      </c>
    </row>
    <row r="48" spans="1:52" s="238" customFormat="1" x14ac:dyDescent="0.2">
      <c r="A48" s="225">
        <v>10</v>
      </c>
      <c r="B48" s="226">
        <v>4439</v>
      </c>
      <c r="C48" s="226">
        <v>600074951</v>
      </c>
      <c r="D48" s="226">
        <v>48283088</v>
      </c>
      <c r="E48" s="224" t="s">
        <v>167</v>
      </c>
      <c r="F48" s="226">
        <v>3141</v>
      </c>
      <c r="G48" s="176" t="s">
        <v>316</v>
      </c>
      <c r="H48" s="227" t="s">
        <v>279</v>
      </c>
      <c r="I48" s="494">
        <v>2928421</v>
      </c>
      <c r="J48" s="489">
        <v>2141811</v>
      </c>
      <c r="K48" s="489">
        <v>0</v>
      </c>
      <c r="L48" s="489">
        <v>723932</v>
      </c>
      <c r="M48" s="489">
        <v>42836</v>
      </c>
      <c r="N48" s="489">
        <v>19842</v>
      </c>
      <c r="O48" s="490">
        <v>6.75</v>
      </c>
      <c r="P48" s="491">
        <v>0</v>
      </c>
      <c r="Q48" s="500">
        <v>6.75</v>
      </c>
      <c r="R48" s="502">
        <f t="shared" si="1"/>
        <v>0</v>
      </c>
      <c r="S48" s="492">
        <v>0</v>
      </c>
      <c r="T48" s="492">
        <v>0</v>
      </c>
      <c r="U48" s="492">
        <v>0</v>
      </c>
      <c r="V48" s="492">
        <f t="shared" si="2"/>
        <v>0</v>
      </c>
      <c r="W48" s="492">
        <v>0</v>
      </c>
      <c r="X48" s="492">
        <v>0</v>
      </c>
      <c r="Y48" s="492">
        <v>0</v>
      </c>
      <c r="Z48" s="492">
        <f t="shared" si="3"/>
        <v>0</v>
      </c>
      <c r="AA48" s="492">
        <f t="shared" si="4"/>
        <v>0</v>
      </c>
      <c r="AB48" s="74">
        <f t="shared" si="5"/>
        <v>0</v>
      </c>
      <c r="AC48" s="74">
        <f t="shared" si="6"/>
        <v>0</v>
      </c>
      <c r="AD48" s="492">
        <v>0</v>
      </c>
      <c r="AE48" s="492">
        <v>0</v>
      </c>
      <c r="AF48" s="492">
        <f t="shared" si="7"/>
        <v>0</v>
      </c>
      <c r="AG48" s="492">
        <f t="shared" si="8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56"/>
        <v>0</v>
      </c>
      <c r="AP48" s="493">
        <f t="shared" si="57"/>
        <v>0</v>
      </c>
      <c r="AQ48" s="495">
        <f t="shared" si="18"/>
        <v>0</v>
      </c>
      <c r="AR48" s="501">
        <f t="shared" si="10"/>
        <v>2928421</v>
      </c>
      <c r="AS48" s="492">
        <f t="shared" si="11"/>
        <v>2141811</v>
      </c>
      <c r="AT48" s="492">
        <f t="shared" si="58"/>
        <v>0</v>
      </c>
      <c r="AU48" s="492">
        <f t="shared" si="59"/>
        <v>723932</v>
      </c>
      <c r="AV48" s="492">
        <f t="shared" si="59"/>
        <v>42836</v>
      </c>
      <c r="AW48" s="492">
        <f t="shared" si="13"/>
        <v>19842</v>
      </c>
      <c r="AX48" s="493">
        <f t="shared" si="14"/>
        <v>6.75</v>
      </c>
      <c r="AY48" s="493">
        <f t="shared" si="60"/>
        <v>0</v>
      </c>
      <c r="AZ48" s="495">
        <f t="shared" si="60"/>
        <v>6.75</v>
      </c>
    </row>
    <row r="49" spans="1:52" s="238" customFormat="1" x14ac:dyDescent="0.2">
      <c r="A49" s="225">
        <v>10</v>
      </c>
      <c r="B49" s="226">
        <v>4439</v>
      </c>
      <c r="C49" s="226">
        <v>600074951</v>
      </c>
      <c r="D49" s="226">
        <v>48283088</v>
      </c>
      <c r="E49" s="224" t="s">
        <v>167</v>
      </c>
      <c r="F49" s="226">
        <v>3143</v>
      </c>
      <c r="G49" s="176" t="s">
        <v>629</v>
      </c>
      <c r="H49" s="243" t="s">
        <v>278</v>
      </c>
      <c r="I49" s="494">
        <v>2030756</v>
      </c>
      <c r="J49" s="489">
        <v>1495402</v>
      </c>
      <c r="K49" s="489">
        <v>0</v>
      </c>
      <c r="L49" s="489">
        <v>505446</v>
      </c>
      <c r="M49" s="489">
        <v>29908</v>
      </c>
      <c r="N49" s="489">
        <v>0</v>
      </c>
      <c r="O49" s="490">
        <v>3.2498999999999998</v>
      </c>
      <c r="P49" s="491">
        <v>3.2498999999999998</v>
      </c>
      <c r="Q49" s="500">
        <v>0</v>
      </c>
      <c r="R49" s="502">
        <f t="shared" si="1"/>
        <v>0</v>
      </c>
      <c r="S49" s="492">
        <v>0</v>
      </c>
      <c r="T49" s="492">
        <v>0</v>
      </c>
      <c r="U49" s="492">
        <v>0</v>
      </c>
      <c r="V49" s="492">
        <f t="shared" si="2"/>
        <v>0</v>
      </c>
      <c r="W49" s="492">
        <v>0</v>
      </c>
      <c r="X49" s="492">
        <v>0</v>
      </c>
      <c r="Y49" s="492">
        <v>0</v>
      </c>
      <c r="Z49" s="492">
        <f t="shared" si="3"/>
        <v>0</v>
      </c>
      <c r="AA49" s="492">
        <f t="shared" si="4"/>
        <v>0</v>
      </c>
      <c r="AB49" s="74">
        <f t="shared" si="5"/>
        <v>0</v>
      </c>
      <c r="AC49" s="74">
        <f t="shared" si="6"/>
        <v>0</v>
      </c>
      <c r="AD49" s="492">
        <v>0</v>
      </c>
      <c r="AE49" s="492">
        <v>0</v>
      </c>
      <c r="AF49" s="492">
        <f t="shared" si="7"/>
        <v>0</v>
      </c>
      <c r="AG49" s="492">
        <f t="shared" si="8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si="56"/>
        <v>0</v>
      </c>
      <c r="AP49" s="493">
        <f t="shared" si="57"/>
        <v>0</v>
      </c>
      <c r="AQ49" s="495">
        <f t="shared" si="18"/>
        <v>0</v>
      </c>
      <c r="AR49" s="501">
        <f t="shared" si="10"/>
        <v>2030756</v>
      </c>
      <c r="AS49" s="492">
        <f t="shared" si="11"/>
        <v>1495402</v>
      </c>
      <c r="AT49" s="492">
        <f t="shared" si="58"/>
        <v>0</v>
      </c>
      <c r="AU49" s="492">
        <f t="shared" si="59"/>
        <v>505446</v>
      </c>
      <c r="AV49" s="492">
        <f t="shared" si="59"/>
        <v>29908</v>
      </c>
      <c r="AW49" s="492">
        <f t="shared" si="13"/>
        <v>0</v>
      </c>
      <c r="AX49" s="493">
        <f t="shared" si="14"/>
        <v>3.2498999999999998</v>
      </c>
      <c r="AY49" s="493">
        <f t="shared" si="60"/>
        <v>3.2498999999999998</v>
      </c>
      <c r="AZ49" s="495">
        <f t="shared" si="60"/>
        <v>0</v>
      </c>
    </row>
    <row r="50" spans="1:52" s="238" customFormat="1" x14ac:dyDescent="0.2">
      <c r="A50" s="225">
        <v>10</v>
      </c>
      <c r="B50" s="226">
        <v>4439</v>
      </c>
      <c r="C50" s="226">
        <v>600074951</v>
      </c>
      <c r="D50" s="226">
        <v>48283088</v>
      </c>
      <c r="E50" s="224" t="s">
        <v>167</v>
      </c>
      <c r="F50" s="226">
        <v>3143</v>
      </c>
      <c r="G50" s="176" t="s">
        <v>630</v>
      </c>
      <c r="H50" s="243" t="s">
        <v>279</v>
      </c>
      <c r="I50" s="494">
        <v>70308</v>
      </c>
      <c r="J50" s="489">
        <v>49719</v>
      </c>
      <c r="K50" s="489">
        <v>0</v>
      </c>
      <c r="L50" s="489">
        <v>16805</v>
      </c>
      <c r="M50" s="489">
        <v>994</v>
      </c>
      <c r="N50" s="489">
        <v>2790</v>
      </c>
      <c r="O50" s="490">
        <v>0.19</v>
      </c>
      <c r="P50" s="491">
        <v>0</v>
      </c>
      <c r="Q50" s="500">
        <v>0.19</v>
      </c>
      <c r="R50" s="502">
        <f t="shared" si="1"/>
        <v>0</v>
      </c>
      <c r="S50" s="492">
        <v>0</v>
      </c>
      <c r="T50" s="492">
        <v>0</v>
      </c>
      <c r="U50" s="492">
        <v>0</v>
      </c>
      <c r="V50" s="492">
        <f t="shared" si="2"/>
        <v>0</v>
      </c>
      <c r="W50" s="492">
        <v>0</v>
      </c>
      <c r="X50" s="492">
        <v>0</v>
      </c>
      <c r="Y50" s="492">
        <v>0</v>
      </c>
      <c r="Z50" s="492">
        <f t="shared" si="3"/>
        <v>0</v>
      </c>
      <c r="AA50" s="492">
        <f t="shared" si="4"/>
        <v>0</v>
      </c>
      <c r="AB50" s="74">
        <f t="shared" si="5"/>
        <v>0</v>
      </c>
      <c r="AC50" s="74">
        <f t="shared" si="6"/>
        <v>0</v>
      </c>
      <c r="AD50" s="492">
        <v>0</v>
      </c>
      <c r="AE50" s="492">
        <v>0</v>
      </c>
      <c r="AF50" s="492">
        <f t="shared" si="7"/>
        <v>0</v>
      </c>
      <c r="AG50" s="492">
        <f t="shared" si="8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56"/>
        <v>0</v>
      </c>
      <c r="AP50" s="493">
        <f t="shared" si="57"/>
        <v>0</v>
      </c>
      <c r="AQ50" s="495">
        <f t="shared" si="18"/>
        <v>0</v>
      </c>
      <c r="AR50" s="501">
        <f t="shared" si="10"/>
        <v>70308</v>
      </c>
      <c r="AS50" s="492">
        <f t="shared" si="11"/>
        <v>49719</v>
      </c>
      <c r="AT50" s="492">
        <f t="shared" si="58"/>
        <v>0</v>
      </c>
      <c r="AU50" s="492">
        <f t="shared" si="59"/>
        <v>16805</v>
      </c>
      <c r="AV50" s="492">
        <f t="shared" si="59"/>
        <v>994</v>
      </c>
      <c r="AW50" s="492">
        <f t="shared" si="13"/>
        <v>2790</v>
      </c>
      <c r="AX50" s="493">
        <f t="shared" si="14"/>
        <v>0.19</v>
      </c>
      <c r="AY50" s="493">
        <f t="shared" si="60"/>
        <v>0</v>
      </c>
      <c r="AZ50" s="495">
        <f t="shared" si="60"/>
        <v>0.19</v>
      </c>
    </row>
    <row r="51" spans="1:52" s="238" customFormat="1" x14ac:dyDescent="0.2">
      <c r="A51" s="166">
        <v>10</v>
      </c>
      <c r="B51" s="20">
        <v>4439</v>
      </c>
      <c r="C51" s="20">
        <v>600074951</v>
      </c>
      <c r="D51" s="20">
        <v>48283088</v>
      </c>
      <c r="E51" s="175" t="s">
        <v>168</v>
      </c>
      <c r="F51" s="20"/>
      <c r="G51" s="165"/>
      <c r="H51" s="199"/>
      <c r="I51" s="553">
        <v>35254799</v>
      </c>
      <c r="J51" s="550">
        <v>25521114</v>
      </c>
      <c r="K51" s="550">
        <v>9750</v>
      </c>
      <c r="L51" s="550">
        <v>8629432</v>
      </c>
      <c r="M51" s="550">
        <v>510421</v>
      </c>
      <c r="N51" s="550">
        <v>584082</v>
      </c>
      <c r="O51" s="551">
        <v>54.987499999999997</v>
      </c>
      <c r="P51" s="551">
        <v>38.8125</v>
      </c>
      <c r="Q51" s="555">
        <v>16.175000000000001</v>
      </c>
      <c r="R51" s="553">
        <f t="shared" ref="R51:AZ51" si="61">SUM(R45:R50)</f>
        <v>0</v>
      </c>
      <c r="S51" s="550">
        <f t="shared" si="61"/>
        <v>129917</v>
      </c>
      <c r="T51" s="550">
        <f t="shared" si="61"/>
        <v>0</v>
      </c>
      <c r="U51" s="550">
        <f t="shared" si="61"/>
        <v>0</v>
      </c>
      <c r="V51" s="550">
        <f t="shared" si="61"/>
        <v>129917</v>
      </c>
      <c r="W51" s="550">
        <f t="shared" si="61"/>
        <v>0</v>
      </c>
      <c r="X51" s="550">
        <f t="shared" si="61"/>
        <v>0</v>
      </c>
      <c r="Y51" s="550">
        <f t="shared" si="61"/>
        <v>0</v>
      </c>
      <c r="Z51" s="550">
        <f t="shared" si="61"/>
        <v>0</v>
      </c>
      <c r="AA51" s="550">
        <f t="shared" si="61"/>
        <v>129917</v>
      </c>
      <c r="AB51" s="550">
        <f t="shared" si="61"/>
        <v>43912</v>
      </c>
      <c r="AC51" s="550">
        <f t="shared" si="61"/>
        <v>2598</v>
      </c>
      <c r="AD51" s="550">
        <f t="shared" si="61"/>
        <v>2500</v>
      </c>
      <c r="AE51" s="550">
        <f t="shared" si="61"/>
        <v>0</v>
      </c>
      <c r="AF51" s="550">
        <f t="shared" si="61"/>
        <v>2500</v>
      </c>
      <c r="AG51" s="550">
        <f t="shared" si="61"/>
        <v>178927</v>
      </c>
      <c r="AH51" s="551">
        <f t="shared" si="61"/>
        <v>0</v>
      </c>
      <c r="AI51" s="551">
        <f t="shared" si="61"/>
        <v>0</v>
      </c>
      <c r="AJ51" s="551">
        <f t="shared" si="61"/>
        <v>0.38</v>
      </c>
      <c r="AK51" s="551">
        <f t="shared" si="61"/>
        <v>0</v>
      </c>
      <c r="AL51" s="551">
        <f t="shared" si="61"/>
        <v>0</v>
      </c>
      <c r="AM51" s="551">
        <f t="shared" si="61"/>
        <v>0</v>
      </c>
      <c r="AN51" s="551">
        <f t="shared" si="61"/>
        <v>0</v>
      </c>
      <c r="AO51" s="551">
        <f t="shared" si="61"/>
        <v>0.38</v>
      </c>
      <c r="AP51" s="551">
        <f t="shared" si="61"/>
        <v>0</v>
      </c>
      <c r="AQ51" s="44">
        <f t="shared" si="61"/>
        <v>0.38</v>
      </c>
      <c r="AR51" s="557">
        <f t="shared" si="61"/>
        <v>35433726</v>
      </c>
      <c r="AS51" s="550">
        <f t="shared" si="61"/>
        <v>25651031</v>
      </c>
      <c r="AT51" s="550">
        <f t="shared" si="61"/>
        <v>9750</v>
      </c>
      <c r="AU51" s="550">
        <f t="shared" si="61"/>
        <v>8673344</v>
      </c>
      <c r="AV51" s="550">
        <f t="shared" si="61"/>
        <v>513019</v>
      </c>
      <c r="AW51" s="550">
        <f t="shared" si="61"/>
        <v>586582</v>
      </c>
      <c r="AX51" s="551">
        <f t="shared" si="61"/>
        <v>55.367499999999993</v>
      </c>
      <c r="AY51" s="551">
        <f t="shared" si="61"/>
        <v>39.192499999999995</v>
      </c>
      <c r="AZ51" s="44">
        <f t="shared" si="61"/>
        <v>16.175000000000001</v>
      </c>
    </row>
    <row r="52" spans="1:52" s="238" customFormat="1" x14ac:dyDescent="0.2">
      <c r="A52" s="225">
        <v>11</v>
      </c>
      <c r="B52" s="226">
        <v>4443</v>
      </c>
      <c r="C52" s="226">
        <v>600074994</v>
      </c>
      <c r="D52" s="226">
        <v>46750045</v>
      </c>
      <c r="E52" s="224" t="s">
        <v>169</v>
      </c>
      <c r="F52" s="226">
        <v>3113</v>
      </c>
      <c r="G52" s="176" t="s">
        <v>315</v>
      </c>
      <c r="H52" s="227" t="s">
        <v>278</v>
      </c>
      <c r="I52" s="494">
        <v>54735343</v>
      </c>
      <c r="J52" s="489">
        <v>39274714</v>
      </c>
      <c r="K52" s="489">
        <v>105950</v>
      </c>
      <c r="L52" s="489">
        <v>13310665</v>
      </c>
      <c r="M52" s="489">
        <v>785494</v>
      </c>
      <c r="N52" s="489">
        <v>1258520</v>
      </c>
      <c r="O52" s="490">
        <v>65.535200000000003</v>
      </c>
      <c r="P52" s="491">
        <v>52.008400000000002</v>
      </c>
      <c r="Q52" s="500">
        <v>13.5268</v>
      </c>
      <c r="R52" s="502">
        <f t="shared" si="1"/>
        <v>0</v>
      </c>
      <c r="S52" s="492">
        <v>0</v>
      </c>
      <c r="T52" s="492">
        <v>0</v>
      </c>
      <c r="U52" s="492">
        <v>0</v>
      </c>
      <c r="V52" s="492">
        <f t="shared" si="2"/>
        <v>0</v>
      </c>
      <c r="W52" s="492">
        <v>0</v>
      </c>
      <c r="X52" s="492">
        <v>0</v>
      </c>
      <c r="Y52" s="492">
        <v>0</v>
      </c>
      <c r="Z52" s="492">
        <f t="shared" si="3"/>
        <v>0</v>
      </c>
      <c r="AA52" s="492">
        <f t="shared" si="4"/>
        <v>0</v>
      </c>
      <c r="AB52" s="74">
        <f t="shared" si="5"/>
        <v>0</v>
      </c>
      <c r="AC52" s="74">
        <f t="shared" si="6"/>
        <v>0</v>
      </c>
      <c r="AD52" s="492">
        <v>0</v>
      </c>
      <c r="AE52" s="492">
        <v>0</v>
      </c>
      <c r="AF52" s="492">
        <f t="shared" si="7"/>
        <v>0</v>
      </c>
      <c r="AG52" s="492">
        <f t="shared" si="8"/>
        <v>0</v>
      </c>
      <c r="AH52" s="493">
        <v>0</v>
      </c>
      <c r="AI52" s="493">
        <v>0</v>
      </c>
      <c r="AJ52" s="493">
        <v>0</v>
      </c>
      <c r="AK52" s="493">
        <v>0</v>
      </c>
      <c r="AL52" s="493">
        <v>0</v>
      </c>
      <c r="AM52" s="493">
        <v>0</v>
      </c>
      <c r="AN52" s="493">
        <v>0</v>
      </c>
      <c r="AO52" s="493">
        <f t="shared" ref="AO52:AO56" si="62">AH52+AJ52+AM52+AK52</f>
        <v>0</v>
      </c>
      <c r="AP52" s="493">
        <f t="shared" ref="AP52:AP56" si="63">AI52+AN52+AL52</f>
        <v>0</v>
      </c>
      <c r="AQ52" s="495">
        <f t="shared" si="18"/>
        <v>0</v>
      </c>
      <c r="AR52" s="501">
        <f t="shared" si="10"/>
        <v>54735343</v>
      </c>
      <c r="AS52" s="492">
        <f t="shared" si="11"/>
        <v>39274714</v>
      </c>
      <c r="AT52" s="492">
        <f t="shared" ref="AT52:AT56" si="64">K52+Z52</f>
        <v>105950</v>
      </c>
      <c r="AU52" s="492">
        <f t="shared" ref="AU52:AV56" si="65">L52+AB52</f>
        <v>13310665</v>
      </c>
      <c r="AV52" s="492">
        <f t="shared" si="65"/>
        <v>785494</v>
      </c>
      <c r="AW52" s="492">
        <f t="shared" si="13"/>
        <v>1258520</v>
      </c>
      <c r="AX52" s="493">
        <f t="shared" si="14"/>
        <v>65.535200000000003</v>
      </c>
      <c r="AY52" s="493">
        <f t="shared" ref="AY52:AZ56" si="66">P52+AO52</f>
        <v>52.008400000000002</v>
      </c>
      <c r="AZ52" s="495">
        <f t="shared" si="66"/>
        <v>13.5268</v>
      </c>
    </row>
    <row r="53" spans="1:52" s="238" customFormat="1" x14ac:dyDescent="0.2">
      <c r="A53" s="225">
        <v>11</v>
      </c>
      <c r="B53" s="226">
        <v>4443</v>
      </c>
      <c r="C53" s="226">
        <v>600074994</v>
      </c>
      <c r="D53" s="226">
        <v>46750045</v>
      </c>
      <c r="E53" s="224" t="s">
        <v>169</v>
      </c>
      <c r="F53" s="226">
        <v>3113</v>
      </c>
      <c r="G53" s="176" t="s">
        <v>313</v>
      </c>
      <c r="H53" s="227" t="s">
        <v>279</v>
      </c>
      <c r="I53" s="494">
        <v>7281671</v>
      </c>
      <c r="J53" s="489">
        <v>5349721</v>
      </c>
      <c r="K53" s="489">
        <v>0</v>
      </c>
      <c r="L53" s="489">
        <v>1808206</v>
      </c>
      <c r="M53" s="489">
        <v>106994</v>
      </c>
      <c r="N53" s="489">
        <v>16750</v>
      </c>
      <c r="O53" s="490">
        <v>15.430000000000001</v>
      </c>
      <c r="P53" s="491">
        <v>15.430000000000001</v>
      </c>
      <c r="Q53" s="500">
        <v>0</v>
      </c>
      <c r="R53" s="502">
        <f t="shared" si="1"/>
        <v>0</v>
      </c>
      <c r="S53" s="492">
        <v>0</v>
      </c>
      <c r="T53" s="492">
        <v>0</v>
      </c>
      <c r="U53" s="492">
        <v>0</v>
      </c>
      <c r="V53" s="492">
        <f t="shared" si="2"/>
        <v>0</v>
      </c>
      <c r="W53" s="492">
        <v>0</v>
      </c>
      <c r="X53" s="492">
        <v>0</v>
      </c>
      <c r="Y53" s="492">
        <v>0</v>
      </c>
      <c r="Z53" s="492">
        <f t="shared" si="3"/>
        <v>0</v>
      </c>
      <c r="AA53" s="492">
        <f t="shared" si="4"/>
        <v>0</v>
      </c>
      <c r="AB53" s="74">
        <f t="shared" si="5"/>
        <v>0</v>
      </c>
      <c r="AC53" s="74">
        <f t="shared" si="6"/>
        <v>0</v>
      </c>
      <c r="AD53" s="492">
        <v>0</v>
      </c>
      <c r="AE53" s="492">
        <v>0</v>
      </c>
      <c r="AF53" s="492">
        <f t="shared" si="7"/>
        <v>0</v>
      </c>
      <c r="AG53" s="492">
        <f t="shared" si="8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si="62"/>
        <v>0</v>
      </c>
      <c r="AP53" s="493">
        <f t="shared" si="63"/>
        <v>0</v>
      </c>
      <c r="AQ53" s="495">
        <f t="shared" si="18"/>
        <v>0</v>
      </c>
      <c r="AR53" s="501">
        <f t="shared" si="10"/>
        <v>7281671</v>
      </c>
      <c r="AS53" s="492">
        <f t="shared" si="11"/>
        <v>5349721</v>
      </c>
      <c r="AT53" s="492">
        <f t="shared" si="64"/>
        <v>0</v>
      </c>
      <c r="AU53" s="492">
        <f t="shared" si="65"/>
        <v>1808206</v>
      </c>
      <c r="AV53" s="492">
        <f t="shared" si="65"/>
        <v>106994</v>
      </c>
      <c r="AW53" s="492">
        <f t="shared" si="13"/>
        <v>16750</v>
      </c>
      <c r="AX53" s="493">
        <f t="shared" si="14"/>
        <v>15.430000000000001</v>
      </c>
      <c r="AY53" s="493">
        <f t="shared" si="66"/>
        <v>15.430000000000001</v>
      </c>
      <c r="AZ53" s="495">
        <f t="shared" si="66"/>
        <v>0</v>
      </c>
    </row>
    <row r="54" spans="1:52" s="238" customFormat="1" x14ac:dyDescent="0.2">
      <c r="A54" s="225">
        <v>11</v>
      </c>
      <c r="B54" s="226">
        <v>4443</v>
      </c>
      <c r="C54" s="226">
        <v>600074994</v>
      </c>
      <c r="D54" s="226">
        <v>46750045</v>
      </c>
      <c r="E54" s="224" t="s">
        <v>169</v>
      </c>
      <c r="F54" s="226">
        <v>3143</v>
      </c>
      <c r="G54" s="176" t="s">
        <v>629</v>
      </c>
      <c r="H54" s="243" t="s">
        <v>278</v>
      </c>
      <c r="I54" s="494">
        <v>4882529</v>
      </c>
      <c r="J54" s="489">
        <v>3565282</v>
      </c>
      <c r="K54" s="489">
        <v>30550</v>
      </c>
      <c r="L54" s="489">
        <v>1215391</v>
      </c>
      <c r="M54" s="489">
        <v>71306</v>
      </c>
      <c r="N54" s="489">
        <v>0</v>
      </c>
      <c r="O54" s="490">
        <v>7.1784999999999997</v>
      </c>
      <c r="P54" s="491">
        <v>7.1784999999999997</v>
      </c>
      <c r="Q54" s="500">
        <v>0</v>
      </c>
      <c r="R54" s="502">
        <f t="shared" si="1"/>
        <v>0</v>
      </c>
      <c r="S54" s="492">
        <v>0</v>
      </c>
      <c r="T54" s="492">
        <v>0</v>
      </c>
      <c r="U54" s="492">
        <v>0</v>
      </c>
      <c r="V54" s="492">
        <f t="shared" si="2"/>
        <v>0</v>
      </c>
      <c r="W54" s="492">
        <v>0</v>
      </c>
      <c r="X54" s="492">
        <v>0</v>
      </c>
      <c r="Y54" s="492">
        <v>0</v>
      </c>
      <c r="Z54" s="492">
        <f t="shared" si="3"/>
        <v>0</v>
      </c>
      <c r="AA54" s="492">
        <f t="shared" si="4"/>
        <v>0</v>
      </c>
      <c r="AB54" s="74">
        <f t="shared" si="5"/>
        <v>0</v>
      </c>
      <c r="AC54" s="74">
        <f t="shared" si="6"/>
        <v>0</v>
      </c>
      <c r="AD54" s="492">
        <v>0</v>
      </c>
      <c r="AE54" s="492">
        <v>0</v>
      </c>
      <c r="AF54" s="492">
        <f t="shared" si="7"/>
        <v>0</v>
      </c>
      <c r="AG54" s="492">
        <f t="shared" si="8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62"/>
        <v>0</v>
      </c>
      <c r="AP54" s="493">
        <f t="shared" si="63"/>
        <v>0</v>
      </c>
      <c r="AQ54" s="495">
        <f t="shared" si="18"/>
        <v>0</v>
      </c>
      <c r="AR54" s="501">
        <f t="shared" si="10"/>
        <v>4882529</v>
      </c>
      <c r="AS54" s="492">
        <f t="shared" si="11"/>
        <v>3565282</v>
      </c>
      <c r="AT54" s="492">
        <f t="shared" si="64"/>
        <v>30550</v>
      </c>
      <c r="AU54" s="492">
        <f t="shared" si="65"/>
        <v>1215391</v>
      </c>
      <c r="AV54" s="492">
        <f t="shared" si="65"/>
        <v>71306</v>
      </c>
      <c r="AW54" s="492">
        <f t="shared" si="13"/>
        <v>0</v>
      </c>
      <c r="AX54" s="493">
        <f t="shared" si="14"/>
        <v>7.1784999999999997</v>
      </c>
      <c r="AY54" s="493">
        <f t="shared" si="66"/>
        <v>7.1784999999999997</v>
      </c>
      <c r="AZ54" s="495">
        <f t="shared" si="66"/>
        <v>0</v>
      </c>
    </row>
    <row r="55" spans="1:52" s="238" customFormat="1" x14ac:dyDescent="0.2">
      <c r="A55" s="225">
        <v>11</v>
      </c>
      <c r="B55" s="226">
        <v>4443</v>
      </c>
      <c r="C55" s="226">
        <v>600074994</v>
      </c>
      <c r="D55" s="226">
        <v>46750045</v>
      </c>
      <c r="E55" s="224" t="s">
        <v>169</v>
      </c>
      <c r="F55" s="226">
        <v>3143</v>
      </c>
      <c r="G55" s="176" t="s">
        <v>630</v>
      </c>
      <c r="H55" s="243" t="s">
        <v>279</v>
      </c>
      <c r="I55" s="494">
        <v>162540</v>
      </c>
      <c r="J55" s="489">
        <v>114941</v>
      </c>
      <c r="K55" s="489">
        <v>0</v>
      </c>
      <c r="L55" s="489">
        <v>38850</v>
      </c>
      <c r="M55" s="489">
        <v>2299</v>
      </c>
      <c r="N55" s="489">
        <v>6450</v>
      </c>
      <c r="O55" s="490">
        <v>0.45</v>
      </c>
      <c r="P55" s="491">
        <v>0</v>
      </c>
      <c r="Q55" s="500">
        <v>0.45</v>
      </c>
      <c r="R55" s="502">
        <f t="shared" si="1"/>
        <v>0</v>
      </c>
      <c r="S55" s="492">
        <v>0</v>
      </c>
      <c r="T55" s="492">
        <v>0</v>
      </c>
      <c r="U55" s="492">
        <v>0</v>
      </c>
      <c r="V55" s="492">
        <f t="shared" si="2"/>
        <v>0</v>
      </c>
      <c r="W55" s="492">
        <v>0</v>
      </c>
      <c r="X55" s="492">
        <v>0</v>
      </c>
      <c r="Y55" s="492">
        <v>0</v>
      </c>
      <c r="Z55" s="492">
        <f t="shared" si="3"/>
        <v>0</v>
      </c>
      <c r="AA55" s="492">
        <f t="shared" si="4"/>
        <v>0</v>
      </c>
      <c r="AB55" s="74">
        <f t="shared" si="5"/>
        <v>0</v>
      </c>
      <c r="AC55" s="74">
        <f t="shared" si="6"/>
        <v>0</v>
      </c>
      <c r="AD55" s="492">
        <v>0</v>
      </c>
      <c r="AE55" s="492">
        <v>0</v>
      </c>
      <c r="AF55" s="492">
        <f t="shared" si="7"/>
        <v>0</v>
      </c>
      <c r="AG55" s="492">
        <f t="shared" si="8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62"/>
        <v>0</v>
      </c>
      <c r="AP55" s="493">
        <f t="shared" si="63"/>
        <v>0</v>
      </c>
      <c r="AQ55" s="495">
        <f t="shared" si="18"/>
        <v>0</v>
      </c>
      <c r="AR55" s="501">
        <f t="shared" si="10"/>
        <v>162540</v>
      </c>
      <c r="AS55" s="492">
        <f t="shared" si="11"/>
        <v>114941</v>
      </c>
      <c r="AT55" s="492">
        <f t="shared" si="64"/>
        <v>0</v>
      </c>
      <c r="AU55" s="492">
        <f t="shared" si="65"/>
        <v>38850</v>
      </c>
      <c r="AV55" s="492">
        <f t="shared" si="65"/>
        <v>2299</v>
      </c>
      <c r="AW55" s="492">
        <f t="shared" si="13"/>
        <v>6450</v>
      </c>
      <c r="AX55" s="493">
        <f t="shared" si="14"/>
        <v>0.45</v>
      </c>
      <c r="AY55" s="493">
        <f t="shared" si="66"/>
        <v>0</v>
      </c>
      <c r="AZ55" s="495">
        <f t="shared" si="66"/>
        <v>0.45</v>
      </c>
    </row>
    <row r="56" spans="1:52" s="238" customFormat="1" x14ac:dyDescent="0.2">
      <c r="A56" s="225">
        <v>11</v>
      </c>
      <c r="B56" s="226">
        <v>4443</v>
      </c>
      <c r="C56" s="226">
        <v>600074994</v>
      </c>
      <c r="D56" s="226">
        <v>46750045</v>
      </c>
      <c r="E56" s="224" t="s">
        <v>169</v>
      </c>
      <c r="F56" s="226">
        <v>3143</v>
      </c>
      <c r="G56" s="176" t="s">
        <v>318</v>
      </c>
      <c r="H56" s="243" t="s">
        <v>279</v>
      </c>
      <c r="I56" s="494">
        <v>402660</v>
      </c>
      <c r="J56" s="489">
        <v>296068</v>
      </c>
      <c r="K56" s="489">
        <v>0</v>
      </c>
      <c r="L56" s="489">
        <v>100071</v>
      </c>
      <c r="M56" s="489">
        <v>5921</v>
      </c>
      <c r="N56" s="489">
        <v>600</v>
      </c>
      <c r="O56" s="490">
        <v>0.62999999999999989</v>
      </c>
      <c r="P56" s="491">
        <v>0.56999999999999995</v>
      </c>
      <c r="Q56" s="500">
        <v>0.06</v>
      </c>
      <c r="R56" s="502">
        <f t="shared" si="1"/>
        <v>0</v>
      </c>
      <c r="S56" s="492">
        <v>0</v>
      </c>
      <c r="T56" s="492">
        <v>0</v>
      </c>
      <c r="U56" s="492">
        <v>0</v>
      </c>
      <c r="V56" s="492">
        <f t="shared" si="2"/>
        <v>0</v>
      </c>
      <c r="W56" s="492">
        <v>0</v>
      </c>
      <c r="X56" s="492">
        <v>0</v>
      </c>
      <c r="Y56" s="492">
        <v>0</v>
      </c>
      <c r="Z56" s="492">
        <f t="shared" si="3"/>
        <v>0</v>
      </c>
      <c r="AA56" s="492">
        <f t="shared" si="4"/>
        <v>0</v>
      </c>
      <c r="AB56" s="74">
        <f t="shared" si="5"/>
        <v>0</v>
      </c>
      <c r="AC56" s="74">
        <f t="shared" si="6"/>
        <v>0</v>
      </c>
      <c r="AD56" s="492">
        <v>0</v>
      </c>
      <c r="AE56" s="492">
        <v>0</v>
      </c>
      <c r="AF56" s="492">
        <f t="shared" si="7"/>
        <v>0</v>
      </c>
      <c r="AG56" s="492">
        <f t="shared" si="8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62"/>
        <v>0</v>
      </c>
      <c r="AP56" s="493">
        <f t="shared" si="63"/>
        <v>0</v>
      </c>
      <c r="AQ56" s="495">
        <f t="shared" si="18"/>
        <v>0</v>
      </c>
      <c r="AR56" s="501">
        <f t="shared" si="10"/>
        <v>402660</v>
      </c>
      <c r="AS56" s="492">
        <f t="shared" si="11"/>
        <v>296068</v>
      </c>
      <c r="AT56" s="492">
        <f t="shared" si="64"/>
        <v>0</v>
      </c>
      <c r="AU56" s="492">
        <f t="shared" si="65"/>
        <v>100071</v>
      </c>
      <c r="AV56" s="492">
        <f t="shared" si="65"/>
        <v>5921</v>
      </c>
      <c r="AW56" s="492">
        <f t="shared" si="13"/>
        <v>600</v>
      </c>
      <c r="AX56" s="493">
        <f t="shared" si="14"/>
        <v>0.62999999999999989</v>
      </c>
      <c r="AY56" s="493">
        <f t="shared" si="66"/>
        <v>0.56999999999999995</v>
      </c>
      <c r="AZ56" s="495">
        <f t="shared" si="66"/>
        <v>0.06</v>
      </c>
    </row>
    <row r="57" spans="1:52" s="238" customFormat="1" x14ac:dyDescent="0.2">
      <c r="A57" s="166">
        <v>11</v>
      </c>
      <c r="B57" s="20">
        <v>4443</v>
      </c>
      <c r="C57" s="20">
        <v>600074994</v>
      </c>
      <c r="D57" s="20">
        <v>46750045</v>
      </c>
      <c r="E57" s="175" t="s">
        <v>170</v>
      </c>
      <c r="F57" s="20"/>
      <c r="G57" s="165"/>
      <c r="H57" s="199"/>
      <c r="I57" s="553">
        <v>67464743</v>
      </c>
      <c r="J57" s="550">
        <v>48600726</v>
      </c>
      <c r="K57" s="550">
        <v>136500</v>
      </c>
      <c r="L57" s="550">
        <v>16473183</v>
      </c>
      <c r="M57" s="550">
        <v>972014</v>
      </c>
      <c r="N57" s="550">
        <v>1282320</v>
      </c>
      <c r="O57" s="551">
        <v>89.223700000000008</v>
      </c>
      <c r="P57" s="551">
        <v>75.186899999999994</v>
      </c>
      <c r="Q57" s="555">
        <v>14.036799999999999</v>
      </c>
      <c r="R57" s="553">
        <f t="shared" ref="R57:AZ57" si="67">SUM(R52:R56)</f>
        <v>0</v>
      </c>
      <c r="S57" s="550">
        <f t="shared" si="67"/>
        <v>0</v>
      </c>
      <c r="T57" s="550">
        <f t="shared" si="67"/>
        <v>0</v>
      </c>
      <c r="U57" s="550">
        <f t="shared" si="67"/>
        <v>0</v>
      </c>
      <c r="V57" s="550">
        <f t="shared" si="67"/>
        <v>0</v>
      </c>
      <c r="W57" s="550">
        <f t="shared" si="67"/>
        <v>0</v>
      </c>
      <c r="X57" s="550">
        <f t="shared" si="67"/>
        <v>0</v>
      </c>
      <c r="Y57" s="550">
        <f t="shared" si="67"/>
        <v>0</v>
      </c>
      <c r="Z57" s="550">
        <f t="shared" si="67"/>
        <v>0</v>
      </c>
      <c r="AA57" s="550">
        <f t="shared" si="67"/>
        <v>0</v>
      </c>
      <c r="AB57" s="550">
        <f t="shared" si="67"/>
        <v>0</v>
      </c>
      <c r="AC57" s="550">
        <f t="shared" si="67"/>
        <v>0</v>
      </c>
      <c r="AD57" s="550">
        <f t="shared" si="67"/>
        <v>0</v>
      </c>
      <c r="AE57" s="550">
        <f t="shared" si="67"/>
        <v>0</v>
      </c>
      <c r="AF57" s="550">
        <f t="shared" si="67"/>
        <v>0</v>
      </c>
      <c r="AG57" s="550">
        <f t="shared" si="67"/>
        <v>0</v>
      </c>
      <c r="AH57" s="551">
        <f t="shared" si="67"/>
        <v>0</v>
      </c>
      <c r="AI57" s="551">
        <f t="shared" si="67"/>
        <v>0</v>
      </c>
      <c r="AJ57" s="551">
        <f t="shared" si="67"/>
        <v>0</v>
      </c>
      <c r="AK57" s="551">
        <f t="shared" si="67"/>
        <v>0</v>
      </c>
      <c r="AL57" s="551">
        <f t="shared" si="67"/>
        <v>0</v>
      </c>
      <c r="AM57" s="551">
        <f t="shared" si="67"/>
        <v>0</v>
      </c>
      <c r="AN57" s="551">
        <f t="shared" si="67"/>
        <v>0</v>
      </c>
      <c r="AO57" s="551">
        <f t="shared" si="67"/>
        <v>0</v>
      </c>
      <c r="AP57" s="551">
        <f t="shared" si="67"/>
        <v>0</v>
      </c>
      <c r="AQ57" s="44">
        <f t="shared" si="67"/>
        <v>0</v>
      </c>
      <c r="AR57" s="557">
        <f t="shared" si="67"/>
        <v>67464743</v>
      </c>
      <c r="AS57" s="550">
        <f t="shared" si="67"/>
        <v>48600726</v>
      </c>
      <c r="AT57" s="550">
        <f t="shared" si="67"/>
        <v>136500</v>
      </c>
      <c r="AU57" s="550">
        <f t="shared" si="67"/>
        <v>16473183</v>
      </c>
      <c r="AV57" s="550">
        <f t="shared" si="67"/>
        <v>972014</v>
      </c>
      <c r="AW57" s="550">
        <f t="shared" si="67"/>
        <v>1282320</v>
      </c>
      <c r="AX57" s="551">
        <f t="shared" si="67"/>
        <v>89.223700000000008</v>
      </c>
      <c r="AY57" s="551">
        <f t="shared" si="67"/>
        <v>75.186899999999994</v>
      </c>
      <c r="AZ57" s="44">
        <f t="shared" si="67"/>
        <v>14.036799999999999</v>
      </c>
    </row>
    <row r="58" spans="1:52" s="238" customFormat="1" x14ac:dyDescent="0.2">
      <c r="A58" s="225">
        <v>12</v>
      </c>
      <c r="B58" s="226">
        <v>4438</v>
      </c>
      <c r="C58" s="226">
        <v>600074871</v>
      </c>
      <c r="D58" s="226">
        <v>49864599</v>
      </c>
      <c r="E58" s="224" t="s">
        <v>171</v>
      </c>
      <c r="F58" s="226">
        <v>3113</v>
      </c>
      <c r="G58" s="176" t="s">
        <v>315</v>
      </c>
      <c r="H58" s="227" t="s">
        <v>278</v>
      </c>
      <c r="I58" s="494">
        <v>36399671</v>
      </c>
      <c r="J58" s="489">
        <v>26191533</v>
      </c>
      <c r="K58" s="489">
        <v>45500</v>
      </c>
      <c r="L58" s="489">
        <v>8868118</v>
      </c>
      <c r="M58" s="489">
        <v>523830</v>
      </c>
      <c r="N58" s="489">
        <v>770690</v>
      </c>
      <c r="O58" s="490">
        <v>46.475499999999997</v>
      </c>
      <c r="P58" s="491">
        <v>37.159699999999994</v>
      </c>
      <c r="Q58" s="500">
        <v>9.3157999999999994</v>
      </c>
      <c r="R58" s="502">
        <f t="shared" si="1"/>
        <v>0</v>
      </c>
      <c r="S58" s="492">
        <v>0</v>
      </c>
      <c r="T58" s="492">
        <v>0</v>
      </c>
      <c r="U58" s="492">
        <v>0</v>
      </c>
      <c r="V58" s="492">
        <f t="shared" si="2"/>
        <v>0</v>
      </c>
      <c r="W58" s="492">
        <v>0</v>
      </c>
      <c r="X58" s="492">
        <v>0</v>
      </c>
      <c r="Y58" s="492">
        <v>0</v>
      </c>
      <c r="Z58" s="492">
        <f t="shared" si="3"/>
        <v>0</v>
      </c>
      <c r="AA58" s="492">
        <f t="shared" si="4"/>
        <v>0</v>
      </c>
      <c r="AB58" s="74">
        <f t="shared" si="5"/>
        <v>0</v>
      </c>
      <c r="AC58" s="74">
        <f t="shared" si="6"/>
        <v>0</v>
      </c>
      <c r="AD58" s="492">
        <v>0</v>
      </c>
      <c r="AE58" s="492">
        <v>0</v>
      </c>
      <c r="AF58" s="492">
        <f t="shared" si="7"/>
        <v>0</v>
      </c>
      <c r="AG58" s="492">
        <f t="shared" si="8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ref="AO58:AO63" si="68">AH58+AJ58+AM58+AK58</f>
        <v>0</v>
      </c>
      <c r="AP58" s="493">
        <f t="shared" ref="AP58:AP63" si="69">AI58+AN58+AL58</f>
        <v>0</v>
      </c>
      <c r="AQ58" s="495">
        <f t="shared" si="18"/>
        <v>0</v>
      </c>
      <c r="AR58" s="501">
        <f t="shared" si="10"/>
        <v>36399671</v>
      </c>
      <c r="AS58" s="492">
        <f t="shared" si="11"/>
        <v>26191533</v>
      </c>
      <c r="AT58" s="492">
        <f t="shared" ref="AT58:AT63" si="70">K58+Z58</f>
        <v>45500</v>
      </c>
      <c r="AU58" s="492">
        <f t="shared" ref="AU58:AV63" si="71">L58+AB58</f>
        <v>8868118</v>
      </c>
      <c r="AV58" s="492">
        <f t="shared" si="71"/>
        <v>523830</v>
      </c>
      <c r="AW58" s="492">
        <f t="shared" si="13"/>
        <v>770690</v>
      </c>
      <c r="AX58" s="493">
        <f t="shared" si="14"/>
        <v>46.475499999999997</v>
      </c>
      <c r="AY58" s="493">
        <f t="shared" ref="AY58:AZ63" si="72">P58+AO58</f>
        <v>37.159699999999994</v>
      </c>
      <c r="AZ58" s="495">
        <f t="shared" si="72"/>
        <v>9.3157999999999994</v>
      </c>
    </row>
    <row r="59" spans="1:52" s="238" customFormat="1" x14ac:dyDescent="0.2">
      <c r="A59" s="225">
        <v>12</v>
      </c>
      <c r="B59" s="226">
        <v>4438</v>
      </c>
      <c r="C59" s="226">
        <v>600074871</v>
      </c>
      <c r="D59" s="226">
        <v>49864599</v>
      </c>
      <c r="E59" s="224" t="s">
        <v>171</v>
      </c>
      <c r="F59" s="226">
        <v>3113</v>
      </c>
      <c r="G59" s="176" t="s">
        <v>313</v>
      </c>
      <c r="H59" s="227" t="s">
        <v>279</v>
      </c>
      <c r="I59" s="494">
        <v>5639361</v>
      </c>
      <c r="J59" s="489">
        <v>4149750</v>
      </c>
      <c r="K59" s="489">
        <v>0</v>
      </c>
      <c r="L59" s="489">
        <v>1402616</v>
      </c>
      <c r="M59" s="489">
        <v>82995</v>
      </c>
      <c r="N59" s="489">
        <v>4000</v>
      </c>
      <c r="O59" s="490">
        <v>11.93</v>
      </c>
      <c r="P59" s="491">
        <v>11.93</v>
      </c>
      <c r="Q59" s="500">
        <v>0</v>
      </c>
      <c r="R59" s="502">
        <f t="shared" si="1"/>
        <v>0</v>
      </c>
      <c r="S59" s="492">
        <v>0</v>
      </c>
      <c r="T59" s="492">
        <v>0</v>
      </c>
      <c r="U59" s="492">
        <v>0</v>
      </c>
      <c r="V59" s="492">
        <f t="shared" si="2"/>
        <v>0</v>
      </c>
      <c r="W59" s="492">
        <v>0</v>
      </c>
      <c r="X59" s="492">
        <v>0</v>
      </c>
      <c r="Y59" s="492">
        <v>0</v>
      </c>
      <c r="Z59" s="492">
        <f t="shared" si="3"/>
        <v>0</v>
      </c>
      <c r="AA59" s="492">
        <f t="shared" si="4"/>
        <v>0</v>
      </c>
      <c r="AB59" s="74">
        <f t="shared" si="5"/>
        <v>0</v>
      </c>
      <c r="AC59" s="74">
        <f t="shared" si="6"/>
        <v>0</v>
      </c>
      <c r="AD59" s="492">
        <v>0</v>
      </c>
      <c r="AE59" s="492">
        <v>0</v>
      </c>
      <c r="AF59" s="492">
        <f t="shared" si="7"/>
        <v>0</v>
      </c>
      <c r="AG59" s="492">
        <f t="shared" si="8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68"/>
        <v>0</v>
      </c>
      <c r="AP59" s="493">
        <f t="shared" si="69"/>
        <v>0</v>
      </c>
      <c r="AQ59" s="495">
        <f t="shared" si="18"/>
        <v>0</v>
      </c>
      <c r="AR59" s="501">
        <f t="shared" si="10"/>
        <v>5639361</v>
      </c>
      <c r="AS59" s="492">
        <f t="shared" si="11"/>
        <v>4149750</v>
      </c>
      <c r="AT59" s="492">
        <f t="shared" si="70"/>
        <v>0</v>
      </c>
      <c r="AU59" s="492">
        <f t="shared" si="71"/>
        <v>1402616</v>
      </c>
      <c r="AV59" s="492">
        <f t="shared" si="71"/>
        <v>82995</v>
      </c>
      <c r="AW59" s="492">
        <f t="shared" si="13"/>
        <v>4000</v>
      </c>
      <c r="AX59" s="493">
        <f t="shared" si="14"/>
        <v>11.93</v>
      </c>
      <c r="AY59" s="493">
        <f t="shared" si="72"/>
        <v>11.93</v>
      </c>
      <c r="AZ59" s="495">
        <f t="shared" si="72"/>
        <v>0</v>
      </c>
    </row>
    <row r="60" spans="1:52" s="238" customFormat="1" x14ac:dyDescent="0.2">
      <c r="A60" s="225">
        <v>12</v>
      </c>
      <c r="B60" s="226">
        <v>4438</v>
      </c>
      <c r="C60" s="226">
        <v>600074871</v>
      </c>
      <c r="D60" s="226">
        <v>49864599</v>
      </c>
      <c r="E60" s="224" t="s">
        <v>171</v>
      </c>
      <c r="F60" s="226">
        <v>3141</v>
      </c>
      <c r="G60" s="176" t="s">
        <v>316</v>
      </c>
      <c r="H60" s="227" t="s">
        <v>279</v>
      </c>
      <c r="I60" s="494">
        <v>2976979</v>
      </c>
      <c r="J60" s="489">
        <v>2167876</v>
      </c>
      <c r="K60" s="489">
        <v>6500</v>
      </c>
      <c r="L60" s="489">
        <v>734939</v>
      </c>
      <c r="M60" s="489">
        <v>43358</v>
      </c>
      <c r="N60" s="489">
        <v>24306</v>
      </c>
      <c r="O60" s="490">
        <v>6.83</v>
      </c>
      <c r="P60" s="491">
        <v>0</v>
      </c>
      <c r="Q60" s="500">
        <v>6.83</v>
      </c>
      <c r="R60" s="502">
        <f t="shared" si="1"/>
        <v>0</v>
      </c>
      <c r="S60" s="492">
        <v>0</v>
      </c>
      <c r="T60" s="492">
        <v>0</v>
      </c>
      <c r="U60" s="492">
        <v>0</v>
      </c>
      <c r="V60" s="492">
        <f t="shared" si="2"/>
        <v>0</v>
      </c>
      <c r="W60" s="492">
        <v>0</v>
      </c>
      <c r="X60" s="492">
        <v>0</v>
      </c>
      <c r="Y60" s="492">
        <v>0</v>
      </c>
      <c r="Z60" s="492">
        <f t="shared" si="3"/>
        <v>0</v>
      </c>
      <c r="AA60" s="492">
        <f t="shared" si="4"/>
        <v>0</v>
      </c>
      <c r="AB60" s="74">
        <f t="shared" si="5"/>
        <v>0</v>
      </c>
      <c r="AC60" s="74">
        <f t="shared" si="6"/>
        <v>0</v>
      </c>
      <c r="AD60" s="492">
        <v>0</v>
      </c>
      <c r="AE60" s="492">
        <v>0</v>
      </c>
      <c r="AF60" s="492">
        <f t="shared" si="7"/>
        <v>0</v>
      </c>
      <c r="AG60" s="492">
        <f t="shared" si="8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68"/>
        <v>0</v>
      </c>
      <c r="AP60" s="493">
        <f t="shared" si="69"/>
        <v>0</v>
      </c>
      <c r="AQ60" s="495">
        <f t="shared" si="18"/>
        <v>0</v>
      </c>
      <c r="AR60" s="501">
        <f t="shared" si="10"/>
        <v>2976979</v>
      </c>
      <c r="AS60" s="492">
        <f t="shared" si="11"/>
        <v>2167876</v>
      </c>
      <c r="AT60" s="492">
        <f t="shared" si="70"/>
        <v>6500</v>
      </c>
      <c r="AU60" s="492">
        <f t="shared" si="71"/>
        <v>734939</v>
      </c>
      <c r="AV60" s="492">
        <f t="shared" si="71"/>
        <v>43358</v>
      </c>
      <c r="AW60" s="492">
        <f t="shared" si="13"/>
        <v>24306</v>
      </c>
      <c r="AX60" s="493">
        <f t="shared" si="14"/>
        <v>6.83</v>
      </c>
      <c r="AY60" s="493">
        <f t="shared" si="72"/>
        <v>0</v>
      </c>
      <c r="AZ60" s="495">
        <f t="shared" si="72"/>
        <v>6.83</v>
      </c>
    </row>
    <row r="61" spans="1:52" s="238" customFormat="1" x14ac:dyDescent="0.2">
      <c r="A61" s="225">
        <v>12</v>
      </c>
      <c r="B61" s="226">
        <v>4438</v>
      </c>
      <c r="C61" s="226">
        <v>600074871</v>
      </c>
      <c r="D61" s="226">
        <v>49864599</v>
      </c>
      <c r="E61" s="224" t="s">
        <v>171</v>
      </c>
      <c r="F61" s="226">
        <v>3143</v>
      </c>
      <c r="G61" s="176" t="s">
        <v>629</v>
      </c>
      <c r="H61" s="243" t="s">
        <v>278</v>
      </c>
      <c r="I61" s="494">
        <v>2670066</v>
      </c>
      <c r="J61" s="489">
        <v>1966175</v>
      </c>
      <c r="K61" s="489">
        <v>0</v>
      </c>
      <c r="L61" s="489">
        <v>664567</v>
      </c>
      <c r="M61" s="489">
        <v>39324</v>
      </c>
      <c r="N61" s="489">
        <v>0</v>
      </c>
      <c r="O61" s="490">
        <v>4.0446</v>
      </c>
      <c r="P61" s="491">
        <v>4.0446</v>
      </c>
      <c r="Q61" s="500">
        <v>0</v>
      </c>
      <c r="R61" s="502">
        <f t="shared" si="1"/>
        <v>0</v>
      </c>
      <c r="S61" s="492">
        <v>0</v>
      </c>
      <c r="T61" s="492">
        <v>0</v>
      </c>
      <c r="U61" s="492">
        <v>0</v>
      </c>
      <c r="V61" s="492">
        <f t="shared" si="2"/>
        <v>0</v>
      </c>
      <c r="W61" s="492">
        <v>0</v>
      </c>
      <c r="X61" s="492">
        <v>0</v>
      </c>
      <c r="Y61" s="492">
        <v>0</v>
      </c>
      <c r="Z61" s="492">
        <f t="shared" si="3"/>
        <v>0</v>
      </c>
      <c r="AA61" s="492">
        <f t="shared" si="4"/>
        <v>0</v>
      </c>
      <c r="AB61" s="74">
        <f t="shared" si="5"/>
        <v>0</v>
      </c>
      <c r="AC61" s="74">
        <f t="shared" si="6"/>
        <v>0</v>
      </c>
      <c r="AD61" s="492">
        <v>0</v>
      </c>
      <c r="AE61" s="492">
        <v>0</v>
      </c>
      <c r="AF61" s="492">
        <f t="shared" si="7"/>
        <v>0</v>
      </c>
      <c r="AG61" s="492">
        <f t="shared" si="8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68"/>
        <v>0</v>
      </c>
      <c r="AP61" s="493">
        <f t="shared" si="69"/>
        <v>0</v>
      </c>
      <c r="AQ61" s="495">
        <f t="shared" si="18"/>
        <v>0</v>
      </c>
      <c r="AR61" s="501">
        <f t="shared" si="10"/>
        <v>2670066</v>
      </c>
      <c r="AS61" s="492">
        <f t="shared" si="11"/>
        <v>1966175</v>
      </c>
      <c r="AT61" s="492">
        <f t="shared" si="70"/>
        <v>0</v>
      </c>
      <c r="AU61" s="492">
        <f t="shared" si="71"/>
        <v>664567</v>
      </c>
      <c r="AV61" s="492">
        <f t="shared" si="71"/>
        <v>39324</v>
      </c>
      <c r="AW61" s="492">
        <f t="shared" si="13"/>
        <v>0</v>
      </c>
      <c r="AX61" s="493">
        <f t="shared" si="14"/>
        <v>4.0446</v>
      </c>
      <c r="AY61" s="493">
        <f t="shared" si="72"/>
        <v>4.0446</v>
      </c>
      <c r="AZ61" s="495">
        <f t="shared" si="72"/>
        <v>0</v>
      </c>
    </row>
    <row r="62" spans="1:52" s="238" customFormat="1" x14ac:dyDescent="0.2">
      <c r="A62" s="225">
        <v>12</v>
      </c>
      <c r="B62" s="226">
        <v>4438</v>
      </c>
      <c r="C62" s="226">
        <v>600074871</v>
      </c>
      <c r="D62" s="226">
        <v>49864599</v>
      </c>
      <c r="E62" s="224" t="s">
        <v>171</v>
      </c>
      <c r="F62" s="226">
        <v>3143</v>
      </c>
      <c r="G62" s="176" t="s">
        <v>630</v>
      </c>
      <c r="H62" s="243" t="s">
        <v>279</v>
      </c>
      <c r="I62" s="494">
        <v>103573</v>
      </c>
      <c r="J62" s="489">
        <v>73242</v>
      </c>
      <c r="K62" s="489">
        <v>0</v>
      </c>
      <c r="L62" s="489">
        <v>24756</v>
      </c>
      <c r="M62" s="489">
        <v>1465</v>
      </c>
      <c r="N62" s="489">
        <v>4110</v>
      </c>
      <c r="O62" s="490">
        <v>0.28999999999999998</v>
      </c>
      <c r="P62" s="491">
        <v>0</v>
      </c>
      <c r="Q62" s="500">
        <v>0.28999999999999998</v>
      </c>
      <c r="R62" s="502">
        <f t="shared" si="1"/>
        <v>0</v>
      </c>
      <c r="S62" s="492">
        <v>0</v>
      </c>
      <c r="T62" s="492">
        <v>0</v>
      </c>
      <c r="U62" s="492">
        <v>0</v>
      </c>
      <c r="V62" s="492">
        <f t="shared" si="2"/>
        <v>0</v>
      </c>
      <c r="W62" s="492">
        <v>0</v>
      </c>
      <c r="X62" s="492">
        <v>0</v>
      </c>
      <c r="Y62" s="492">
        <v>0</v>
      </c>
      <c r="Z62" s="492">
        <f t="shared" si="3"/>
        <v>0</v>
      </c>
      <c r="AA62" s="492">
        <f t="shared" si="4"/>
        <v>0</v>
      </c>
      <c r="AB62" s="74">
        <f t="shared" si="5"/>
        <v>0</v>
      </c>
      <c r="AC62" s="74">
        <f t="shared" si="6"/>
        <v>0</v>
      </c>
      <c r="AD62" s="492">
        <v>0</v>
      </c>
      <c r="AE62" s="492">
        <v>0</v>
      </c>
      <c r="AF62" s="492">
        <f t="shared" si="7"/>
        <v>0</v>
      </c>
      <c r="AG62" s="492">
        <f t="shared" si="8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68"/>
        <v>0</v>
      </c>
      <c r="AP62" s="493">
        <f t="shared" si="69"/>
        <v>0</v>
      </c>
      <c r="AQ62" s="495">
        <f t="shared" si="18"/>
        <v>0</v>
      </c>
      <c r="AR62" s="501">
        <f t="shared" si="10"/>
        <v>103573</v>
      </c>
      <c r="AS62" s="492">
        <f t="shared" si="11"/>
        <v>73242</v>
      </c>
      <c r="AT62" s="492">
        <f t="shared" si="70"/>
        <v>0</v>
      </c>
      <c r="AU62" s="492">
        <f t="shared" si="71"/>
        <v>24756</v>
      </c>
      <c r="AV62" s="492">
        <f t="shared" si="71"/>
        <v>1465</v>
      </c>
      <c r="AW62" s="492">
        <f t="shared" si="13"/>
        <v>4110</v>
      </c>
      <c r="AX62" s="493">
        <f t="shared" si="14"/>
        <v>0.28999999999999998</v>
      </c>
      <c r="AY62" s="493">
        <f t="shared" si="72"/>
        <v>0</v>
      </c>
      <c r="AZ62" s="495">
        <f t="shared" si="72"/>
        <v>0.28999999999999998</v>
      </c>
    </row>
    <row r="63" spans="1:52" s="238" customFormat="1" x14ac:dyDescent="0.2">
      <c r="A63" s="225">
        <v>12</v>
      </c>
      <c r="B63" s="226">
        <v>4438</v>
      </c>
      <c r="C63" s="226">
        <v>600074871</v>
      </c>
      <c r="D63" s="226">
        <v>49864599</v>
      </c>
      <c r="E63" s="224" t="s">
        <v>171</v>
      </c>
      <c r="F63" s="226">
        <v>3143</v>
      </c>
      <c r="G63" s="176" t="s">
        <v>318</v>
      </c>
      <c r="H63" s="243" t="s">
        <v>279</v>
      </c>
      <c r="I63" s="494">
        <v>241597</v>
      </c>
      <c r="J63" s="489">
        <v>177641</v>
      </c>
      <c r="K63" s="489">
        <v>0</v>
      </c>
      <c r="L63" s="489">
        <v>60043</v>
      </c>
      <c r="M63" s="489">
        <v>3553</v>
      </c>
      <c r="N63" s="489">
        <v>360</v>
      </c>
      <c r="O63" s="490">
        <v>0.38</v>
      </c>
      <c r="P63" s="491">
        <v>0.34</v>
      </c>
      <c r="Q63" s="500">
        <v>0.04</v>
      </c>
      <c r="R63" s="502">
        <f t="shared" si="1"/>
        <v>0</v>
      </c>
      <c r="S63" s="492">
        <v>0</v>
      </c>
      <c r="T63" s="492">
        <v>0</v>
      </c>
      <c r="U63" s="492">
        <v>225246</v>
      </c>
      <c r="V63" s="492">
        <f t="shared" si="2"/>
        <v>225246</v>
      </c>
      <c r="W63" s="492">
        <v>0</v>
      </c>
      <c r="X63" s="492">
        <v>0</v>
      </c>
      <c r="Y63" s="492">
        <v>0</v>
      </c>
      <c r="Z63" s="492">
        <f t="shared" si="3"/>
        <v>0</v>
      </c>
      <c r="AA63" s="492">
        <f t="shared" si="4"/>
        <v>225246</v>
      </c>
      <c r="AB63" s="74">
        <f t="shared" si="5"/>
        <v>76133</v>
      </c>
      <c r="AC63" s="74">
        <f t="shared" si="6"/>
        <v>4505</v>
      </c>
      <c r="AD63" s="492">
        <v>0</v>
      </c>
      <c r="AE63" s="492">
        <v>1040</v>
      </c>
      <c r="AF63" s="492">
        <f t="shared" si="7"/>
        <v>1040</v>
      </c>
      <c r="AG63" s="492">
        <f t="shared" si="8"/>
        <v>306924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0.41</v>
      </c>
      <c r="AN63" s="493">
        <v>0.11</v>
      </c>
      <c r="AO63" s="493">
        <f t="shared" si="68"/>
        <v>0.41</v>
      </c>
      <c r="AP63" s="493">
        <f t="shared" si="69"/>
        <v>0.11</v>
      </c>
      <c r="AQ63" s="495">
        <f t="shared" si="18"/>
        <v>0.52</v>
      </c>
      <c r="AR63" s="501">
        <f t="shared" si="10"/>
        <v>548521</v>
      </c>
      <c r="AS63" s="492">
        <f t="shared" si="11"/>
        <v>402887</v>
      </c>
      <c r="AT63" s="492">
        <f t="shared" si="70"/>
        <v>0</v>
      </c>
      <c r="AU63" s="492">
        <f t="shared" si="71"/>
        <v>136176</v>
      </c>
      <c r="AV63" s="492">
        <f t="shared" si="71"/>
        <v>8058</v>
      </c>
      <c r="AW63" s="492">
        <f t="shared" si="13"/>
        <v>1400</v>
      </c>
      <c r="AX63" s="493">
        <f t="shared" si="14"/>
        <v>0.9</v>
      </c>
      <c r="AY63" s="493">
        <f t="shared" si="72"/>
        <v>0.75</v>
      </c>
      <c r="AZ63" s="495">
        <f t="shared" si="72"/>
        <v>0.15</v>
      </c>
    </row>
    <row r="64" spans="1:52" s="238" customFormat="1" x14ac:dyDescent="0.2">
      <c r="A64" s="166">
        <v>12</v>
      </c>
      <c r="B64" s="20">
        <v>4438</v>
      </c>
      <c r="C64" s="20">
        <v>600074871</v>
      </c>
      <c r="D64" s="20">
        <v>49864599</v>
      </c>
      <c r="E64" s="175" t="s">
        <v>172</v>
      </c>
      <c r="F64" s="20"/>
      <c r="G64" s="165"/>
      <c r="H64" s="199"/>
      <c r="I64" s="553">
        <v>48031247</v>
      </c>
      <c r="J64" s="550">
        <v>34726217</v>
      </c>
      <c r="K64" s="550">
        <v>52000</v>
      </c>
      <c r="L64" s="550">
        <v>11755039</v>
      </c>
      <c r="M64" s="550">
        <v>694525</v>
      </c>
      <c r="N64" s="550">
        <v>803466</v>
      </c>
      <c r="O64" s="551">
        <v>69.950100000000006</v>
      </c>
      <c r="P64" s="551">
        <v>53.474299999999999</v>
      </c>
      <c r="Q64" s="555">
        <v>16.4758</v>
      </c>
      <c r="R64" s="553">
        <f t="shared" ref="R64:AZ64" si="73">SUM(R58:R63)</f>
        <v>0</v>
      </c>
      <c r="S64" s="550">
        <f t="shared" si="73"/>
        <v>0</v>
      </c>
      <c r="T64" s="550">
        <f t="shared" si="73"/>
        <v>0</v>
      </c>
      <c r="U64" s="550">
        <f t="shared" si="73"/>
        <v>225246</v>
      </c>
      <c r="V64" s="550">
        <f t="shared" si="73"/>
        <v>225246</v>
      </c>
      <c r="W64" s="550">
        <f t="shared" si="73"/>
        <v>0</v>
      </c>
      <c r="X64" s="550">
        <f t="shared" si="73"/>
        <v>0</v>
      </c>
      <c r="Y64" s="550">
        <f t="shared" si="73"/>
        <v>0</v>
      </c>
      <c r="Z64" s="550">
        <f t="shared" si="73"/>
        <v>0</v>
      </c>
      <c r="AA64" s="550">
        <f t="shared" si="73"/>
        <v>225246</v>
      </c>
      <c r="AB64" s="550">
        <f t="shared" si="73"/>
        <v>76133</v>
      </c>
      <c r="AC64" s="550">
        <f t="shared" si="73"/>
        <v>4505</v>
      </c>
      <c r="AD64" s="550">
        <f t="shared" si="73"/>
        <v>0</v>
      </c>
      <c r="AE64" s="550">
        <f t="shared" si="73"/>
        <v>1040</v>
      </c>
      <c r="AF64" s="550">
        <f t="shared" si="73"/>
        <v>1040</v>
      </c>
      <c r="AG64" s="550">
        <f t="shared" si="73"/>
        <v>306924</v>
      </c>
      <c r="AH64" s="551">
        <f t="shared" si="73"/>
        <v>0</v>
      </c>
      <c r="AI64" s="551">
        <f t="shared" si="73"/>
        <v>0</v>
      </c>
      <c r="AJ64" s="551">
        <f t="shared" si="73"/>
        <v>0</v>
      </c>
      <c r="AK64" s="551">
        <f t="shared" si="73"/>
        <v>0</v>
      </c>
      <c r="AL64" s="551">
        <f t="shared" si="73"/>
        <v>0</v>
      </c>
      <c r="AM64" s="551">
        <f t="shared" si="73"/>
        <v>0.41</v>
      </c>
      <c r="AN64" s="551">
        <f t="shared" si="73"/>
        <v>0.11</v>
      </c>
      <c r="AO64" s="551">
        <f t="shared" si="73"/>
        <v>0.41</v>
      </c>
      <c r="AP64" s="551">
        <f t="shared" si="73"/>
        <v>0.11</v>
      </c>
      <c r="AQ64" s="44">
        <f t="shared" si="73"/>
        <v>0.52</v>
      </c>
      <c r="AR64" s="557">
        <f t="shared" si="73"/>
        <v>48338171</v>
      </c>
      <c r="AS64" s="550">
        <f t="shared" si="73"/>
        <v>34951463</v>
      </c>
      <c r="AT64" s="550">
        <f t="shared" si="73"/>
        <v>52000</v>
      </c>
      <c r="AU64" s="550">
        <f t="shared" si="73"/>
        <v>11831172</v>
      </c>
      <c r="AV64" s="550">
        <f t="shared" si="73"/>
        <v>699030</v>
      </c>
      <c r="AW64" s="550">
        <f t="shared" si="73"/>
        <v>804506</v>
      </c>
      <c r="AX64" s="551">
        <f t="shared" si="73"/>
        <v>70.470100000000016</v>
      </c>
      <c r="AY64" s="551">
        <f t="shared" si="73"/>
        <v>53.884299999999996</v>
      </c>
      <c r="AZ64" s="44">
        <f t="shared" si="73"/>
        <v>16.585799999999999</v>
      </c>
    </row>
    <row r="65" spans="1:52" s="238" customFormat="1" x14ac:dyDescent="0.2">
      <c r="A65" s="225">
        <v>13</v>
      </c>
      <c r="B65" s="226">
        <v>4455</v>
      </c>
      <c r="C65" s="226">
        <v>600074889</v>
      </c>
      <c r="D65" s="226">
        <v>49864611</v>
      </c>
      <c r="E65" s="224" t="s">
        <v>173</v>
      </c>
      <c r="F65" s="226">
        <v>3113</v>
      </c>
      <c r="G65" s="176" t="s">
        <v>315</v>
      </c>
      <c r="H65" s="227" t="s">
        <v>278</v>
      </c>
      <c r="I65" s="494">
        <v>41894704</v>
      </c>
      <c r="J65" s="489">
        <v>30086783</v>
      </c>
      <c r="K65" s="489">
        <v>58500</v>
      </c>
      <c r="L65" s="489">
        <v>10189105</v>
      </c>
      <c r="M65" s="489">
        <v>601736</v>
      </c>
      <c r="N65" s="489">
        <v>958580</v>
      </c>
      <c r="O65" s="490">
        <v>52.183500000000002</v>
      </c>
      <c r="P65" s="491">
        <v>40.440800000000003</v>
      </c>
      <c r="Q65" s="500">
        <v>11.742699999999999</v>
      </c>
      <c r="R65" s="502">
        <f t="shared" si="1"/>
        <v>0</v>
      </c>
      <c r="S65" s="492">
        <v>0</v>
      </c>
      <c r="T65" s="492">
        <v>305129</v>
      </c>
      <c r="U65" s="492">
        <v>0</v>
      </c>
      <c r="V65" s="492">
        <f t="shared" si="2"/>
        <v>305129</v>
      </c>
      <c r="W65" s="492">
        <v>0</v>
      </c>
      <c r="X65" s="492">
        <v>0</v>
      </c>
      <c r="Y65" s="492">
        <v>0</v>
      </c>
      <c r="Z65" s="492">
        <f t="shared" si="3"/>
        <v>0</v>
      </c>
      <c r="AA65" s="492">
        <f t="shared" si="4"/>
        <v>305129</v>
      </c>
      <c r="AB65" s="74">
        <f t="shared" si="5"/>
        <v>103134</v>
      </c>
      <c r="AC65" s="74">
        <f t="shared" si="6"/>
        <v>6103</v>
      </c>
      <c r="AD65" s="492">
        <v>0</v>
      </c>
      <c r="AE65" s="492">
        <v>0</v>
      </c>
      <c r="AF65" s="492">
        <f t="shared" si="7"/>
        <v>0</v>
      </c>
      <c r="AG65" s="492">
        <f t="shared" si="8"/>
        <v>414366</v>
      </c>
      <c r="AH65" s="493">
        <v>0</v>
      </c>
      <c r="AI65" s="493">
        <v>0</v>
      </c>
      <c r="AJ65" s="493">
        <v>0</v>
      </c>
      <c r="AK65" s="493">
        <v>0.79</v>
      </c>
      <c r="AL65" s="493">
        <v>0</v>
      </c>
      <c r="AM65" s="493">
        <v>0</v>
      </c>
      <c r="AN65" s="493">
        <v>0</v>
      </c>
      <c r="AO65" s="493">
        <f t="shared" ref="AO65:AO70" si="74">AH65+AJ65+AM65+AK65</f>
        <v>0.79</v>
      </c>
      <c r="AP65" s="493">
        <f t="shared" ref="AP65:AP70" si="75">AI65+AN65+AL65</f>
        <v>0</v>
      </c>
      <c r="AQ65" s="495">
        <f t="shared" si="18"/>
        <v>0.79</v>
      </c>
      <c r="AR65" s="501">
        <f t="shared" si="10"/>
        <v>42309070</v>
      </c>
      <c r="AS65" s="492">
        <f t="shared" si="11"/>
        <v>30391912</v>
      </c>
      <c r="AT65" s="492">
        <f t="shared" ref="AT65:AT70" si="76">K65+Z65</f>
        <v>58500</v>
      </c>
      <c r="AU65" s="492">
        <f t="shared" ref="AU65:AV70" si="77">L65+AB65</f>
        <v>10292239</v>
      </c>
      <c r="AV65" s="492">
        <f t="shared" si="77"/>
        <v>607839</v>
      </c>
      <c r="AW65" s="492">
        <f t="shared" si="13"/>
        <v>958580</v>
      </c>
      <c r="AX65" s="493">
        <f t="shared" si="14"/>
        <v>52.973500000000001</v>
      </c>
      <c r="AY65" s="493">
        <f t="shared" ref="AY65:AZ70" si="78">P65+AO65</f>
        <v>41.230800000000002</v>
      </c>
      <c r="AZ65" s="495">
        <f t="shared" si="78"/>
        <v>11.742699999999999</v>
      </c>
    </row>
    <row r="66" spans="1:52" s="238" customFormat="1" x14ac:dyDescent="0.2">
      <c r="A66" s="225">
        <v>13</v>
      </c>
      <c r="B66" s="226">
        <v>4455</v>
      </c>
      <c r="C66" s="226">
        <v>600074889</v>
      </c>
      <c r="D66" s="226">
        <v>49864611</v>
      </c>
      <c r="E66" s="224" t="s">
        <v>173</v>
      </c>
      <c r="F66" s="226">
        <v>3113</v>
      </c>
      <c r="G66" s="176" t="s">
        <v>313</v>
      </c>
      <c r="H66" s="227" t="s">
        <v>279</v>
      </c>
      <c r="I66" s="494">
        <v>3337784</v>
      </c>
      <c r="J66" s="489">
        <v>2456026</v>
      </c>
      <c r="K66" s="489">
        <v>0</v>
      </c>
      <c r="L66" s="489">
        <v>830137</v>
      </c>
      <c r="M66" s="489">
        <v>49121</v>
      </c>
      <c r="N66" s="489">
        <v>2500</v>
      </c>
      <c r="O66" s="490">
        <v>7.04</v>
      </c>
      <c r="P66" s="491">
        <v>7.04</v>
      </c>
      <c r="Q66" s="500">
        <v>0</v>
      </c>
      <c r="R66" s="502">
        <f t="shared" si="1"/>
        <v>0</v>
      </c>
      <c r="S66" s="492">
        <v>-64958</v>
      </c>
      <c r="T66" s="492">
        <v>0</v>
      </c>
      <c r="U66" s="492">
        <v>0</v>
      </c>
      <c r="V66" s="492">
        <f t="shared" si="2"/>
        <v>-64958</v>
      </c>
      <c r="W66" s="492">
        <v>0</v>
      </c>
      <c r="X66" s="492">
        <v>0</v>
      </c>
      <c r="Y66" s="492">
        <v>0</v>
      </c>
      <c r="Z66" s="492">
        <f t="shared" si="3"/>
        <v>0</v>
      </c>
      <c r="AA66" s="492">
        <f t="shared" si="4"/>
        <v>-64958</v>
      </c>
      <c r="AB66" s="74">
        <f t="shared" si="5"/>
        <v>-21956</v>
      </c>
      <c r="AC66" s="74">
        <f t="shared" si="6"/>
        <v>-1299</v>
      </c>
      <c r="AD66" s="492">
        <v>0</v>
      </c>
      <c r="AE66" s="492">
        <v>0</v>
      </c>
      <c r="AF66" s="492">
        <f t="shared" si="7"/>
        <v>0</v>
      </c>
      <c r="AG66" s="492">
        <f t="shared" si="8"/>
        <v>-88213</v>
      </c>
      <c r="AH66" s="493">
        <v>0</v>
      </c>
      <c r="AI66" s="493">
        <v>0</v>
      </c>
      <c r="AJ66" s="493">
        <v>-0.18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74"/>
        <v>-0.18</v>
      </c>
      <c r="AP66" s="493">
        <f t="shared" si="75"/>
        <v>0</v>
      </c>
      <c r="AQ66" s="495">
        <f t="shared" si="18"/>
        <v>-0.18</v>
      </c>
      <c r="AR66" s="501">
        <f t="shared" si="10"/>
        <v>3249571</v>
      </c>
      <c r="AS66" s="492">
        <f t="shared" si="11"/>
        <v>2391068</v>
      </c>
      <c r="AT66" s="492">
        <f t="shared" si="76"/>
        <v>0</v>
      </c>
      <c r="AU66" s="492">
        <f t="shared" si="77"/>
        <v>808181</v>
      </c>
      <c r="AV66" s="492">
        <f t="shared" si="77"/>
        <v>47822</v>
      </c>
      <c r="AW66" s="492">
        <f t="shared" si="13"/>
        <v>2500</v>
      </c>
      <c r="AX66" s="493">
        <f t="shared" si="14"/>
        <v>6.86</v>
      </c>
      <c r="AY66" s="493">
        <f t="shared" si="78"/>
        <v>6.86</v>
      </c>
      <c r="AZ66" s="495">
        <f t="shared" si="78"/>
        <v>0</v>
      </c>
    </row>
    <row r="67" spans="1:52" s="238" customFormat="1" x14ac:dyDescent="0.2">
      <c r="A67" s="225">
        <v>13</v>
      </c>
      <c r="B67" s="226">
        <v>4455</v>
      </c>
      <c r="C67" s="226">
        <v>600074889</v>
      </c>
      <c r="D67" s="226">
        <v>49864611</v>
      </c>
      <c r="E67" s="224" t="s">
        <v>173</v>
      </c>
      <c r="F67" s="226">
        <v>3141</v>
      </c>
      <c r="G67" s="176" t="s">
        <v>316</v>
      </c>
      <c r="H67" s="227" t="s">
        <v>279</v>
      </c>
      <c r="I67" s="494">
        <v>3335919</v>
      </c>
      <c r="J67" s="489">
        <v>2435575</v>
      </c>
      <c r="K67" s="489">
        <v>0</v>
      </c>
      <c r="L67" s="489">
        <v>823224</v>
      </c>
      <c r="M67" s="489">
        <v>48712</v>
      </c>
      <c r="N67" s="489">
        <v>28408</v>
      </c>
      <c r="O67" s="490">
        <v>7.67</v>
      </c>
      <c r="P67" s="491">
        <v>0</v>
      </c>
      <c r="Q67" s="500">
        <v>7.67</v>
      </c>
      <c r="R67" s="502">
        <f t="shared" si="1"/>
        <v>0</v>
      </c>
      <c r="S67" s="492">
        <v>0</v>
      </c>
      <c r="T67" s="492">
        <v>0</v>
      </c>
      <c r="U67" s="492">
        <v>0</v>
      </c>
      <c r="V67" s="492">
        <f t="shared" si="2"/>
        <v>0</v>
      </c>
      <c r="W67" s="492">
        <v>0</v>
      </c>
      <c r="X67" s="492">
        <v>0</v>
      </c>
      <c r="Y67" s="492">
        <v>0</v>
      </c>
      <c r="Z67" s="492">
        <f t="shared" si="3"/>
        <v>0</v>
      </c>
      <c r="AA67" s="492">
        <f t="shared" si="4"/>
        <v>0</v>
      </c>
      <c r="AB67" s="74">
        <f t="shared" si="5"/>
        <v>0</v>
      </c>
      <c r="AC67" s="74">
        <f t="shared" si="6"/>
        <v>0</v>
      </c>
      <c r="AD67" s="492">
        <v>0</v>
      </c>
      <c r="AE67" s="492">
        <v>0</v>
      </c>
      <c r="AF67" s="492">
        <f t="shared" si="7"/>
        <v>0</v>
      </c>
      <c r="AG67" s="492">
        <f t="shared" si="8"/>
        <v>0</v>
      </c>
      <c r="AH67" s="493">
        <v>0</v>
      </c>
      <c r="AI67" s="493">
        <v>0</v>
      </c>
      <c r="AJ67" s="493">
        <v>0</v>
      </c>
      <c r="AK67" s="493">
        <v>0</v>
      </c>
      <c r="AL67" s="493">
        <v>0</v>
      </c>
      <c r="AM67" s="493">
        <v>0</v>
      </c>
      <c r="AN67" s="493">
        <v>0</v>
      </c>
      <c r="AO67" s="493">
        <f t="shared" si="74"/>
        <v>0</v>
      </c>
      <c r="AP67" s="493">
        <f t="shared" si="75"/>
        <v>0</v>
      </c>
      <c r="AQ67" s="495">
        <f t="shared" si="18"/>
        <v>0</v>
      </c>
      <c r="AR67" s="501">
        <f t="shared" si="10"/>
        <v>3335919</v>
      </c>
      <c r="AS67" s="492">
        <f t="shared" si="11"/>
        <v>2435575</v>
      </c>
      <c r="AT67" s="492">
        <f t="shared" si="76"/>
        <v>0</v>
      </c>
      <c r="AU67" s="492">
        <f t="shared" si="77"/>
        <v>823224</v>
      </c>
      <c r="AV67" s="492">
        <f t="shared" si="77"/>
        <v>48712</v>
      </c>
      <c r="AW67" s="492">
        <f t="shared" si="13"/>
        <v>28408</v>
      </c>
      <c r="AX67" s="493">
        <f t="shared" si="14"/>
        <v>7.67</v>
      </c>
      <c r="AY67" s="493">
        <f t="shared" si="78"/>
        <v>0</v>
      </c>
      <c r="AZ67" s="495">
        <f t="shared" si="78"/>
        <v>7.67</v>
      </c>
    </row>
    <row r="68" spans="1:52" s="238" customFormat="1" x14ac:dyDescent="0.2">
      <c r="A68" s="225">
        <v>13</v>
      </c>
      <c r="B68" s="226">
        <v>4455</v>
      </c>
      <c r="C68" s="226">
        <v>600074889</v>
      </c>
      <c r="D68" s="226">
        <v>49864611</v>
      </c>
      <c r="E68" s="224" t="s">
        <v>173</v>
      </c>
      <c r="F68" s="226">
        <v>3143</v>
      </c>
      <c r="G68" s="176" t="s">
        <v>629</v>
      </c>
      <c r="H68" s="243" t="s">
        <v>278</v>
      </c>
      <c r="I68" s="494">
        <v>3786408</v>
      </c>
      <c r="J68" s="489">
        <v>2788224</v>
      </c>
      <c r="K68" s="489">
        <v>0</v>
      </c>
      <c r="L68" s="489">
        <v>942420</v>
      </c>
      <c r="M68" s="489">
        <v>55764</v>
      </c>
      <c r="N68" s="489">
        <v>0</v>
      </c>
      <c r="O68" s="490">
        <v>5.6429999999999998</v>
      </c>
      <c r="P68" s="491">
        <v>5.6429999999999998</v>
      </c>
      <c r="Q68" s="500">
        <v>0</v>
      </c>
      <c r="R68" s="502">
        <f t="shared" si="1"/>
        <v>0</v>
      </c>
      <c r="S68" s="492">
        <v>0</v>
      </c>
      <c r="T68" s="492">
        <v>0</v>
      </c>
      <c r="U68" s="492">
        <v>0</v>
      </c>
      <c r="V68" s="492">
        <f t="shared" si="2"/>
        <v>0</v>
      </c>
      <c r="W68" s="492">
        <v>0</v>
      </c>
      <c r="X68" s="492">
        <v>0</v>
      </c>
      <c r="Y68" s="492">
        <v>0</v>
      </c>
      <c r="Z68" s="492">
        <f t="shared" si="3"/>
        <v>0</v>
      </c>
      <c r="AA68" s="492">
        <f t="shared" si="4"/>
        <v>0</v>
      </c>
      <c r="AB68" s="74">
        <f t="shared" si="5"/>
        <v>0</v>
      </c>
      <c r="AC68" s="74">
        <f t="shared" si="6"/>
        <v>0</v>
      </c>
      <c r="AD68" s="492">
        <v>0</v>
      </c>
      <c r="AE68" s="492">
        <v>0</v>
      </c>
      <c r="AF68" s="492">
        <f t="shared" si="7"/>
        <v>0</v>
      </c>
      <c r="AG68" s="492">
        <f t="shared" si="8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si="74"/>
        <v>0</v>
      </c>
      <c r="AP68" s="493">
        <f t="shared" si="75"/>
        <v>0</v>
      </c>
      <c r="AQ68" s="495">
        <f t="shared" si="18"/>
        <v>0</v>
      </c>
      <c r="AR68" s="501">
        <f t="shared" si="10"/>
        <v>3786408</v>
      </c>
      <c r="AS68" s="492">
        <f t="shared" si="11"/>
        <v>2788224</v>
      </c>
      <c r="AT68" s="492">
        <f t="shared" si="76"/>
        <v>0</v>
      </c>
      <c r="AU68" s="492">
        <f t="shared" si="77"/>
        <v>942420</v>
      </c>
      <c r="AV68" s="492">
        <f t="shared" si="77"/>
        <v>55764</v>
      </c>
      <c r="AW68" s="492">
        <f t="shared" si="13"/>
        <v>0</v>
      </c>
      <c r="AX68" s="493">
        <f t="shared" si="14"/>
        <v>5.6429999999999998</v>
      </c>
      <c r="AY68" s="493">
        <f t="shared" si="78"/>
        <v>5.6429999999999998</v>
      </c>
      <c r="AZ68" s="495">
        <f t="shared" si="78"/>
        <v>0</v>
      </c>
    </row>
    <row r="69" spans="1:52" s="238" customFormat="1" x14ac:dyDescent="0.2">
      <c r="A69" s="225">
        <v>13</v>
      </c>
      <c r="B69" s="226">
        <v>4455</v>
      </c>
      <c r="C69" s="226">
        <v>600074889</v>
      </c>
      <c r="D69" s="226">
        <v>49864611</v>
      </c>
      <c r="E69" s="224" t="s">
        <v>173</v>
      </c>
      <c r="F69" s="226">
        <v>3143</v>
      </c>
      <c r="G69" s="176" t="s">
        <v>630</v>
      </c>
      <c r="H69" s="243" t="s">
        <v>279</v>
      </c>
      <c r="I69" s="494">
        <v>107352</v>
      </c>
      <c r="J69" s="489">
        <v>75915</v>
      </c>
      <c r="K69" s="489">
        <v>0</v>
      </c>
      <c r="L69" s="489">
        <v>25659</v>
      </c>
      <c r="M69" s="489">
        <v>1518</v>
      </c>
      <c r="N69" s="489">
        <v>4260</v>
      </c>
      <c r="O69" s="490">
        <v>0.3</v>
      </c>
      <c r="P69" s="491">
        <v>0</v>
      </c>
      <c r="Q69" s="500">
        <v>0.3</v>
      </c>
      <c r="R69" s="502">
        <f t="shared" si="1"/>
        <v>0</v>
      </c>
      <c r="S69" s="492">
        <v>0</v>
      </c>
      <c r="T69" s="492">
        <v>0</v>
      </c>
      <c r="U69" s="492">
        <v>0</v>
      </c>
      <c r="V69" s="492">
        <f t="shared" si="2"/>
        <v>0</v>
      </c>
      <c r="W69" s="492">
        <v>0</v>
      </c>
      <c r="X69" s="492">
        <v>0</v>
      </c>
      <c r="Y69" s="492">
        <v>0</v>
      </c>
      <c r="Z69" s="492">
        <f t="shared" si="3"/>
        <v>0</v>
      </c>
      <c r="AA69" s="492">
        <f t="shared" si="4"/>
        <v>0</v>
      </c>
      <c r="AB69" s="74">
        <f t="shared" si="5"/>
        <v>0</v>
      </c>
      <c r="AC69" s="74">
        <f t="shared" si="6"/>
        <v>0</v>
      </c>
      <c r="AD69" s="492">
        <v>0</v>
      </c>
      <c r="AE69" s="492">
        <v>0</v>
      </c>
      <c r="AF69" s="492">
        <f t="shared" si="7"/>
        <v>0</v>
      </c>
      <c r="AG69" s="492">
        <f t="shared" si="8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74"/>
        <v>0</v>
      </c>
      <c r="AP69" s="493">
        <f t="shared" si="75"/>
        <v>0</v>
      </c>
      <c r="AQ69" s="495">
        <f t="shared" si="18"/>
        <v>0</v>
      </c>
      <c r="AR69" s="501">
        <f t="shared" si="10"/>
        <v>107352</v>
      </c>
      <c r="AS69" s="492">
        <f t="shared" si="11"/>
        <v>75915</v>
      </c>
      <c r="AT69" s="492">
        <f t="shared" si="76"/>
        <v>0</v>
      </c>
      <c r="AU69" s="492">
        <f t="shared" si="77"/>
        <v>25659</v>
      </c>
      <c r="AV69" s="492">
        <f t="shared" si="77"/>
        <v>1518</v>
      </c>
      <c r="AW69" s="492">
        <f t="shared" si="13"/>
        <v>4260</v>
      </c>
      <c r="AX69" s="493">
        <f t="shared" si="14"/>
        <v>0.3</v>
      </c>
      <c r="AY69" s="493">
        <f t="shared" si="78"/>
        <v>0</v>
      </c>
      <c r="AZ69" s="495">
        <f t="shared" si="78"/>
        <v>0.3</v>
      </c>
    </row>
    <row r="70" spans="1:52" s="238" customFormat="1" x14ac:dyDescent="0.2">
      <c r="A70" s="225">
        <v>13</v>
      </c>
      <c r="B70" s="226">
        <v>4455</v>
      </c>
      <c r="C70" s="226">
        <v>600074889</v>
      </c>
      <c r="D70" s="226">
        <v>49864611</v>
      </c>
      <c r="E70" s="224" t="s">
        <v>173</v>
      </c>
      <c r="F70" s="226">
        <v>3143</v>
      </c>
      <c r="G70" s="176" t="s">
        <v>318</v>
      </c>
      <c r="H70" s="243" t="s">
        <v>279</v>
      </c>
      <c r="I70" s="494">
        <v>303636</v>
      </c>
      <c r="J70" s="489">
        <v>223252</v>
      </c>
      <c r="K70" s="489">
        <v>0</v>
      </c>
      <c r="L70" s="489">
        <v>75459</v>
      </c>
      <c r="M70" s="489">
        <v>4465</v>
      </c>
      <c r="N70" s="489">
        <v>460</v>
      </c>
      <c r="O70" s="490">
        <v>0.48</v>
      </c>
      <c r="P70" s="491">
        <v>0.43</v>
      </c>
      <c r="Q70" s="500">
        <v>0.05</v>
      </c>
      <c r="R70" s="502">
        <f t="shared" si="1"/>
        <v>0</v>
      </c>
      <c r="S70" s="492">
        <v>0</v>
      </c>
      <c r="T70" s="492">
        <v>0</v>
      </c>
      <c r="U70" s="492">
        <v>0</v>
      </c>
      <c r="V70" s="492">
        <f t="shared" si="2"/>
        <v>0</v>
      </c>
      <c r="W70" s="492">
        <v>0</v>
      </c>
      <c r="X70" s="492">
        <v>0</v>
      </c>
      <c r="Y70" s="492">
        <v>0</v>
      </c>
      <c r="Z70" s="492">
        <f t="shared" si="3"/>
        <v>0</v>
      </c>
      <c r="AA70" s="492">
        <f t="shared" si="4"/>
        <v>0</v>
      </c>
      <c r="AB70" s="74">
        <f t="shared" si="5"/>
        <v>0</v>
      </c>
      <c r="AC70" s="74">
        <f t="shared" si="6"/>
        <v>0</v>
      </c>
      <c r="AD70" s="492">
        <v>0</v>
      </c>
      <c r="AE70" s="492">
        <v>0</v>
      </c>
      <c r="AF70" s="492">
        <f t="shared" si="7"/>
        <v>0</v>
      </c>
      <c r="AG70" s="492">
        <f t="shared" si="8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74"/>
        <v>0</v>
      </c>
      <c r="AP70" s="493">
        <f t="shared" si="75"/>
        <v>0</v>
      </c>
      <c r="AQ70" s="495">
        <f t="shared" si="18"/>
        <v>0</v>
      </c>
      <c r="AR70" s="501">
        <f t="shared" si="10"/>
        <v>303636</v>
      </c>
      <c r="AS70" s="492">
        <f t="shared" si="11"/>
        <v>223252</v>
      </c>
      <c r="AT70" s="492">
        <f t="shared" si="76"/>
        <v>0</v>
      </c>
      <c r="AU70" s="492">
        <f t="shared" si="77"/>
        <v>75459</v>
      </c>
      <c r="AV70" s="492">
        <f t="shared" si="77"/>
        <v>4465</v>
      </c>
      <c r="AW70" s="492">
        <f t="shared" si="13"/>
        <v>460</v>
      </c>
      <c r="AX70" s="493">
        <f t="shared" si="14"/>
        <v>0.48</v>
      </c>
      <c r="AY70" s="493">
        <f t="shared" si="78"/>
        <v>0.43</v>
      </c>
      <c r="AZ70" s="495">
        <f t="shared" si="78"/>
        <v>0.05</v>
      </c>
    </row>
    <row r="71" spans="1:52" s="238" customFormat="1" x14ac:dyDescent="0.2">
      <c r="A71" s="166">
        <v>13</v>
      </c>
      <c r="B71" s="20">
        <v>4455</v>
      </c>
      <c r="C71" s="20">
        <v>600074889</v>
      </c>
      <c r="D71" s="20">
        <v>49864611</v>
      </c>
      <c r="E71" s="175" t="s">
        <v>174</v>
      </c>
      <c r="F71" s="20"/>
      <c r="G71" s="165"/>
      <c r="H71" s="199"/>
      <c r="I71" s="553">
        <v>52765803</v>
      </c>
      <c r="J71" s="550">
        <v>38065775</v>
      </c>
      <c r="K71" s="550">
        <v>58500</v>
      </c>
      <c r="L71" s="550">
        <v>12886004</v>
      </c>
      <c r="M71" s="550">
        <v>761316</v>
      </c>
      <c r="N71" s="550">
        <v>994208</v>
      </c>
      <c r="O71" s="551">
        <v>73.316500000000005</v>
      </c>
      <c r="P71" s="551">
        <v>53.553800000000003</v>
      </c>
      <c r="Q71" s="555">
        <v>19.762700000000002</v>
      </c>
      <c r="R71" s="553">
        <f t="shared" ref="R71:AZ71" si="79">SUM(R65:R70)</f>
        <v>0</v>
      </c>
      <c r="S71" s="550">
        <f t="shared" si="79"/>
        <v>-64958</v>
      </c>
      <c r="T71" s="550">
        <f t="shared" si="79"/>
        <v>305129</v>
      </c>
      <c r="U71" s="550">
        <f t="shared" si="79"/>
        <v>0</v>
      </c>
      <c r="V71" s="550">
        <f t="shared" si="79"/>
        <v>240171</v>
      </c>
      <c r="W71" s="550">
        <f t="shared" si="79"/>
        <v>0</v>
      </c>
      <c r="X71" s="550">
        <f t="shared" si="79"/>
        <v>0</v>
      </c>
      <c r="Y71" s="550">
        <f t="shared" si="79"/>
        <v>0</v>
      </c>
      <c r="Z71" s="550">
        <f t="shared" si="79"/>
        <v>0</v>
      </c>
      <c r="AA71" s="550">
        <f t="shared" si="79"/>
        <v>240171</v>
      </c>
      <c r="AB71" s="550">
        <f t="shared" si="79"/>
        <v>81178</v>
      </c>
      <c r="AC71" s="550">
        <f t="shared" si="79"/>
        <v>4804</v>
      </c>
      <c r="AD71" s="550">
        <f t="shared" si="79"/>
        <v>0</v>
      </c>
      <c r="AE71" s="550">
        <f t="shared" si="79"/>
        <v>0</v>
      </c>
      <c r="AF71" s="550">
        <f t="shared" si="79"/>
        <v>0</v>
      </c>
      <c r="AG71" s="550">
        <f t="shared" si="79"/>
        <v>326153</v>
      </c>
      <c r="AH71" s="551">
        <f t="shared" si="79"/>
        <v>0</v>
      </c>
      <c r="AI71" s="551">
        <f t="shared" si="79"/>
        <v>0</v>
      </c>
      <c r="AJ71" s="551">
        <f t="shared" si="79"/>
        <v>-0.18</v>
      </c>
      <c r="AK71" s="551">
        <f t="shared" si="79"/>
        <v>0.79</v>
      </c>
      <c r="AL71" s="551">
        <f t="shared" si="79"/>
        <v>0</v>
      </c>
      <c r="AM71" s="551">
        <f t="shared" si="79"/>
        <v>0</v>
      </c>
      <c r="AN71" s="551">
        <f t="shared" si="79"/>
        <v>0</v>
      </c>
      <c r="AO71" s="551">
        <f t="shared" si="79"/>
        <v>0.6100000000000001</v>
      </c>
      <c r="AP71" s="551">
        <f t="shared" si="79"/>
        <v>0</v>
      </c>
      <c r="AQ71" s="44">
        <f t="shared" si="79"/>
        <v>0.6100000000000001</v>
      </c>
      <c r="AR71" s="557">
        <f t="shared" si="79"/>
        <v>53091956</v>
      </c>
      <c r="AS71" s="550">
        <f t="shared" si="79"/>
        <v>38305946</v>
      </c>
      <c r="AT71" s="550">
        <f t="shared" si="79"/>
        <v>58500</v>
      </c>
      <c r="AU71" s="550">
        <f t="shared" si="79"/>
        <v>12967182</v>
      </c>
      <c r="AV71" s="550">
        <f t="shared" si="79"/>
        <v>766120</v>
      </c>
      <c r="AW71" s="550">
        <f t="shared" si="79"/>
        <v>994208</v>
      </c>
      <c r="AX71" s="551">
        <f t="shared" si="79"/>
        <v>73.926500000000004</v>
      </c>
      <c r="AY71" s="551">
        <f t="shared" si="79"/>
        <v>54.163800000000002</v>
      </c>
      <c r="AZ71" s="44">
        <f t="shared" si="79"/>
        <v>19.762700000000002</v>
      </c>
    </row>
    <row r="72" spans="1:52" s="238" customFormat="1" x14ac:dyDescent="0.2">
      <c r="A72" s="225">
        <v>14</v>
      </c>
      <c r="B72" s="226">
        <v>4440</v>
      </c>
      <c r="C72" s="226">
        <v>600074897</v>
      </c>
      <c r="D72" s="226">
        <v>48283029</v>
      </c>
      <c r="E72" s="224" t="s">
        <v>175</v>
      </c>
      <c r="F72" s="226">
        <v>3113</v>
      </c>
      <c r="G72" s="176" t="s">
        <v>315</v>
      </c>
      <c r="H72" s="227" t="s">
        <v>278</v>
      </c>
      <c r="I72" s="494">
        <v>30538675</v>
      </c>
      <c r="J72" s="489">
        <v>21928189</v>
      </c>
      <c r="K72" s="489">
        <v>78000</v>
      </c>
      <c r="L72" s="489">
        <v>7438092</v>
      </c>
      <c r="M72" s="489">
        <v>438564</v>
      </c>
      <c r="N72" s="489">
        <v>655830</v>
      </c>
      <c r="O72" s="490">
        <v>39.279199999999996</v>
      </c>
      <c r="P72" s="491">
        <v>30.439800000000002</v>
      </c>
      <c r="Q72" s="500">
        <v>8.8393999999999995</v>
      </c>
      <c r="R72" s="502">
        <f t="shared" si="1"/>
        <v>0</v>
      </c>
      <c r="S72" s="492">
        <v>0</v>
      </c>
      <c r="T72" s="492">
        <v>0</v>
      </c>
      <c r="U72" s="492">
        <v>0</v>
      </c>
      <c r="V72" s="492">
        <f t="shared" si="2"/>
        <v>0</v>
      </c>
      <c r="W72" s="492">
        <v>0</v>
      </c>
      <c r="X72" s="492">
        <v>0</v>
      </c>
      <c r="Y72" s="492">
        <v>0</v>
      </c>
      <c r="Z72" s="492">
        <f t="shared" si="3"/>
        <v>0</v>
      </c>
      <c r="AA72" s="492">
        <f t="shared" si="4"/>
        <v>0</v>
      </c>
      <c r="AB72" s="74">
        <f t="shared" si="5"/>
        <v>0</v>
      </c>
      <c r="AC72" s="74">
        <f t="shared" si="6"/>
        <v>0</v>
      </c>
      <c r="AD72" s="492">
        <v>0</v>
      </c>
      <c r="AE72" s="492">
        <v>0</v>
      </c>
      <c r="AF72" s="492">
        <f t="shared" si="7"/>
        <v>0</v>
      </c>
      <c r="AG72" s="492">
        <f t="shared" si="8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ref="AO72:AO76" si="80">AH72+AJ72+AM72+AK72</f>
        <v>0</v>
      </c>
      <c r="AP72" s="493">
        <f t="shared" ref="AP72:AP76" si="81">AI72+AN72+AL72</f>
        <v>0</v>
      </c>
      <c r="AQ72" s="495">
        <f t="shared" si="18"/>
        <v>0</v>
      </c>
      <c r="AR72" s="501">
        <f t="shared" si="10"/>
        <v>30538675</v>
      </c>
      <c r="AS72" s="492">
        <f t="shared" si="11"/>
        <v>21928189</v>
      </c>
      <c r="AT72" s="492">
        <f t="shared" ref="AT72:AT76" si="82">K72+Z72</f>
        <v>78000</v>
      </c>
      <c r="AU72" s="492">
        <f t="shared" ref="AU72:AV76" si="83">L72+AB72</f>
        <v>7438092</v>
      </c>
      <c r="AV72" s="492">
        <f t="shared" si="83"/>
        <v>438564</v>
      </c>
      <c r="AW72" s="492">
        <f t="shared" si="13"/>
        <v>655830</v>
      </c>
      <c r="AX72" s="493">
        <f t="shared" si="14"/>
        <v>39.279199999999996</v>
      </c>
      <c r="AY72" s="493">
        <f t="shared" ref="AY72:AZ76" si="84">P72+AO72</f>
        <v>30.439800000000002</v>
      </c>
      <c r="AZ72" s="495">
        <f t="shared" si="84"/>
        <v>8.8393999999999995</v>
      </c>
    </row>
    <row r="73" spans="1:52" s="238" customFormat="1" x14ac:dyDescent="0.2">
      <c r="A73" s="225">
        <v>14</v>
      </c>
      <c r="B73" s="226">
        <v>4440</v>
      </c>
      <c r="C73" s="226">
        <v>600074897</v>
      </c>
      <c r="D73" s="226">
        <v>48283029</v>
      </c>
      <c r="E73" s="224" t="s">
        <v>175</v>
      </c>
      <c r="F73" s="226">
        <v>3113</v>
      </c>
      <c r="G73" s="176" t="s">
        <v>313</v>
      </c>
      <c r="H73" s="227" t="s">
        <v>279</v>
      </c>
      <c r="I73" s="494">
        <v>3018568</v>
      </c>
      <c r="J73" s="489">
        <v>2215809</v>
      </c>
      <c r="K73" s="489">
        <v>0</v>
      </c>
      <c r="L73" s="489">
        <v>748943</v>
      </c>
      <c r="M73" s="489">
        <v>44316</v>
      </c>
      <c r="N73" s="489">
        <v>9500</v>
      </c>
      <c r="O73" s="490">
        <v>6.4</v>
      </c>
      <c r="P73" s="491">
        <v>6.4</v>
      </c>
      <c r="Q73" s="500">
        <v>0</v>
      </c>
      <c r="R73" s="502">
        <f t="shared" si="1"/>
        <v>0</v>
      </c>
      <c r="S73" s="492">
        <v>0</v>
      </c>
      <c r="T73" s="492">
        <v>0</v>
      </c>
      <c r="U73" s="492">
        <v>0</v>
      </c>
      <c r="V73" s="492">
        <f t="shared" si="2"/>
        <v>0</v>
      </c>
      <c r="W73" s="492">
        <v>0</v>
      </c>
      <c r="X73" s="492">
        <v>0</v>
      </c>
      <c r="Y73" s="492">
        <v>0</v>
      </c>
      <c r="Z73" s="492">
        <f t="shared" si="3"/>
        <v>0</v>
      </c>
      <c r="AA73" s="492">
        <f t="shared" si="4"/>
        <v>0</v>
      </c>
      <c r="AB73" s="74">
        <f t="shared" si="5"/>
        <v>0</v>
      </c>
      <c r="AC73" s="74">
        <f t="shared" si="6"/>
        <v>0</v>
      </c>
      <c r="AD73" s="492">
        <v>0</v>
      </c>
      <c r="AE73" s="492">
        <v>0</v>
      </c>
      <c r="AF73" s="492">
        <f t="shared" si="7"/>
        <v>0</v>
      </c>
      <c r="AG73" s="492">
        <f t="shared" si="8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80"/>
        <v>0</v>
      </c>
      <c r="AP73" s="493">
        <f t="shared" si="81"/>
        <v>0</v>
      </c>
      <c r="AQ73" s="495">
        <f t="shared" si="18"/>
        <v>0</v>
      </c>
      <c r="AR73" s="501">
        <f t="shared" si="10"/>
        <v>3018568</v>
      </c>
      <c r="AS73" s="492">
        <f t="shared" si="11"/>
        <v>2215809</v>
      </c>
      <c r="AT73" s="492">
        <f t="shared" si="82"/>
        <v>0</v>
      </c>
      <c r="AU73" s="492">
        <f t="shared" si="83"/>
        <v>748943</v>
      </c>
      <c r="AV73" s="492">
        <f t="shared" si="83"/>
        <v>44316</v>
      </c>
      <c r="AW73" s="492">
        <f t="shared" si="13"/>
        <v>9500</v>
      </c>
      <c r="AX73" s="493">
        <f t="shared" si="14"/>
        <v>6.4</v>
      </c>
      <c r="AY73" s="493">
        <f t="shared" si="84"/>
        <v>6.4</v>
      </c>
      <c r="AZ73" s="495">
        <f t="shared" si="84"/>
        <v>0</v>
      </c>
    </row>
    <row r="74" spans="1:52" s="238" customFormat="1" x14ac:dyDescent="0.2">
      <c r="A74" s="225">
        <v>14</v>
      </c>
      <c r="B74" s="226">
        <v>4440</v>
      </c>
      <c r="C74" s="226">
        <v>600074897</v>
      </c>
      <c r="D74" s="226">
        <v>48283029</v>
      </c>
      <c r="E74" s="224" t="s">
        <v>175</v>
      </c>
      <c r="F74" s="226">
        <v>3141</v>
      </c>
      <c r="G74" s="176" t="s">
        <v>316</v>
      </c>
      <c r="H74" s="227" t="s">
        <v>279</v>
      </c>
      <c r="I74" s="494">
        <v>3087629</v>
      </c>
      <c r="J74" s="489">
        <v>2254834</v>
      </c>
      <c r="K74" s="489">
        <v>0</v>
      </c>
      <c r="L74" s="489">
        <v>762134</v>
      </c>
      <c r="M74" s="489">
        <v>45097</v>
      </c>
      <c r="N74" s="489">
        <v>25564</v>
      </c>
      <c r="O74" s="490">
        <v>7.1</v>
      </c>
      <c r="P74" s="491">
        <v>0</v>
      </c>
      <c r="Q74" s="500">
        <v>7.1</v>
      </c>
      <c r="R74" s="502">
        <f t="shared" si="1"/>
        <v>0</v>
      </c>
      <c r="S74" s="492">
        <v>0</v>
      </c>
      <c r="T74" s="492">
        <v>0</v>
      </c>
      <c r="U74" s="492">
        <v>0</v>
      </c>
      <c r="V74" s="492">
        <f t="shared" si="2"/>
        <v>0</v>
      </c>
      <c r="W74" s="492">
        <v>0</v>
      </c>
      <c r="X74" s="492">
        <v>0</v>
      </c>
      <c r="Y74" s="492">
        <v>0</v>
      </c>
      <c r="Z74" s="492">
        <f t="shared" si="3"/>
        <v>0</v>
      </c>
      <c r="AA74" s="492">
        <f t="shared" si="4"/>
        <v>0</v>
      </c>
      <c r="AB74" s="74">
        <f t="shared" si="5"/>
        <v>0</v>
      </c>
      <c r="AC74" s="74">
        <f t="shared" si="6"/>
        <v>0</v>
      </c>
      <c r="AD74" s="492">
        <v>0</v>
      </c>
      <c r="AE74" s="492">
        <v>0</v>
      </c>
      <c r="AF74" s="492">
        <f t="shared" si="7"/>
        <v>0</v>
      </c>
      <c r="AG74" s="492">
        <f t="shared" si="8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80"/>
        <v>0</v>
      </c>
      <c r="AP74" s="493">
        <f t="shared" si="81"/>
        <v>0</v>
      </c>
      <c r="AQ74" s="495">
        <f t="shared" si="18"/>
        <v>0</v>
      </c>
      <c r="AR74" s="501">
        <f t="shared" si="10"/>
        <v>3087629</v>
      </c>
      <c r="AS74" s="492">
        <f t="shared" si="11"/>
        <v>2254834</v>
      </c>
      <c r="AT74" s="492">
        <f t="shared" si="82"/>
        <v>0</v>
      </c>
      <c r="AU74" s="492">
        <f t="shared" si="83"/>
        <v>762134</v>
      </c>
      <c r="AV74" s="492">
        <f t="shared" si="83"/>
        <v>45097</v>
      </c>
      <c r="AW74" s="492">
        <f t="shared" si="13"/>
        <v>25564</v>
      </c>
      <c r="AX74" s="493">
        <f t="shared" si="14"/>
        <v>7.1</v>
      </c>
      <c r="AY74" s="493">
        <f t="shared" si="84"/>
        <v>0</v>
      </c>
      <c r="AZ74" s="495">
        <f t="shared" si="84"/>
        <v>7.1</v>
      </c>
    </row>
    <row r="75" spans="1:52" s="238" customFormat="1" x14ac:dyDescent="0.2">
      <c r="A75" s="225">
        <v>14</v>
      </c>
      <c r="B75" s="226">
        <v>4440</v>
      </c>
      <c r="C75" s="226">
        <v>600074897</v>
      </c>
      <c r="D75" s="226">
        <v>48283029</v>
      </c>
      <c r="E75" s="224" t="s">
        <v>175</v>
      </c>
      <c r="F75" s="226">
        <v>3143</v>
      </c>
      <c r="G75" s="176" t="s">
        <v>629</v>
      </c>
      <c r="H75" s="243" t="s">
        <v>278</v>
      </c>
      <c r="I75" s="494">
        <v>2092200</v>
      </c>
      <c r="J75" s="489">
        <v>1540648</v>
      </c>
      <c r="K75" s="489">
        <v>0</v>
      </c>
      <c r="L75" s="489">
        <v>520739</v>
      </c>
      <c r="M75" s="489">
        <v>30813</v>
      </c>
      <c r="N75" s="489">
        <v>0</v>
      </c>
      <c r="O75" s="490">
        <v>3.2321</v>
      </c>
      <c r="P75" s="491">
        <v>3.2321</v>
      </c>
      <c r="Q75" s="500">
        <v>0</v>
      </c>
      <c r="R75" s="502">
        <f t="shared" si="1"/>
        <v>0</v>
      </c>
      <c r="S75" s="492">
        <v>0</v>
      </c>
      <c r="T75" s="492">
        <v>0</v>
      </c>
      <c r="U75" s="492">
        <v>0</v>
      </c>
      <c r="V75" s="492">
        <f t="shared" si="2"/>
        <v>0</v>
      </c>
      <c r="W75" s="492">
        <v>0</v>
      </c>
      <c r="X75" s="492">
        <v>0</v>
      </c>
      <c r="Y75" s="492">
        <v>0</v>
      </c>
      <c r="Z75" s="492">
        <f t="shared" si="3"/>
        <v>0</v>
      </c>
      <c r="AA75" s="492">
        <f t="shared" si="4"/>
        <v>0</v>
      </c>
      <c r="AB75" s="74">
        <f t="shared" si="5"/>
        <v>0</v>
      </c>
      <c r="AC75" s="74">
        <f t="shared" si="6"/>
        <v>0</v>
      </c>
      <c r="AD75" s="492">
        <v>0</v>
      </c>
      <c r="AE75" s="492">
        <v>0</v>
      </c>
      <c r="AF75" s="492">
        <f t="shared" si="7"/>
        <v>0</v>
      </c>
      <c r="AG75" s="492">
        <f t="shared" si="8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si="80"/>
        <v>0</v>
      </c>
      <c r="AP75" s="493">
        <f t="shared" si="81"/>
        <v>0</v>
      </c>
      <c r="AQ75" s="495">
        <f t="shared" si="18"/>
        <v>0</v>
      </c>
      <c r="AR75" s="501">
        <f t="shared" si="10"/>
        <v>2092200</v>
      </c>
      <c r="AS75" s="492">
        <f t="shared" si="11"/>
        <v>1540648</v>
      </c>
      <c r="AT75" s="492">
        <f t="shared" si="82"/>
        <v>0</v>
      </c>
      <c r="AU75" s="492">
        <f t="shared" si="83"/>
        <v>520739</v>
      </c>
      <c r="AV75" s="492">
        <f t="shared" si="83"/>
        <v>30813</v>
      </c>
      <c r="AW75" s="492">
        <f t="shared" si="13"/>
        <v>0</v>
      </c>
      <c r="AX75" s="493">
        <f t="shared" si="14"/>
        <v>3.2321</v>
      </c>
      <c r="AY75" s="493">
        <f t="shared" si="84"/>
        <v>3.2321</v>
      </c>
      <c r="AZ75" s="495">
        <f t="shared" si="84"/>
        <v>0</v>
      </c>
    </row>
    <row r="76" spans="1:52" s="238" customFormat="1" x14ac:dyDescent="0.2">
      <c r="A76" s="225">
        <v>14</v>
      </c>
      <c r="B76" s="226">
        <v>4440</v>
      </c>
      <c r="C76" s="226">
        <v>600074897</v>
      </c>
      <c r="D76" s="226">
        <v>48283029</v>
      </c>
      <c r="E76" s="224" t="s">
        <v>175</v>
      </c>
      <c r="F76" s="226">
        <v>3143</v>
      </c>
      <c r="G76" s="176" t="s">
        <v>630</v>
      </c>
      <c r="H76" s="243" t="s">
        <v>279</v>
      </c>
      <c r="I76" s="494">
        <v>88452</v>
      </c>
      <c r="J76" s="489">
        <v>62549</v>
      </c>
      <c r="K76" s="489">
        <v>0</v>
      </c>
      <c r="L76" s="489">
        <v>21142</v>
      </c>
      <c r="M76" s="489">
        <v>1251</v>
      </c>
      <c r="N76" s="489">
        <v>3510</v>
      </c>
      <c r="O76" s="490">
        <v>0.24</v>
      </c>
      <c r="P76" s="491">
        <v>0</v>
      </c>
      <c r="Q76" s="500">
        <v>0.24</v>
      </c>
      <c r="R76" s="502">
        <f t="shared" si="1"/>
        <v>0</v>
      </c>
      <c r="S76" s="492">
        <v>0</v>
      </c>
      <c r="T76" s="492">
        <v>0</v>
      </c>
      <c r="U76" s="492">
        <v>0</v>
      </c>
      <c r="V76" s="492">
        <f t="shared" si="2"/>
        <v>0</v>
      </c>
      <c r="W76" s="492">
        <v>0</v>
      </c>
      <c r="X76" s="492">
        <v>0</v>
      </c>
      <c r="Y76" s="492">
        <v>0</v>
      </c>
      <c r="Z76" s="492">
        <f t="shared" si="3"/>
        <v>0</v>
      </c>
      <c r="AA76" s="492">
        <f t="shared" si="4"/>
        <v>0</v>
      </c>
      <c r="AB76" s="74">
        <f t="shared" si="5"/>
        <v>0</v>
      </c>
      <c r="AC76" s="74">
        <f t="shared" si="6"/>
        <v>0</v>
      </c>
      <c r="AD76" s="492">
        <v>0</v>
      </c>
      <c r="AE76" s="492">
        <v>0</v>
      </c>
      <c r="AF76" s="492">
        <f t="shared" si="7"/>
        <v>0</v>
      </c>
      <c r="AG76" s="492">
        <f t="shared" si="8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80"/>
        <v>0</v>
      </c>
      <c r="AP76" s="493">
        <f t="shared" si="81"/>
        <v>0</v>
      </c>
      <c r="AQ76" s="495">
        <f t="shared" si="18"/>
        <v>0</v>
      </c>
      <c r="AR76" s="501">
        <f t="shared" si="10"/>
        <v>88452</v>
      </c>
      <c r="AS76" s="492">
        <f t="shared" si="11"/>
        <v>62549</v>
      </c>
      <c r="AT76" s="492">
        <f t="shared" si="82"/>
        <v>0</v>
      </c>
      <c r="AU76" s="492">
        <f t="shared" si="83"/>
        <v>21142</v>
      </c>
      <c r="AV76" s="492">
        <f t="shared" si="83"/>
        <v>1251</v>
      </c>
      <c r="AW76" s="492">
        <f t="shared" si="13"/>
        <v>3510</v>
      </c>
      <c r="AX76" s="493">
        <f t="shared" si="14"/>
        <v>0.24</v>
      </c>
      <c r="AY76" s="493">
        <f t="shared" si="84"/>
        <v>0</v>
      </c>
      <c r="AZ76" s="495">
        <f t="shared" si="84"/>
        <v>0.24</v>
      </c>
    </row>
    <row r="77" spans="1:52" s="238" customFormat="1" x14ac:dyDescent="0.2">
      <c r="A77" s="166">
        <v>14</v>
      </c>
      <c r="B77" s="20">
        <v>4440</v>
      </c>
      <c r="C77" s="20">
        <v>600074897</v>
      </c>
      <c r="D77" s="20">
        <v>48283029</v>
      </c>
      <c r="E77" s="175" t="s">
        <v>176</v>
      </c>
      <c r="F77" s="20"/>
      <c r="G77" s="165"/>
      <c r="H77" s="199"/>
      <c r="I77" s="553">
        <v>38825524</v>
      </c>
      <c r="J77" s="550">
        <v>28002029</v>
      </c>
      <c r="K77" s="550">
        <v>78000</v>
      </c>
      <c r="L77" s="550">
        <v>9491050</v>
      </c>
      <c r="M77" s="550">
        <v>560041</v>
      </c>
      <c r="N77" s="550">
        <v>694404</v>
      </c>
      <c r="O77" s="551">
        <v>56.251300000000001</v>
      </c>
      <c r="P77" s="551">
        <v>40.071900000000007</v>
      </c>
      <c r="Q77" s="555">
        <v>16.179399999999998</v>
      </c>
      <c r="R77" s="553">
        <f t="shared" ref="R77:AZ77" si="85">SUM(R72:R76)</f>
        <v>0</v>
      </c>
      <c r="S77" s="550">
        <f t="shared" si="85"/>
        <v>0</v>
      </c>
      <c r="T77" s="550">
        <f t="shared" si="85"/>
        <v>0</v>
      </c>
      <c r="U77" s="550">
        <f t="shared" si="85"/>
        <v>0</v>
      </c>
      <c r="V77" s="550">
        <f t="shared" si="85"/>
        <v>0</v>
      </c>
      <c r="W77" s="550">
        <f t="shared" si="85"/>
        <v>0</v>
      </c>
      <c r="X77" s="550">
        <f t="shared" si="85"/>
        <v>0</v>
      </c>
      <c r="Y77" s="550">
        <f t="shared" si="85"/>
        <v>0</v>
      </c>
      <c r="Z77" s="550">
        <f t="shared" si="85"/>
        <v>0</v>
      </c>
      <c r="AA77" s="550">
        <f t="shared" si="85"/>
        <v>0</v>
      </c>
      <c r="AB77" s="550">
        <f t="shared" si="85"/>
        <v>0</v>
      </c>
      <c r="AC77" s="550">
        <f t="shared" si="85"/>
        <v>0</v>
      </c>
      <c r="AD77" s="550">
        <f t="shared" si="85"/>
        <v>0</v>
      </c>
      <c r="AE77" s="550">
        <f t="shared" si="85"/>
        <v>0</v>
      </c>
      <c r="AF77" s="550">
        <f t="shared" si="85"/>
        <v>0</v>
      </c>
      <c r="AG77" s="550">
        <f t="shared" si="85"/>
        <v>0</v>
      </c>
      <c r="AH77" s="551">
        <f t="shared" si="85"/>
        <v>0</v>
      </c>
      <c r="AI77" s="551">
        <f t="shared" si="85"/>
        <v>0</v>
      </c>
      <c r="AJ77" s="551">
        <f t="shared" si="85"/>
        <v>0</v>
      </c>
      <c r="AK77" s="551">
        <f t="shared" si="85"/>
        <v>0</v>
      </c>
      <c r="AL77" s="551">
        <f t="shared" si="85"/>
        <v>0</v>
      </c>
      <c r="AM77" s="551">
        <f t="shared" si="85"/>
        <v>0</v>
      </c>
      <c r="AN77" s="551">
        <f t="shared" si="85"/>
        <v>0</v>
      </c>
      <c r="AO77" s="551">
        <f t="shared" si="85"/>
        <v>0</v>
      </c>
      <c r="AP77" s="551">
        <f t="shared" si="85"/>
        <v>0</v>
      </c>
      <c r="AQ77" s="44">
        <f t="shared" si="85"/>
        <v>0</v>
      </c>
      <c r="AR77" s="557">
        <f t="shared" si="85"/>
        <v>38825524</v>
      </c>
      <c r="AS77" s="550">
        <f t="shared" si="85"/>
        <v>28002029</v>
      </c>
      <c r="AT77" s="550">
        <f t="shared" si="85"/>
        <v>78000</v>
      </c>
      <c r="AU77" s="550">
        <f t="shared" si="85"/>
        <v>9491050</v>
      </c>
      <c r="AV77" s="550">
        <f t="shared" si="85"/>
        <v>560041</v>
      </c>
      <c r="AW77" s="550">
        <f t="shared" si="85"/>
        <v>694404</v>
      </c>
      <c r="AX77" s="551">
        <f t="shared" si="85"/>
        <v>56.251300000000001</v>
      </c>
      <c r="AY77" s="551">
        <f t="shared" si="85"/>
        <v>40.071900000000007</v>
      </c>
      <c r="AZ77" s="44">
        <f t="shared" si="85"/>
        <v>16.179399999999998</v>
      </c>
    </row>
    <row r="78" spans="1:52" s="238" customFormat="1" x14ac:dyDescent="0.2">
      <c r="A78" s="225">
        <v>15</v>
      </c>
      <c r="B78" s="226">
        <v>4442</v>
      </c>
      <c r="C78" s="226">
        <v>600074901</v>
      </c>
      <c r="D78" s="226">
        <v>48283061</v>
      </c>
      <c r="E78" s="224" t="s">
        <v>177</v>
      </c>
      <c r="F78" s="226">
        <v>3113</v>
      </c>
      <c r="G78" s="176" t="s">
        <v>315</v>
      </c>
      <c r="H78" s="227" t="s">
        <v>278</v>
      </c>
      <c r="I78" s="494">
        <v>20518896</v>
      </c>
      <c r="J78" s="489">
        <v>14797092</v>
      </c>
      <c r="K78" s="489">
        <v>9750</v>
      </c>
      <c r="L78" s="489">
        <v>5004712</v>
      </c>
      <c r="M78" s="489">
        <v>295942</v>
      </c>
      <c r="N78" s="489">
        <v>411400</v>
      </c>
      <c r="O78" s="490">
        <v>25.237099999999998</v>
      </c>
      <c r="P78" s="491">
        <v>19</v>
      </c>
      <c r="Q78" s="500">
        <v>6.2370999999999999</v>
      </c>
      <c r="R78" s="502">
        <f t="shared" ref="R78:R141" si="86">W78*-1</f>
        <v>0</v>
      </c>
      <c r="S78" s="492">
        <v>0</v>
      </c>
      <c r="T78" s="492">
        <v>0</v>
      </c>
      <c r="U78" s="492">
        <v>0</v>
      </c>
      <c r="V78" s="492">
        <f t="shared" ref="V78:V141" si="87">SUM(R78:U78)</f>
        <v>0</v>
      </c>
      <c r="W78" s="492">
        <v>0</v>
      </c>
      <c r="X78" s="492">
        <v>0</v>
      </c>
      <c r="Y78" s="492">
        <v>0</v>
      </c>
      <c r="Z78" s="492">
        <f t="shared" ref="Z78:Z141" si="88">SUM(W78:Y78)</f>
        <v>0</v>
      </c>
      <c r="AA78" s="492">
        <f t="shared" ref="AA78:AA141" si="89">V78+Z78</f>
        <v>0</v>
      </c>
      <c r="AB78" s="74">
        <f t="shared" ref="AB78:AB141" si="90">ROUND((V78+W78+X78)*33.8%,0)</f>
        <v>0</v>
      </c>
      <c r="AC78" s="74">
        <f t="shared" ref="AC78:AC141" si="91">ROUND(V78*2%,0)</f>
        <v>0</v>
      </c>
      <c r="AD78" s="492">
        <v>0</v>
      </c>
      <c r="AE78" s="492">
        <v>0</v>
      </c>
      <c r="AF78" s="492">
        <f t="shared" ref="AF78:AF141" si="92">SUM(AD78:AE78)</f>
        <v>0</v>
      </c>
      <c r="AG78" s="492">
        <f t="shared" ref="AG78:AG141" si="93"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ref="AO78:AO83" si="94">AH78+AJ78+AM78+AK78</f>
        <v>0</v>
      </c>
      <c r="AP78" s="493">
        <f t="shared" ref="AP78:AP83" si="95">AI78+AN78+AL78</f>
        <v>0</v>
      </c>
      <c r="AQ78" s="495">
        <f t="shared" ref="AQ78:AQ141" si="96">SUM(AO78:AP78)</f>
        <v>0</v>
      </c>
      <c r="AR78" s="501">
        <f t="shared" ref="AR78:AR141" si="97">I78+AG78</f>
        <v>20518896</v>
      </c>
      <c r="AS78" s="492">
        <f t="shared" ref="AS78:AS141" si="98">J78+V78</f>
        <v>14797092</v>
      </c>
      <c r="AT78" s="492">
        <f t="shared" ref="AT78:AT83" si="99">K78+Z78</f>
        <v>9750</v>
      </c>
      <c r="AU78" s="492">
        <f t="shared" ref="AU78:AV83" si="100">L78+AB78</f>
        <v>5004712</v>
      </c>
      <c r="AV78" s="492">
        <f t="shared" si="100"/>
        <v>295942</v>
      </c>
      <c r="AW78" s="492">
        <f t="shared" ref="AW78:AW141" si="101">N78+AF78</f>
        <v>411400</v>
      </c>
      <c r="AX78" s="493">
        <f t="shared" ref="AX78:AX141" si="102">O78+AQ78</f>
        <v>25.237099999999998</v>
      </c>
      <c r="AY78" s="493">
        <f t="shared" ref="AY78:AZ83" si="103">P78+AO78</f>
        <v>19</v>
      </c>
      <c r="AZ78" s="495">
        <f t="shared" si="103"/>
        <v>6.2370999999999999</v>
      </c>
    </row>
    <row r="79" spans="1:52" s="238" customFormat="1" x14ac:dyDescent="0.2">
      <c r="A79" s="225">
        <v>15</v>
      </c>
      <c r="B79" s="226">
        <v>4442</v>
      </c>
      <c r="C79" s="226">
        <v>600074901</v>
      </c>
      <c r="D79" s="226">
        <v>48283061</v>
      </c>
      <c r="E79" s="224" t="s">
        <v>177</v>
      </c>
      <c r="F79" s="226">
        <v>3113</v>
      </c>
      <c r="G79" s="176" t="s">
        <v>313</v>
      </c>
      <c r="H79" s="227" t="s">
        <v>279</v>
      </c>
      <c r="I79" s="494">
        <v>1711995</v>
      </c>
      <c r="J79" s="489">
        <v>1260674</v>
      </c>
      <c r="K79" s="489">
        <v>0</v>
      </c>
      <c r="L79" s="489">
        <v>426108</v>
      </c>
      <c r="M79" s="489">
        <v>25213</v>
      </c>
      <c r="N79" s="489">
        <v>0</v>
      </c>
      <c r="O79" s="490">
        <v>3.64</v>
      </c>
      <c r="P79" s="491">
        <v>3.64</v>
      </c>
      <c r="Q79" s="500">
        <v>0</v>
      </c>
      <c r="R79" s="502">
        <f t="shared" si="86"/>
        <v>0</v>
      </c>
      <c r="S79" s="492">
        <v>0</v>
      </c>
      <c r="T79" s="492">
        <v>0</v>
      </c>
      <c r="U79" s="492">
        <v>0</v>
      </c>
      <c r="V79" s="492">
        <f t="shared" si="87"/>
        <v>0</v>
      </c>
      <c r="W79" s="492">
        <v>0</v>
      </c>
      <c r="X79" s="492">
        <v>0</v>
      </c>
      <c r="Y79" s="492">
        <v>0</v>
      </c>
      <c r="Z79" s="492">
        <f t="shared" si="88"/>
        <v>0</v>
      </c>
      <c r="AA79" s="492">
        <f t="shared" si="89"/>
        <v>0</v>
      </c>
      <c r="AB79" s="74">
        <f t="shared" si="90"/>
        <v>0</v>
      </c>
      <c r="AC79" s="74">
        <f t="shared" si="91"/>
        <v>0</v>
      </c>
      <c r="AD79" s="492">
        <v>0</v>
      </c>
      <c r="AE79" s="492">
        <v>0</v>
      </c>
      <c r="AF79" s="492">
        <f t="shared" si="92"/>
        <v>0</v>
      </c>
      <c r="AG79" s="492">
        <f t="shared" si="93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94"/>
        <v>0</v>
      </c>
      <c r="AP79" s="493">
        <f t="shared" si="95"/>
        <v>0</v>
      </c>
      <c r="AQ79" s="495">
        <f t="shared" si="96"/>
        <v>0</v>
      </c>
      <c r="AR79" s="501">
        <f t="shared" si="97"/>
        <v>1711995</v>
      </c>
      <c r="AS79" s="492">
        <f t="shared" si="98"/>
        <v>1260674</v>
      </c>
      <c r="AT79" s="492">
        <f t="shared" si="99"/>
        <v>0</v>
      </c>
      <c r="AU79" s="492">
        <f t="shared" si="100"/>
        <v>426108</v>
      </c>
      <c r="AV79" s="492">
        <f t="shared" si="100"/>
        <v>25213</v>
      </c>
      <c r="AW79" s="492">
        <f t="shared" si="101"/>
        <v>0</v>
      </c>
      <c r="AX79" s="493">
        <f t="shared" si="102"/>
        <v>3.64</v>
      </c>
      <c r="AY79" s="493">
        <f t="shared" si="103"/>
        <v>3.64</v>
      </c>
      <c r="AZ79" s="495">
        <f t="shared" si="103"/>
        <v>0</v>
      </c>
    </row>
    <row r="80" spans="1:52" s="238" customFormat="1" x14ac:dyDescent="0.2">
      <c r="A80" s="225">
        <v>15</v>
      </c>
      <c r="B80" s="226">
        <v>4442</v>
      </c>
      <c r="C80" s="226">
        <v>600074901</v>
      </c>
      <c r="D80" s="226">
        <v>48283061</v>
      </c>
      <c r="E80" s="224" t="s">
        <v>177</v>
      </c>
      <c r="F80" s="226">
        <v>3141</v>
      </c>
      <c r="G80" s="176" t="s">
        <v>316</v>
      </c>
      <c r="H80" s="227" t="s">
        <v>279</v>
      </c>
      <c r="I80" s="494">
        <v>1603816</v>
      </c>
      <c r="J80" s="489">
        <v>1165426</v>
      </c>
      <c r="K80" s="489">
        <v>6500</v>
      </c>
      <c r="L80" s="489">
        <v>396111</v>
      </c>
      <c r="M80" s="489">
        <v>23309</v>
      </c>
      <c r="N80" s="489">
        <v>12470</v>
      </c>
      <c r="O80" s="490">
        <v>3.69</v>
      </c>
      <c r="P80" s="491">
        <v>0</v>
      </c>
      <c r="Q80" s="500">
        <v>3.69</v>
      </c>
      <c r="R80" s="502">
        <f t="shared" si="86"/>
        <v>0</v>
      </c>
      <c r="S80" s="492">
        <v>0</v>
      </c>
      <c r="T80" s="492">
        <v>0</v>
      </c>
      <c r="U80" s="492">
        <v>0</v>
      </c>
      <c r="V80" s="492">
        <f t="shared" si="87"/>
        <v>0</v>
      </c>
      <c r="W80" s="492">
        <v>0</v>
      </c>
      <c r="X80" s="492">
        <v>0</v>
      </c>
      <c r="Y80" s="492">
        <v>0</v>
      </c>
      <c r="Z80" s="492">
        <f t="shared" si="88"/>
        <v>0</v>
      </c>
      <c r="AA80" s="492">
        <f t="shared" si="89"/>
        <v>0</v>
      </c>
      <c r="AB80" s="74">
        <f t="shared" si="90"/>
        <v>0</v>
      </c>
      <c r="AC80" s="74">
        <f t="shared" si="91"/>
        <v>0</v>
      </c>
      <c r="AD80" s="492">
        <v>0</v>
      </c>
      <c r="AE80" s="492">
        <v>0</v>
      </c>
      <c r="AF80" s="492">
        <f t="shared" si="92"/>
        <v>0</v>
      </c>
      <c r="AG80" s="492">
        <f t="shared" si="93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94"/>
        <v>0</v>
      </c>
      <c r="AP80" s="493">
        <f t="shared" si="95"/>
        <v>0</v>
      </c>
      <c r="AQ80" s="495">
        <f t="shared" si="96"/>
        <v>0</v>
      </c>
      <c r="AR80" s="501">
        <f t="shared" si="97"/>
        <v>1603816</v>
      </c>
      <c r="AS80" s="492">
        <f t="shared" si="98"/>
        <v>1165426</v>
      </c>
      <c r="AT80" s="492">
        <f t="shared" si="99"/>
        <v>6500</v>
      </c>
      <c r="AU80" s="492">
        <f t="shared" si="100"/>
        <v>396111</v>
      </c>
      <c r="AV80" s="492">
        <f t="shared" si="100"/>
        <v>23309</v>
      </c>
      <c r="AW80" s="492">
        <f t="shared" si="101"/>
        <v>12470</v>
      </c>
      <c r="AX80" s="493">
        <f t="shared" si="102"/>
        <v>3.69</v>
      </c>
      <c r="AY80" s="493">
        <f t="shared" si="103"/>
        <v>0</v>
      </c>
      <c r="AZ80" s="495">
        <f t="shared" si="103"/>
        <v>3.69</v>
      </c>
    </row>
    <row r="81" spans="1:52" s="238" customFormat="1" x14ac:dyDescent="0.2">
      <c r="A81" s="225">
        <v>15</v>
      </c>
      <c r="B81" s="226">
        <v>4442</v>
      </c>
      <c r="C81" s="226">
        <v>600074901</v>
      </c>
      <c r="D81" s="226">
        <v>48283061</v>
      </c>
      <c r="E81" s="219" t="s">
        <v>177</v>
      </c>
      <c r="F81" s="226">
        <v>3143</v>
      </c>
      <c r="G81" s="176" t="s">
        <v>629</v>
      </c>
      <c r="H81" s="243" t="s">
        <v>278</v>
      </c>
      <c r="I81" s="494">
        <v>1837055</v>
      </c>
      <c r="J81" s="489">
        <v>1343799</v>
      </c>
      <c r="K81" s="489">
        <v>9100</v>
      </c>
      <c r="L81" s="489">
        <v>457280</v>
      </c>
      <c r="M81" s="489">
        <v>26876</v>
      </c>
      <c r="N81" s="489">
        <v>0</v>
      </c>
      <c r="O81" s="490">
        <v>2.6551</v>
      </c>
      <c r="P81" s="491">
        <v>2.6551</v>
      </c>
      <c r="Q81" s="500">
        <v>0</v>
      </c>
      <c r="R81" s="502">
        <f t="shared" si="86"/>
        <v>0</v>
      </c>
      <c r="S81" s="492">
        <v>0</v>
      </c>
      <c r="T81" s="492">
        <v>0</v>
      </c>
      <c r="U81" s="492">
        <v>0</v>
      </c>
      <c r="V81" s="492">
        <f t="shared" si="87"/>
        <v>0</v>
      </c>
      <c r="W81" s="492">
        <v>0</v>
      </c>
      <c r="X81" s="492">
        <v>0</v>
      </c>
      <c r="Y81" s="492">
        <v>0</v>
      </c>
      <c r="Z81" s="492">
        <f t="shared" si="88"/>
        <v>0</v>
      </c>
      <c r="AA81" s="492">
        <f t="shared" si="89"/>
        <v>0</v>
      </c>
      <c r="AB81" s="74">
        <f t="shared" si="90"/>
        <v>0</v>
      </c>
      <c r="AC81" s="74">
        <f t="shared" si="91"/>
        <v>0</v>
      </c>
      <c r="AD81" s="492">
        <v>0</v>
      </c>
      <c r="AE81" s="492">
        <v>0</v>
      </c>
      <c r="AF81" s="492">
        <f t="shared" si="92"/>
        <v>0</v>
      </c>
      <c r="AG81" s="492">
        <f t="shared" si="93"/>
        <v>0</v>
      </c>
      <c r="AH81" s="493">
        <v>0</v>
      </c>
      <c r="AI81" s="493">
        <v>0</v>
      </c>
      <c r="AJ81" s="493">
        <v>0</v>
      </c>
      <c r="AK81" s="493">
        <v>0</v>
      </c>
      <c r="AL81" s="493">
        <v>0</v>
      </c>
      <c r="AM81" s="493">
        <v>0</v>
      </c>
      <c r="AN81" s="493">
        <v>0</v>
      </c>
      <c r="AO81" s="493">
        <f t="shared" si="94"/>
        <v>0</v>
      </c>
      <c r="AP81" s="493">
        <f t="shared" si="95"/>
        <v>0</v>
      </c>
      <c r="AQ81" s="495">
        <f t="shared" si="96"/>
        <v>0</v>
      </c>
      <c r="AR81" s="501">
        <f t="shared" si="97"/>
        <v>1837055</v>
      </c>
      <c r="AS81" s="492">
        <f t="shared" si="98"/>
        <v>1343799</v>
      </c>
      <c r="AT81" s="492">
        <f t="shared" si="99"/>
        <v>9100</v>
      </c>
      <c r="AU81" s="492">
        <f t="shared" si="100"/>
        <v>457280</v>
      </c>
      <c r="AV81" s="492">
        <f t="shared" si="100"/>
        <v>26876</v>
      </c>
      <c r="AW81" s="492">
        <f t="shared" si="101"/>
        <v>0</v>
      </c>
      <c r="AX81" s="493">
        <f t="shared" si="102"/>
        <v>2.6551</v>
      </c>
      <c r="AY81" s="493">
        <f t="shared" si="103"/>
        <v>2.6551</v>
      </c>
      <c r="AZ81" s="495">
        <f t="shared" si="103"/>
        <v>0</v>
      </c>
    </row>
    <row r="82" spans="1:52" s="238" customFormat="1" x14ac:dyDescent="0.2">
      <c r="A82" s="225">
        <v>15</v>
      </c>
      <c r="B82" s="226">
        <v>4442</v>
      </c>
      <c r="C82" s="226">
        <v>600074901</v>
      </c>
      <c r="D82" s="226">
        <v>48283061</v>
      </c>
      <c r="E82" s="219" t="s">
        <v>177</v>
      </c>
      <c r="F82" s="226">
        <v>3143</v>
      </c>
      <c r="G82" s="176" t="s">
        <v>630</v>
      </c>
      <c r="H82" s="243" t="s">
        <v>279</v>
      </c>
      <c r="I82" s="494">
        <v>57456</v>
      </c>
      <c r="J82" s="489">
        <v>40630</v>
      </c>
      <c r="K82" s="489">
        <v>0</v>
      </c>
      <c r="L82" s="489">
        <v>13733</v>
      </c>
      <c r="M82" s="489">
        <v>813</v>
      </c>
      <c r="N82" s="489">
        <v>2280</v>
      </c>
      <c r="O82" s="490">
        <v>0.16</v>
      </c>
      <c r="P82" s="491">
        <v>0</v>
      </c>
      <c r="Q82" s="500">
        <v>0.16</v>
      </c>
      <c r="R82" s="502">
        <f t="shared" si="86"/>
        <v>0</v>
      </c>
      <c r="S82" s="492">
        <v>0</v>
      </c>
      <c r="T82" s="492">
        <v>0</v>
      </c>
      <c r="U82" s="492">
        <v>0</v>
      </c>
      <c r="V82" s="492">
        <f t="shared" si="87"/>
        <v>0</v>
      </c>
      <c r="W82" s="492">
        <v>0</v>
      </c>
      <c r="X82" s="492">
        <v>0</v>
      </c>
      <c r="Y82" s="492">
        <v>0</v>
      </c>
      <c r="Z82" s="492">
        <f t="shared" si="88"/>
        <v>0</v>
      </c>
      <c r="AA82" s="492">
        <f t="shared" si="89"/>
        <v>0</v>
      </c>
      <c r="AB82" s="74">
        <f t="shared" si="90"/>
        <v>0</v>
      </c>
      <c r="AC82" s="74">
        <f t="shared" si="91"/>
        <v>0</v>
      </c>
      <c r="AD82" s="492">
        <v>0</v>
      </c>
      <c r="AE82" s="492">
        <v>0</v>
      </c>
      <c r="AF82" s="492">
        <f t="shared" si="92"/>
        <v>0</v>
      </c>
      <c r="AG82" s="492">
        <f t="shared" si="93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si="94"/>
        <v>0</v>
      </c>
      <c r="AP82" s="493">
        <f t="shared" si="95"/>
        <v>0</v>
      </c>
      <c r="AQ82" s="495">
        <f t="shared" si="96"/>
        <v>0</v>
      </c>
      <c r="AR82" s="501">
        <f t="shared" si="97"/>
        <v>57456</v>
      </c>
      <c r="AS82" s="492">
        <f t="shared" si="98"/>
        <v>40630</v>
      </c>
      <c r="AT82" s="492">
        <f t="shared" si="99"/>
        <v>0</v>
      </c>
      <c r="AU82" s="492">
        <f t="shared" si="100"/>
        <v>13733</v>
      </c>
      <c r="AV82" s="492">
        <f t="shared" si="100"/>
        <v>813</v>
      </c>
      <c r="AW82" s="492">
        <f t="shared" si="101"/>
        <v>2280</v>
      </c>
      <c r="AX82" s="493">
        <f t="shared" si="102"/>
        <v>0.16</v>
      </c>
      <c r="AY82" s="493">
        <f t="shared" si="103"/>
        <v>0</v>
      </c>
      <c r="AZ82" s="495">
        <f t="shared" si="103"/>
        <v>0.16</v>
      </c>
    </row>
    <row r="83" spans="1:52" s="238" customFormat="1" x14ac:dyDescent="0.2">
      <c r="A83" s="225">
        <v>15</v>
      </c>
      <c r="B83" s="226">
        <v>4442</v>
      </c>
      <c r="C83" s="226">
        <v>600074901</v>
      </c>
      <c r="D83" s="226">
        <v>48283061</v>
      </c>
      <c r="E83" s="219" t="s">
        <v>177</v>
      </c>
      <c r="F83" s="226">
        <v>3143</v>
      </c>
      <c r="G83" s="176" t="s">
        <v>318</v>
      </c>
      <c r="H83" s="243" t="s">
        <v>279</v>
      </c>
      <c r="I83" s="494">
        <v>255018</v>
      </c>
      <c r="J83" s="489">
        <v>187510</v>
      </c>
      <c r="K83" s="489">
        <v>0</v>
      </c>
      <c r="L83" s="489">
        <v>63378</v>
      </c>
      <c r="M83" s="489">
        <v>3750</v>
      </c>
      <c r="N83" s="489">
        <v>380</v>
      </c>
      <c r="O83" s="490">
        <v>0.39999999999999997</v>
      </c>
      <c r="P83" s="491">
        <v>0.36</v>
      </c>
      <c r="Q83" s="500">
        <v>0.04</v>
      </c>
      <c r="R83" s="502">
        <f t="shared" si="86"/>
        <v>0</v>
      </c>
      <c r="S83" s="492">
        <v>0</v>
      </c>
      <c r="T83" s="492">
        <v>0</v>
      </c>
      <c r="U83" s="492">
        <v>0</v>
      </c>
      <c r="V83" s="492">
        <f t="shared" si="87"/>
        <v>0</v>
      </c>
      <c r="W83" s="492">
        <v>0</v>
      </c>
      <c r="X83" s="492">
        <v>0</v>
      </c>
      <c r="Y83" s="492">
        <v>0</v>
      </c>
      <c r="Z83" s="492">
        <f t="shared" si="88"/>
        <v>0</v>
      </c>
      <c r="AA83" s="492">
        <f t="shared" si="89"/>
        <v>0</v>
      </c>
      <c r="AB83" s="74">
        <f t="shared" si="90"/>
        <v>0</v>
      </c>
      <c r="AC83" s="74">
        <f t="shared" si="91"/>
        <v>0</v>
      </c>
      <c r="AD83" s="492">
        <v>0</v>
      </c>
      <c r="AE83" s="492">
        <v>0</v>
      </c>
      <c r="AF83" s="492">
        <f t="shared" si="92"/>
        <v>0</v>
      </c>
      <c r="AG83" s="492">
        <f t="shared" si="93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94"/>
        <v>0</v>
      </c>
      <c r="AP83" s="493">
        <f t="shared" si="95"/>
        <v>0</v>
      </c>
      <c r="AQ83" s="495">
        <f t="shared" si="96"/>
        <v>0</v>
      </c>
      <c r="AR83" s="501">
        <f t="shared" si="97"/>
        <v>255018</v>
      </c>
      <c r="AS83" s="492">
        <f t="shared" si="98"/>
        <v>187510</v>
      </c>
      <c r="AT83" s="492">
        <f t="shared" si="99"/>
        <v>0</v>
      </c>
      <c r="AU83" s="492">
        <f t="shared" si="100"/>
        <v>63378</v>
      </c>
      <c r="AV83" s="492">
        <f t="shared" si="100"/>
        <v>3750</v>
      </c>
      <c r="AW83" s="492">
        <f t="shared" si="101"/>
        <v>380</v>
      </c>
      <c r="AX83" s="493">
        <f t="shared" si="102"/>
        <v>0.39999999999999997</v>
      </c>
      <c r="AY83" s="493">
        <f t="shared" si="103"/>
        <v>0.36</v>
      </c>
      <c r="AZ83" s="495">
        <f t="shared" si="103"/>
        <v>0.04</v>
      </c>
    </row>
    <row r="84" spans="1:52" s="238" customFormat="1" x14ac:dyDescent="0.2">
      <c r="A84" s="166">
        <v>15</v>
      </c>
      <c r="B84" s="20">
        <v>4442</v>
      </c>
      <c r="C84" s="20">
        <v>600074901</v>
      </c>
      <c r="D84" s="20">
        <v>48283061</v>
      </c>
      <c r="E84" s="175" t="s">
        <v>178</v>
      </c>
      <c r="F84" s="20"/>
      <c r="G84" s="165"/>
      <c r="H84" s="199"/>
      <c r="I84" s="553">
        <v>25984236</v>
      </c>
      <c r="J84" s="550">
        <v>18795131</v>
      </c>
      <c r="K84" s="550">
        <v>25350</v>
      </c>
      <c r="L84" s="550">
        <v>6361322</v>
      </c>
      <c r="M84" s="550">
        <v>375903</v>
      </c>
      <c r="N84" s="550">
        <v>426530</v>
      </c>
      <c r="O84" s="551">
        <v>35.782199999999989</v>
      </c>
      <c r="P84" s="551">
        <v>25.655100000000001</v>
      </c>
      <c r="Q84" s="555">
        <v>10.127099999999999</v>
      </c>
      <c r="R84" s="553">
        <f t="shared" ref="R84:AZ84" si="104">SUM(R78:R83)</f>
        <v>0</v>
      </c>
      <c r="S84" s="550">
        <f t="shared" si="104"/>
        <v>0</v>
      </c>
      <c r="T84" s="550">
        <f t="shared" si="104"/>
        <v>0</v>
      </c>
      <c r="U84" s="550">
        <f t="shared" si="104"/>
        <v>0</v>
      </c>
      <c r="V84" s="550">
        <f t="shared" si="104"/>
        <v>0</v>
      </c>
      <c r="W84" s="550">
        <f t="shared" si="104"/>
        <v>0</v>
      </c>
      <c r="X84" s="550">
        <f t="shared" si="104"/>
        <v>0</v>
      </c>
      <c r="Y84" s="550">
        <f t="shared" si="104"/>
        <v>0</v>
      </c>
      <c r="Z84" s="550">
        <f t="shared" si="104"/>
        <v>0</v>
      </c>
      <c r="AA84" s="550">
        <f t="shared" si="104"/>
        <v>0</v>
      </c>
      <c r="AB84" s="550">
        <f t="shared" si="104"/>
        <v>0</v>
      </c>
      <c r="AC84" s="550">
        <f t="shared" si="104"/>
        <v>0</v>
      </c>
      <c r="AD84" s="550">
        <f t="shared" si="104"/>
        <v>0</v>
      </c>
      <c r="AE84" s="550">
        <f t="shared" si="104"/>
        <v>0</v>
      </c>
      <c r="AF84" s="550">
        <f t="shared" si="104"/>
        <v>0</v>
      </c>
      <c r="AG84" s="550">
        <f t="shared" si="104"/>
        <v>0</v>
      </c>
      <c r="AH84" s="551">
        <f t="shared" si="104"/>
        <v>0</v>
      </c>
      <c r="AI84" s="551">
        <f t="shared" si="104"/>
        <v>0</v>
      </c>
      <c r="AJ84" s="551">
        <f t="shared" si="104"/>
        <v>0</v>
      </c>
      <c r="AK84" s="551">
        <f t="shared" si="104"/>
        <v>0</v>
      </c>
      <c r="AL84" s="551">
        <f t="shared" si="104"/>
        <v>0</v>
      </c>
      <c r="AM84" s="551">
        <f t="shared" si="104"/>
        <v>0</v>
      </c>
      <c r="AN84" s="551">
        <f t="shared" si="104"/>
        <v>0</v>
      </c>
      <c r="AO84" s="551">
        <f t="shared" si="104"/>
        <v>0</v>
      </c>
      <c r="AP84" s="551">
        <f t="shared" si="104"/>
        <v>0</v>
      </c>
      <c r="AQ84" s="44">
        <f t="shared" si="104"/>
        <v>0</v>
      </c>
      <c r="AR84" s="557">
        <f t="shared" si="104"/>
        <v>25984236</v>
      </c>
      <c r="AS84" s="550">
        <f t="shared" si="104"/>
        <v>18795131</v>
      </c>
      <c r="AT84" s="550">
        <f t="shared" si="104"/>
        <v>25350</v>
      </c>
      <c r="AU84" s="550">
        <f t="shared" si="104"/>
        <v>6361322</v>
      </c>
      <c r="AV84" s="550">
        <f t="shared" si="104"/>
        <v>375903</v>
      </c>
      <c r="AW84" s="550">
        <f t="shared" si="104"/>
        <v>426530</v>
      </c>
      <c r="AX84" s="551">
        <f t="shared" si="104"/>
        <v>35.782199999999989</v>
      </c>
      <c r="AY84" s="551">
        <f t="shared" si="104"/>
        <v>25.655100000000001</v>
      </c>
      <c r="AZ84" s="44">
        <f t="shared" si="104"/>
        <v>10.127099999999999</v>
      </c>
    </row>
    <row r="85" spans="1:52" s="238" customFormat="1" x14ac:dyDescent="0.2">
      <c r="A85" s="225">
        <v>16</v>
      </c>
      <c r="B85" s="226">
        <v>4436</v>
      </c>
      <c r="C85" s="226">
        <v>600074986</v>
      </c>
      <c r="D85" s="226">
        <v>70982198</v>
      </c>
      <c r="E85" s="224" t="s">
        <v>179</v>
      </c>
      <c r="F85" s="226">
        <v>3113</v>
      </c>
      <c r="G85" s="176" t="s">
        <v>315</v>
      </c>
      <c r="H85" s="227" t="s">
        <v>278</v>
      </c>
      <c r="I85" s="494">
        <v>31118747</v>
      </c>
      <c r="J85" s="489">
        <v>22445747</v>
      </c>
      <c r="K85" s="489">
        <v>16900</v>
      </c>
      <c r="L85" s="489">
        <v>7592375</v>
      </c>
      <c r="M85" s="489">
        <v>448915</v>
      </c>
      <c r="N85" s="489">
        <v>614810</v>
      </c>
      <c r="O85" s="490">
        <v>41.277799999999999</v>
      </c>
      <c r="P85" s="491">
        <v>32.488199999999999</v>
      </c>
      <c r="Q85" s="500">
        <v>8.7896000000000001</v>
      </c>
      <c r="R85" s="502">
        <f t="shared" si="86"/>
        <v>0</v>
      </c>
      <c r="S85" s="492">
        <v>0</v>
      </c>
      <c r="T85" s="492">
        <v>0</v>
      </c>
      <c r="U85" s="492">
        <v>0</v>
      </c>
      <c r="V85" s="492">
        <f t="shared" si="87"/>
        <v>0</v>
      </c>
      <c r="W85" s="492">
        <v>0</v>
      </c>
      <c r="X85" s="492">
        <v>0</v>
      </c>
      <c r="Y85" s="492">
        <v>0</v>
      </c>
      <c r="Z85" s="492">
        <f t="shared" si="88"/>
        <v>0</v>
      </c>
      <c r="AA85" s="492">
        <f t="shared" si="89"/>
        <v>0</v>
      </c>
      <c r="AB85" s="74">
        <f t="shared" si="90"/>
        <v>0</v>
      </c>
      <c r="AC85" s="74">
        <f t="shared" si="91"/>
        <v>0</v>
      </c>
      <c r="AD85" s="492">
        <v>0</v>
      </c>
      <c r="AE85" s="492">
        <v>0</v>
      </c>
      <c r="AF85" s="492">
        <f t="shared" si="92"/>
        <v>0</v>
      </c>
      <c r="AG85" s="492">
        <f t="shared" si="93"/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ref="AO85:AO89" si="105">AH85+AJ85+AM85+AK85</f>
        <v>0</v>
      </c>
      <c r="AP85" s="493">
        <f t="shared" ref="AP85:AP89" si="106">AI85+AN85+AL85</f>
        <v>0</v>
      </c>
      <c r="AQ85" s="495">
        <f t="shared" si="96"/>
        <v>0</v>
      </c>
      <c r="AR85" s="501">
        <f t="shared" si="97"/>
        <v>31118747</v>
      </c>
      <c r="AS85" s="492">
        <f t="shared" si="98"/>
        <v>22445747</v>
      </c>
      <c r="AT85" s="492">
        <f t="shared" ref="AT85:AT89" si="107">K85+Z85</f>
        <v>16900</v>
      </c>
      <c r="AU85" s="492">
        <f t="shared" ref="AU85:AV89" si="108">L85+AB85</f>
        <v>7592375</v>
      </c>
      <c r="AV85" s="492">
        <f t="shared" si="108"/>
        <v>448915</v>
      </c>
      <c r="AW85" s="492">
        <f t="shared" si="101"/>
        <v>614810</v>
      </c>
      <c r="AX85" s="493">
        <f t="shared" si="102"/>
        <v>41.277799999999999</v>
      </c>
      <c r="AY85" s="493">
        <f t="shared" ref="AY85:AZ89" si="109">P85+AO85</f>
        <v>32.488199999999999</v>
      </c>
      <c r="AZ85" s="495">
        <f t="shared" si="109"/>
        <v>8.7896000000000001</v>
      </c>
    </row>
    <row r="86" spans="1:52" s="238" customFormat="1" x14ac:dyDescent="0.2">
      <c r="A86" s="225">
        <v>16</v>
      </c>
      <c r="B86" s="226">
        <v>4436</v>
      </c>
      <c r="C86" s="226">
        <v>600074986</v>
      </c>
      <c r="D86" s="226">
        <v>70982198</v>
      </c>
      <c r="E86" s="224" t="s">
        <v>179</v>
      </c>
      <c r="F86" s="226">
        <v>3113</v>
      </c>
      <c r="G86" s="176" t="s">
        <v>313</v>
      </c>
      <c r="H86" s="227" t="s">
        <v>279</v>
      </c>
      <c r="I86" s="494">
        <v>2000752</v>
      </c>
      <c r="J86" s="489">
        <v>1472387</v>
      </c>
      <c r="K86" s="489">
        <v>0</v>
      </c>
      <c r="L86" s="489">
        <v>497667</v>
      </c>
      <c r="M86" s="489">
        <v>29448</v>
      </c>
      <c r="N86" s="489">
        <v>1250</v>
      </c>
      <c r="O86" s="490">
        <v>4.25</v>
      </c>
      <c r="P86" s="491">
        <v>4.25</v>
      </c>
      <c r="Q86" s="500">
        <v>0</v>
      </c>
      <c r="R86" s="502">
        <f t="shared" si="86"/>
        <v>0</v>
      </c>
      <c r="S86" s="492">
        <v>0</v>
      </c>
      <c r="T86" s="492">
        <v>0</v>
      </c>
      <c r="U86" s="492">
        <v>0</v>
      </c>
      <c r="V86" s="492">
        <f t="shared" si="87"/>
        <v>0</v>
      </c>
      <c r="W86" s="492">
        <v>0</v>
      </c>
      <c r="X86" s="492">
        <v>0</v>
      </c>
      <c r="Y86" s="492">
        <v>0</v>
      </c>
      <c r="Z86" s="492">
        <f t="shared" si="88"/>
        <v>0</v>
      </c>
      <c r="AA86" s="492">
        <f t="shared" si="89"/>
        <v>0</v>
      </c>
      <c r="AB86" s="74">
        <f t="shared" si="90"/>
        <v>0</v>
      </c>
      <c r="AC86" s="74">
        <f t="shared" si="91"/>
        <v>0</v>
      </c>
      <c r="AD86" s="492">
        <v>0</v>
      </c>
      <c r="AE86" s="492">
        <v>0</v>
      </c>
      <c r="AF86" s="492">
        <f t="shared" si="92"/>
        <v>0</v>
      </c>
      <c r="AG86" s="492">
        <f t="shared" si="93"/>
        <v>0</v>
      </c>
      <c r="AH86" s="493">
        <v>0</v>
      </c>
      <c r="AI86" s="493">
        <v>0</v>
      </c>
      <c r="AJ86" s="493">
        <v>0</v>
      </c>
      <c r="AK86" s="493">
        <v>0</v>
      </c>
      <c r="AL86" s="493">
        <v>0</v>
      </c>
      <c r="AM86" s="493">
        <v>0</v>
      </c>
      <c r="AN86" s="493">
        <v>0</v>
      </c>
      <c r="AO86" s="493">
        <f t="shared" si="105"/>
        <v>0</v>
      </c>
      <c r="AP86" s="493">
        <f t="shared" si="106"/>
        <v>0</v>
      </c>
      <c r="AQ86" s="495">
        <f t="shared" si="96"/>
        <v>0</v>
      </c>
      <c r="AR86" s="501">
        <f t="shared" si="97"/>
        <v>2000752</v>
      </c>
      <c r="AS86" s="492">
        <f t="shared" si="98"/>
        <v>1472387</v>
      </c>
      <c r="AT86" s="492">
        <f t="shared" si="107"/>
        <v>0</v>
      </c>
      <c r="AU86" s="492">
        <f t="shared" si="108"/>
        <v>497667</v>
      </c>
      <c r="AV86" s="492">
        <f t="shared" si="108"/>
        <v>29448</v>
      </c>
      <c r="AW86" s="492">
        <f t="shared" si="101"/>
        <v>1250</v>
      </c>
      <c r="AX86" s="493">
        <f t="shared" si="102"/>
        <v>4.25</v>
      </c>
      <c r="AY86" s="493">
        <f t="shared" si="109"/>
        <v>4.25</v>
      </c>
      <c r="AZ86" s="495">
        <f t="shared" si="109"/>
        <v>0</v>
      </c>
    </row>
    <row r="87" spans="1:52" s="238" customFormat="1" x14ac:dyDescent="0.2">
      <c r="A87" s="225">
        <v>16</v>
      </c>
      <c r="B87" s="226">
        <v>4436</v>
      </c>
      <c r="C87" s="226">
        <v>600074986</v>
      </c>
      <c r="D87" s="226">
        <v>70982198</v>
      </c>
      <c r="E87" s="224" t="s">
        <v>179</v>
      </c>
      <c r="F87" s="226">
        <v>3141</v>
      </c>
      <c r="G87" s="176" t="s">
        <v>316</v>
      </c>
      <c r="H87" s="227" t="s">
        <v>279</v>
      </c>
      <c r="I87" s="494">
        <v>2029354</v>
      </c>
      <c r="J87" s="489">
        <v>1482026</v>
      </c>
      <c r="K87" s="489">
        <v>0</v>
      </c>
      <c r="L87" s="489">
        <v>500925</v>
      </c>
      <c r="M87" s="489">
        <v>29641</v>
      </c>
      <c r="N87" s="489">
        <v>16762</v>
      </c>
      <c r="O87" s="490">
        <v>4.67</v>
      </c>
      <c r="P87" s="491">
        <v>0</v>
      </c>
      <c r="Q87" s="500">
        <v>4.67</v>
      </c>
      <c r="R87" s="502">
        <f t="shared" si="86"/>
        <v>0</v>
      </c>
      <c r="S87" s="492">
        <v>0</v>
      </c>
      <c r="T87" s="492">
        <v>0</v>
      </c>
      <c r="U87" s="492">
        <v>0</v>
      </c>
      <c r="V87" s="492">
        <f t="shared" si="87"/>
        <v>0</v>
      </c>
      <c r="W87" s="492">
        <v>0</v>
      </c>
      <c r="X87" s="492">
        <v>0</v>
      </c>
      <c r="Y87" s="492">
        <v>0</v>
      </c>
      <c r="Z87" s="492">
        <f t="shared" si="88"/>
        <v>0</v>
      </c>
      <c r="AA87" s="492">
        <f t="shared" si="89"/>
        <v>0</v>
      </c>
      <c r="AB87" s="74">
        <f t="shared" si="90"/>
        <v>0</v>
      </c>
      <c r="AC87" s="74">
        <f t="shared" si="91"/>
        <v>0</v>
      </c>
      <c r="AD87" s="492">
        <v>0</v>
      </c>
      <c r="AE87" s="492">
        <v>0</v>
      </c>
      <c r="AF87" s="492">
        <f t="shared" si="92"/>
        <v>0</v>
      </c>
      <c r="AG87" s="492">
        <f t="shared" si="93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105"/>
        <v>0</v>
      </c>
      <c r="AP87" s="493">
        <f t="shared" si="106"/>
        <v>0</v>
      </c>
      <c r="AQ87" s="495">
        <f t="shared" si="96"/>
        <v>0</v>
      </c>
      <c r="AR87" s="501">
        <f t="shared" si="97"/>
        <v>2029354</v>
      </c>
      <c r="AS87" s="492">
        <f t="shared" si="98"/>
        <v>1482026</v>
      </c>
      <c r="AT87" s="492">
        <f t="shared" si="107"/>
        <v>0</v>
      </c>
      <c r="AU87" s="492">
        <f t="shared" si="108"/>
        <v>500925</v>
      </c>
      <c r="AV87" s="492">
        <f t="shared" si="108"/>
        <v>29641</v>
      </c>
      <c r="AW87" s="492">
        <f t="shared" si="101"/>
        <v>16762</v>
      </c>
      <c r="AX87" s="493">
        <f t="shared" si="102"/>
        <v>4.67</v>
      </c>
      <c r="AY87" s="493">
        <f t="shared" si="109"/>
        <v>0</v>
      </c>
      <c r="AZ87" s="495">
        <f t="shared" si="109"/>
        <v>4.67</v>
      </c>
    </row>
    <row r="88" spans="1:52" s="238" customFormat="1" x14ac:dyDescent="0.2">
      <c r="A88" s="225">
        <v>16</v>
      </c>
      <c r="B88" s="226">
        <v>4436</v>
      </c>
      <c r="C88" s="226">
        <v>600074986</v>
      </c>
      <c r="D88" s="226">
        <v>70982198</v>
      </c>
      <c r="E88" s="219" t="s">
        <v>179</v>
      </c>
      <c r="F88" s="226">
        <v>3143</v>
      </c>
      <c r="G88" s="176" t="s">
        <v>629</v>
      </c>
      <c r="H88" s="243" t="s">
        <v>278</v>
      </c>
      <c r="I88" s="494">
        <v>3218304</v>
      </c>
      <c r="J88" s="489">
        <v>2367964</v>
      </c>
      <c r="K88" s="489">
        <v>1950</v>
      </c>
      <c r="L88" s="489">
        <v>801031</v>
      </c>
      <c r="M88" s="489">
        <v>47359</v>
      </c>
      <c r="N88" s="489">
        <v>0</v>
      </c>
      <c r="O88" s="490">
        <v>4.8213999999999997</v>
      </c>
      <c r="P88" s="491">
        <v>4.8213999999999997</v>
      </c>
      <c r="Q88" s="500">
        <v>0</v>
      </c>
      <c r="R88" s="502">
        <f t="shared" si="86"/>
        <v>0</v>
      </c>
      <c r="S88" s="492">
        <v>0</v>
      </c>
      <c r="T88" s="492">
        <v>0</v>
      </c>
      <c r="U88" s="492">
        <v>0</v>
      </c>
      <c r="V88" s="492">
        <f t="shared" si="87"/>
        <v>0</v>
      </c>
      <c r="W88" s="492">
        <v>0</v>
      </c>
      <c r="X88" s="492">
        <v>0</v>
      </c>
      <c r="Y88" s="492">
        <v>0</v>
      </c>
      <c r="Z88" s="492">
        <f t="shared" si="88"/>
        <v>0</v>
      </c>
      <c r="AA88" s="492">
        <f t="shared" si="89"/>
        <v>0</v>
      </c>
      <c r="AB88" s="74">
        <f t="shared" si="90"/>
        <v>0</v>
      </c>
      <c r="AC88" s="74">
        <f t="shared" si="91"/>
        <v>0</v>
      </c>
      <c r="AD88" s="492">
        <v>0</v>
      </c>
      <c r="AE88" s="492">
        <v>0</v>
      </c>
      <c r="AF88" s="492">
        <f t="shared" si="92"/>
        <v>0</v>
      </c>
      <c r="AG88" s="492">
        <f t="shared" si="93"/>
        <v>0</v>
      </c>
      <c r="AH88" s="493">
        <v>0</v>
      </c>
      <c r="AI88" s="493">
        <v>0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05"/>
        <v>0</v>
      </c>
      <c r="AP88" s="493">
        <f t="shared" si="106"/>
        <v>0</v>
      </c>
      <c r="AQ88" s="495">
        <f t="shared" si="96"/>
        <v>0</v>
      </c>
      <c r="AR88" s="501">
        <f t="shared" si="97"/>
        <v>3218304</v>
      </c>
      <c r="AS88" s="492">
        <f t="shared" si="98"/>
        <v>2367964</v>
      </c>
      <c r="AT88" s="492">
        <f t="shared" si="107"/>
        <v>1950</v>
      </c>
      <c r="AU88" s="492">
        <f t="shared" si="108"/>
        <v>801031</v>
      </c>
      <c r="AV88" s="492">
        <f t="shared" si="108"/>
        <v>47359</v>
      </c>
      <c r="AW88" s="492">
        <f t="shared" si="101"/>
        <v>0</v>
      </c>
      <c r="AX88" s="493">
        <f t="shared" si="102"/>
        <v>4.8213999999999997</v>
      </c>
      <c r="AY88" s="493">
        <f t="shared" si="109"/>
        <v>4.8213999999999997</v>
      </c>
      <c r="AZ88" s="495">
        <f t="shared" si="109"/>
        <v>0</v>
      </c>
    </row>
    <row r="89" spans="1:52" s="238" customFormat="1" x14ac:dyDescent="0.2">
      <c r="A89" s="225">
        <v>16</v>
      </c>
      <c r="B89" s="226">
        <v>4436</v>
      </c>
      <c r="C89" s="226">
        <v>600074986</v>
      </c>
      <c r="D89" s="226">
        <v>70982198</v>
      </c>
      <c r="E89" s="219" t="s">
        <v>179</v>
      </c>
      <c r="F89" s="226">
        <v>3143</v>
      </c>
      <c r="G89" s="176" t="s">
        <v>630</v>
      </c>
      <c r="H89" s="243" t="s">
        <v>279</v>
      </c>
      <c r="I89" s="494">
        <v>92988</v>
      </c>
      <c r="J89" s="489">
        <v>65757</v>
      </c>
      <c r="K89" s="489">
        <v>0</v>
      </c>
      <c r="L89" s="489">
        <v>22226</v>
      </c>
      <c r="M89" s="489">
        <v>1315</v>
      </c>
      <c r="N89" s="489">
        <v>3690</v>
      </c>
      <c r="O89" s="490">
        <v>0.26</v>
      </c>
      <c r="P89" s="491">
        <v>0</v>
      </c>
      <c r="Q89" s="500">
        <v>0.26</v>
      </c>
      <c r="R89" s="502">
        <f t="shared" si="86"/>
        <v>0</v>
      </c>
      <c r="S89" s="492">
        <v>0</v>
      </c>
      <c r="T89" s="492">
        <v>0</v>
      </c>
      <c r="U89" s="492">
        <v>0</v>
      </c>
      <c r="V89" s="492">
        <f t="shared" si="87"/>
        <v>0</v>
      </c>
      <c r="W89" s="492">
        <v>0</v>
      </c>
      <c r="X89" s="492">
        <v>0</v>
      </c>
      <c r="Y89" s="492">
        <v>0</v>
      </c>
      <c r="Z89" s="492">
        <f t="shared" si="88"/>
        <v>0</v>
      </c>
      <c r="AA89" s="492">
        <f t="shared" si="89"/>
        <v>0</v>
      </c>
      <c r="AB89" s="74">
        <f t="shared" si="90"/>
        <v>0</v>
      </c>
      <c r="AC89" s="74">
        <f t="shared" si="91"/>
        <v>0</v>
      </c>
      <c r="AD89" s="492">
        <v>0</v>
      </c>
      <c r="AE89" s="492">
        <v>0</v>
      </c>
      <c r="AF89" s="492">
        <f t="shared" si="92"/>
        <v>0</v>
      </c>
      <c r="AG89" s="492">
        <f t="shared" si="93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105"/>
        <v>0</v>
      </c>
      <c r="AP89" s="493">
        <f t="shared" si="106"/>
        <v>0</v>
      </c>
      <c r="AQ89" s="495">
        <f t="shared" si="96"/>
        <v>0</v>
      </c>
      <c r="AR89" s="501">
        <f t="shared" si="97"/>
        <v>92988</v>
      </c>
      <c r="AS89" s="492">
        <f t="shared" si="98"/>
        <v>65757</v>
      </c>
      <c r="AT89" s="492">
        <f t="shared" si="107"/>
        <v>0</v>
      </c>
      <c r="AU89" s="492">
        <f t="shared" si="108"/>
        <v>22226</v>
      </c>
      <c r="AV89" s="492">
        <f t="shared" si="108"/>
        <v>1315</v>
      </c>
      <c r="AW89" s="492">
        <f t="shared" si="101"/>
        <v>3690</v>
      </c>
      <c r="AX89" s="493">
        <f t="shared" si="102"/>
        <v>0.26</v>
      </c>
      <c r="AY89" s="493">
        <f t="shared" si="109"/>
        <v>0</v>
      </c>
      <c r="AZ89" s="495">
        <f t="shared" si="109"/>
        <v>0.26</v>
      </c>
    </row>
    <row r="90" spans="1:52" s="238" customFormat="1" x14ac:dyDescent="0.2">
      <c r="A90" s="166">
        <v>16</v>
      </c>
      <c r="B90" s="20">
        <v>4436</v>
      </c>
      <c r="C90" s="20">
        <v>600074986</v>
      </c>
      <c r="D90" s="20">
        <v>70982198</v>
      </c>
      <c r="E90" s="175" t="s">
        <v>180</v>
      </c>
      <c r="F90" s="20"/>
      <c r="G90" s="165"/>
      <c r="H90" s="199"/>
      <c r="I90" s="553">
        <v>38460145</v>
      </c>
      <c r="J90" s="550">
        <v>27833881</v>
      </c>
      <c r="K90" s="550">
        <v>18850</v>
      </c>
      <c r="L90" s="550">
        <v>9414224</v>
      </c>
      <c r="M90" s="550">
        <v>556678</v>
      </c>
      <c r="N90" s="550">
        <v>636512</v>
      </c>
      <c r="O90" s="551">
        <v>55.279199999999996</v>
      </c>
      <c r="P90" s="551">
        <v>41.559599999999996</v>
      </c>
      <c r="Q90" s="555">
        <v>13.7196</v>
      </c>
      <c r="R90" s="553">
        <f t="shared" ref="R90:AZ90" si="110">SUM(R85:R89)</f>
        <v>0</v>
      </c>
      <c r="S90" s="550">
        <f t="shared" si="110"/>
        <v>0</v>
      </c>
      <c r="T90" s="550">
        <f t="shared" si="110"/>
        <v>0</v>
      </c>
      <c r="U90" s="550">
        <f t="shared" si="110"/>
        <v>0</v>
      </c>
      <c r="V90" s="550">
        <f t="shared" si="110"/>
        <v>0</v>
      </c>
      <c r="W90" s="550">
        <f t="shared" si="110"/>
        <v>0</v>
      </c>
      <c r="X90" s="550">
        <f t="shared" si="110"/>
        <v>0</v>
      </c>
      <c r="Y90" s="550">
        <f t="shared" si="110"/>
        <v>0</v>
      </c>
      <c r="Z90" s="550">
        <f t="shared" si="110"/>
        <v>0</v>
      </c>
      <c r="AA90" s="550">
        <f t="shared" si="110"/>
        <v>0</v>
      </c>
      <c r="AB90" s="550">
        <f t="shared" si="110"/>
        <v>0</v>
      </c>
      <c r="AC90" s="550">
        <f t="shared" si="110"/>
        <v>0</v>
      </c>
      <c r="AD90" s="550">
        <f t="shared" si="110"/>
        <v>0</v>
      </c>
      <c r="AE90" s="550">
        <f t="shared" si="110"/>
        <v>0</v>
      </c>
      <c r="AF90" s="550">
        <f t="shared" si="110"/>
        <v>0</v>
      </c>
      <c r="AG90" s="550">
        <f t="shared" si="110"/>
        <v>0</v>
      </c>
      <c r="AH90" s="551">
        <f t="shared" si="110"/>
        <v>0</v>
      </c>
      <c r="AI90" s="551">
        <f t="shared" si="110"/>
        <v>0</v>
      </c>
      <c r="AJ90" s="551">
        <f t="shared" si="110"/>
        <v>0</v>
      </c>
      <c r="AK90" s="551">
        <f t="shared" si="110"/>
        <v>0</v>
      </c>
      <c r="AL90" s="551">
        <f t="shared" si="110"/>
        <v>0</v>
      </c>
      <c r="AM90" s="551">
        <f t="shared" si="110"/>
        <v>0</v>
      </c>
      <c r="AN90" s="551">
        <f t="shared" si="110"/>
        <v>0</v>
      </c>
      <c r="AO90" s="551">
        <f t="shared" si="110"/>
        <v>0</v>
      </c>
      <c r="AP90" s="551">
        <f t="shared" si="110"/>
        <v>0</v>
      </c>
      <c r="AQ90" s="44">
        <f t="shared" si="110"/>
        <v>0</v>
      </c>
      <c r="AR90" s="557">
        <f t="shared" si="110"/>
        <v>38460145</v>
      </c>
      <c r="AS90" s="550">
        <f t="shared" si="110"/>
        <v>27833881</v>
      </c>
      <c r="AT90" s="550">
        <f t="shared" si="110"/>
        <v>18850</v>
      </c>
      <c r="AU90" s="550">
        <f t="shared" si="110"/>
        <v>9414224</v>
      </c>
      <c r="AV90" s="550">
        <f t="shared" si="110"/>
        <v>556678</v>
      </c>
      <c r="AW90" s="550">
        <f t="shared" si="110"/>
        <v>636512</v>
      </c>
      <c r="AX90" s="551">
        <f t="shared" si="110"/>
        <v>55.279199999999996</v>
      </c>
      <c r="AY90" s="551">
        <f t="shared" si="110"/>
        <v>41.559599999999996</v>
      </c>
      <c r="AZ90" s="44">
        <f t="shared" si="110"/>
        <v>13.7196</v>
      </c>
    </row>
    <row r="91" spans="1:52" s="238" customFormat="1" x14ac:dyDescent="0.2">
      <c r="A91" s="225">
        <v>17</v>
      </c>
      <c r="B91" s="226">
        <v>4454</v>
      </c>
      <c r="C91" s="226">
        <v>600074811</v>
      </c>
      <c r="D91" s="226">
        <v>48283070</v>
      </c>
      <c r="E91" s="224" t="s">
        <v>181</v>
      </c>
      <c r="F91" s="226">
        <v>3113</v>
      </c>
      <c r="G91" s="176" t="s">
        <v>315</v>
      </c>
      <c r="H91" s="227" t="s">
        <v>278</v>
      </c>
      <c r="I91" s="494">
        <v>31166413</v>
      </c>
      <c r="J91" s="489">
        <v>22308506</v>
      </c>
      <c r="K91" s="489">
        <v>134410</v>
      </c>
      <c r="L91" s="489">
        <v>7585706</v>
      </c>
      <c r="M91" s="489">
        <v>446171</v>
      </c>
      <c r="N91" s="489">
        <v>691620</v>
      </c>
      <c r="O91" s="490">
        <v>38.793199999999999</v>
      </c>
      <c r="P91" s="491">
        <v>29.650599999999997</v>
      </c>
      <c r="Q91" s="500">
        <v>9.1425999999999998</v>
      </c>
      <c r="R91" s="502">
        <f t="shared" si="86"/>
        <v>0</v>
      </c>
      <c r="S91" s="492">
        <v>0</v>
      </c>
      <c r="T91" s="492">
        <v>0</v>
      </c>
      <c r="U91" s="492">
        <v>0</v>
      </c>
      <c r="V91" s="492">
        <f t="shared" si="87"/>
        <v>0</v>
      </c>
      <c r="W91" s="492">
        <v>0</v>
      </c>
      <c r="X91" s="492">
        <v>0</v>
      </c>
      <c r="Y91" s="492">
        <v>0</v>
      </c>
      <c r="Z91" s="492">
        <f t="shared" si="88"/>
        <v>0</v>
      </c>
      <c r="AA91" s="492">
        <f t="shared" si="89"/>
        <v>0</v>
      </c>
      <c r="AB91" s="74">
        <f t="shared" si="90"/>
        <v>0</v>
      </c>
      <c r="AC91" s="74">
        <f t="shared" si="91"/>
        <v>0</v>
      </c>
      <c r="AD91" s="492">
        <v>0</v>
      </c>
      <c r="AE91" s="492">
        <v>0</v>
      </c>
      <c r="AF91" s="492">
        <f t="shared" si="92"/>
        <v>0</v>
      </c>
      <c r="AG91" s="492">
        <f t="shared" si="93"/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ref="AO91:AO95" si="111">AH91+AJ91+AM91+AK91</f>
        <v>0</v>
      </c>
      <c r="AP91" s="493">
        <f t="shared" ref="AP91:AP95" si="112">AI91+AN91+AL91</f>
        <v>0</v>
      </c>
      <c r="AQ91" s="495">
        <f t="shared" si="96"/>
        <v>0</v>
      </c>
      <c r="AR91" s="501">
        <f t="shared" si="97"/>
        <v>31166413</v>
      </c>
      <c r="AS91" s="492">
        <f t="shared" si="98"/>
        <v>22308506</v>
      </c>
      <c r="AT91" s="492">
        <f t="shared" ref="AT91:AT95" si="113">K91+Z91</f>
        <v>134410</v>
      </c>
      <c r="AU91" s="492">
        <f t="shared" ref="AU91:AV95" si="114">L91+AB91</f>
        <v>7585706</v>
      </c>
      <c r="AV91" s="492">
        <f t="shared" si="114"/>
        <v>446171</v>
      </c>
      <c r="AW91" s="492">
        <f t="shared" si="101"/>
        <v>691620</v>
      </c>
      <c r="AX91" s="493">
        <f t="shared" si="102"/>
        <v>38.793199999999999</v>
      </c>
      <c r="AY91" s="493">
        <f t="shared" ref="AY91:AZ95" si="115">P91+AO91</f>
        <v>29.650599999999997</v>
      </c>
      <c r="AZ91" s="495">
        <f t="shared" si="115"/>
        <v>9.1425999999999998</v>
      </c>
    </row>
    <row r="92" spans="1:52" s="238" customFormat="1" x14ac:dyDescent="0.2">
      <c r="A92" s="225">
        <v>17</v>
      </c>
      <c r="B92" s="226">
        <v>4454</v>
      </c>
      <c r="C92" s="226">
        <v>600074811</v>
      </c>
      <c r="D92" s="226">
        <v>48283070</v>
      </c>
      <c r="E92" s="224" t="s">
        <v>181</v>
      </c>
      <c r="F92" s="226">
        <v>3113</v>
      </c>
      <c r="G92" s="176" t="s">
        <v>313</v>
      </c>
      <c r="H92" s="227" t="s">
        <v>279</v>
      </c>
      <c r="I92" s="494">
        <v>4100760</v>
      </c>
      <c r="J92" s="489">
        <v>3014182</v>
      </c>
      <c r="K92" s="489">
        <v>0</v>
      </c>
      <c r="L92" s="489">
        <v>1018794</v>
      </c>
      <c r="M92" s="489">
        <v>60284</v>
      </c>
      <c r="N92" s="489">
        <v>7500</v>
      </c>
      <c r="O92" s="490">
        <v>8.65</v>
      </c>
      <c r="P92" s="491">
        <v>8.65</v>
      </c>
      <c r="Q92" s="500">
        <v>0</v>
      </c>
      <c r="R92" s="502">
        <f t="shared" si="86"/>
        <v>0</v>
      </c>
      <c r="S92" s="492">
        <v>0</v>
      </c>
      <c r="T92" s="492">
        <v>0</v>
      </c>
      <c r="U92" s="492">
        <v>0</v>
      </c>
      <c r="V92" s="492">
        <f t="shared" si="87"/>
        <v>0</v>
      </c>
      <c r="W92" s="492">
        <v>0</v>
      </c>
      <c r="X92" s="492">
        <v>0</v>
      </c>
      <c r="Y92" s="492">
        <v>0</v>
      </c>
      <c r="Z92" s="492">
        <f t="shared" si="88"/>
        <v>0</v>
      </c>
      <c r="AA92" s="492">
        <f t="shared" si="89"/>
        <v>0</v>
      </c>
      <c r="AB92" s="74">
        <f t="shared" si="90"/>
        <v>0</v>
      </c>
      <c r="AC92" s="74">
        <f t="shared" si="91"/>
        <v>0</v>
      </c>
      <c r="AD92" s="492">
        <v>0</v>
      </c>
      <c r="AE92" s="492">
        <v>0</v>
      </c>
      <c r="AF92" s="492">
        <f t="shared" si="92"/>
        <v>0</v>
      </c>
      <c r="AG92" s="492">
        <f t="shared" si="93"/>
        <v>0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 t="shared" si="111"/>
        <v>0</v>
      </c>
      <c r="AP92" s="493">
        <f t="shared" si="112"/>
        <v>0</v>
      </c>
      <c r="AQ92" s="495">
        <f t="shared" si="96"/>
        <v>0</v>
      </c>
      <c r="AR92" s="501">
        <f t="shared" si="97"/>
        <v>4100760</v>
      </c>
      <c r="AS92" s="492">
        <f t="shared" si="98"/>
        <v>3014182</v>
      </c>
      <c r="AT92" s="492">
        <f t="shared" si="113"/>
        <v>0</v>
      </c>
      <c r="AU92" s="492">
        <f t="shared" si="114"/>
        <v>1018794</v>
      </c>
      <c r="AV92" s="492">
        <f t="shared" si="114"/>
        <v>60284</v>
      </c>
      <c r="AW92" s="492">
        <f t="shared" si="101"/>
        <v>7500</v>
      </c>
      <c r="AX92" s="493">
        <f t="shared" si="102"/>
        <v>8.65</v>
      </c>
      <c r="AY92" s="493">
        <f t="shared" si="115"/>
        <v>8.65</v>
      </c>
      <c r="AZ92" s="495">
        <f t="shared" si="115"/>
        <v>0</v>
      </c>
    </row>
    <row r="93" spans="1:52" s="238" customFormat="1" x14ac:dyDescent="0.2">
      <c r="A93" s="225">
        <v>17</v>
      </c>
      <c r="B93" s="226">
        <v>4454</v>
      </c>
      <c r="C93" s="226">
        <v>600074811</v>
      </c>
      <c r="D93" s="226">
        <v>48283070</v>
      </c>
      <c r="E93" s="224" t="s">
        <v>181</v>
      </c>
      <c r="F93" s="226">
        <v>3141</v>
      </c>
      <c r="G93" s="176" t="s">
        <v>316</v>
      </c>
      <c r="H93" s="227" t="s">
        <v>279</v>
      </c>
      <c r="I93" s="494">
        <v>3047927</v>
      </c>
      <c r="J93" s="489">
        <v>2223923</v>
      </c>
      <c r="K93" s="489">
        <v>0</v>
      </c>
      <c r="L93" s="489">
        <v>751686</v>
      </c>
      <c r="M93" s="489">
        <v>44478</v>
      </c>
      <c r="N93" s="489">
        <v>27840</v>
      </c>
      <c r="O93" s="490">
        <v>7</v>
      </c>
      <c r="P93" s="491">
        <v>0</v>
      </c>
      <c r="Q93" s="500">
        <v>7</v>
      </c>
      <c r="R93" s="502">
        <f t="shared" si="86"/>
        <v>0</v>
      </c>
      <c r="S93" s="492">
        <v>0</v>
      </c>
      <c r="T93" s="492">
        <v>0</v>
      </c>
      <c r="U93" s="492">
        <v>0</v>
      </c>
      <c r="V93" s="492">
        <f t="shared" si="87"/>
        <v>0</v>
      </c>
      <c r="W93" s="492">
        <v>0</v>
      </c>
      <c r="X93" s="492">
        <v>0</v>
      </c>
      <c r="Y93" s="492">
        <v>0</v>
      </c>
      <c r="Z93" s="492">
        <f t="shared" si="88"/>
        <v>0</v>
      </c>
      <c r="AA93" s="492">
        <f t="shared" si="89"/>
        <v>0</v>
      </c>
      <c r="AB93" s="74">
        <f t="shared" si="90"/>
        <v>0</v>
      </c>
      <c r="AC93" s="74">
        <f t="shared" si="91"/>
        <v>0</v>
      </c>
      <c r="AD93" s="492">
        <v>0</v>
      </c>
      <c r="AE93" s="492">
        <v>0</v>
      </c>
      <c r="AF93" s="492">
        <f t="shared" si="92"/>
        <v>0</v>
      </c>
      <c r="AG93" s="492">
        <f t="shared" si="93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si="111"/>
        <v>0</v>
      </c>
      <c r="AP93" s="493">
        <f t="shared" si="112"/>
        <v>0</v>
      </c>
      <c r="AQ93" s="495">
        <f t="shared" si="96"/>
        <v>0</v>
      </c>
      <c r="AR93" s="501">
        <f t="shared" si="97"/>
        <v>3047927</v>
      </c>
      <c r="AS93" s="492">
        <f t="shared" si="98"/>
        <v>2223923</v>
      </c>
      <c r="AT93" s="492">
        <f t="shared" si="113"/>
        <v>0</v>
      </c>
      <c r="AU93" s="492">
        <f t="shared" si="114"/>
        <v>751686</v>
      </c>
      <c r="AV93" s="492">
        <f t="shared" si="114"/>
        <v>44478</v>
      </c>
      <c r="AW93" s="492">
        <f t="shared" si="101"/>
        <v>27840</v>
      </c>
      <c r="AX93" s="493">
        <f t="shared" si="102"/>
        <v>7</v>
      </c>
      <c r="AY93" s="493">
        <f t="shared" si="115"/>
        <v>0</v>
      </c>
      <c r="AZ93" s="495">
        <f t="shared" si="115"/>
        <v>7</v>
      </c>
    </row>
    <row r="94" spans="1:52" s="238" customFormat="1" x14ac:dyDescent="0.2">
      <c r="A94" s="225">
        <v>17</v>
      </c>
      <c r="B94" s="226">
        <v>4454</v>
      </c>
      <c r="C94" s="226">
        <v>600074811</v>
      </c>
      <c r="D94" s="226">
        <v>48283070</v>
      </c>
      <c r="E94" s="219" t="s">
        <v>181</v>
      </c>
      <c r="F94" s="226">
        <v>3143</v>
      </c>
      <c r="G94" s="176" t="s">
        <v>629</v>
      </c>
      <c r="H94" s="243" t="s">
        <v>278</v>
      </c>
      <c r="I94" s="494">
        <v>2597734</v>
      </c>
      <c r="J94" s="489">
        <v>1900103</v>
      </c>
      <c r="K94" s="489">
        <v>13000</v>
      </c>
      <c r="L94" s="489">
        <v>646629</v>
      </c>
      <c r="M94" s="489">
        <v>38002</v>
      </c>
      <c r="N94" s="489">
        <v>0</v>
      </c>
      <c r="O94" s="490">
        <v>3.5413000000000001</v>
      </c>
      <c r="P94" s="491">
        <v>3.5413000000000001</v>
      </c>
      <c r="Q94" s="500">
        <v>0</v>
      </c>
      <c r="R94" s="502">
        <f t="shared" si="86"/>
        <v>0</v>
      </c>
      <c r="S94" s="492">
        <v>0</v>
      </c>
      <c r="T94" s="492">
        <v>0</v>
      </c>
      <c r="U94" s="492">
        <v>0</v>
      </c>
      <c r="V94" s="492">
        <f t="shared" si="87"/>
        <v>0</v>
      </c>
      <c r="W94" s="492">
        <v>0</v>
      </c>
      <c r="X94" s="492">
        <v>0</v>
      </c>
      <c r="Y94" s="492">
        <v>0</v>
      </c>
      <c r="Z94" s="492">
        <f t="shared" si="88"/>
        <v>0</v>
      </c>
      <c r="AA94" s="492">
        <f t="shared" si="89"/>
        <v>0</v>
      </c>
      <c r="AB94" s="74">
        <f t="shared" si="90"/>
        <v>0</v>
      </c>
      <c r="AC94" s="74">
        <f t="shared" si="91"/>
        <v>0</v>
      </c>
      <c r="AD94" s="492">
        <v>0</v>
      </c>
      <c r="AE94" s="492">
        <v>0</v>
      </c>
      <c r="AF94" s="492">
        <f t="shared" si="92"/>
        <v>0</v>
      </c>
      <c r="AG94" s="492">
        <f t="shared" si="93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11"/>
        <v>0</v>
      </c>
      <c r="AP94" s="493">
        <f t="shared" si="112"/>
        <v>0</v>
      </c>
      <c r="AQ94" s="495">
        <f t="shared" si="96"/>
        <v>0</v>
      </c>
      <c r="AR94" s="501">
        <f t="shared" si="97"/>
        <v>2597734</v>
      </c>
      <c r="AS94" s="492">
        <f t="shared" si="98"/>
        <v>1900103</v>
      </c>
      <c r="AT94" s="492">
        <f t="shared" si="113"/>
        <v>13000</v>
      </c>
      <c r="AU94" s="492">
        <f t="shared" si="114"/>
        <v>646629</v>
      </c>
      <c r="AV94" s="492">
        <f t="shared" si="114"/>
        <v>38002</v>
      </c>
      <c r="AW94" s="492">
        <f t="shared" si="101"/>
        <v>0</v>
      </c>
      <c r="AX94" s="493">
        <f t="shared" si="102"/>
        <v>3.5413000000000001</v>
      </c>
      <c r="AY94" s="493">
        <f t="shared" si="115"/>
        <v>3.5413000000000001</v>
      </c>
      <c r="AZ94" s="495">
        <f t="shared" si="115"/>
        <v>0</v>
      </c>
    </row>
    <row r="95" spans="1:52" s="238" customFormat="1" x14ac:dyDescent="0.2">
      <c r="A95" s="225">
        <v>17</v>
      </c>
      <c r="B95" s="226">
        <v>4454</v>
      </c>
      <c r="C95" s="226">
        <v>600074811</v>
      </c>
      <c r="D95" s="226">
        <v>48283070</v>
      </c>
      <c r="E95" s="219" t="s">
        <v>181</v>
      </c>
      <c r="F95" s="226">
        <v>3143</v>
      </c>
      <c r="G95" s="176" t="s">
        <v>630</v>
      </c>
      <c r="H95" s="243" t="s">
        <v>279</v>
      </c>
      <c r="I95" s="494">
        <v>89964</v>
      </c>
      <c r="J95" s="489">
        <v>63619</v>
      </c>
      <c r="K95" s="489">
        <v>0</v>
      </c>
      <c r="L95" s="489">
        <v>21503</v>
      </c>
      <c r="M95" s="489">
        <v>1272</v>
      </c>
      <c r="N95" s="489">
        <v>3570</v>
      </c>
      <c r="O95" s="490">
        <v>0.25</v>
      </c>
      <c r="P95" s="491">
        <v>0</v>
      </c>
      <c r="Q95" s="500">
        <v>0.25</v>
      </c>
      <c r="R95" s="502">
        <f t="shared" si="86"/>
        <v>0</v>
      </c>
      <c r="S95" s="492">
        <v>0</v>
      </c>
      <c r="T95" s="492">
        <v>0</v>
      </c>
      <c r="U95" s="492">
        <v>0</v>
      </c>
      <c r="V95" s="492">
        <f t="shared" si="87"/>
        <v>0</v>
      </c>
      <c r="W95" s="492">
        <v>0</v>
      </c>
      <c r="X95" s="492">
        <v>0</v>
      </c>
      <c r="Y95" s="492">
        <v>0</v>
      </c>
      <c r="Z95" s="492">
        <f t="shared" si="88"/>
        <v>0</v>
      </c>
      <c r="AA95" s="492">
        <f t="shared" si="89"/>
        <v>0</v>
      </c>
      <c r="AB95" s="74">
        <f t="shared" si="90"/>
        <v>0</v>
      </c>
      <c r="AC95" s="74">
        <f t="shared" si="91"/>
        <v>0</v>
      </c>
      <c r="AD95" s="492">
        <v>0</v>
      </c>
      <c r="AE95" s="492">
        <v>0</v>
      </c>
      <c r="AF95" s="492">
        <f t="shared" si="92"/>
        <v>0</v>
      </c>
      <c r="AG95" s="492">
        <f t="shared" si="93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111"/>
        <v>0</v>
      </c>
      <c r="AP95" s="493">
        <f t="shared" si="112"/>
        <v>0</v>
      </c>
      <c r="AQ95" s="495">
        <f t="shared" si="96"/>
        <v>0</v>
      </c>
      <c r="AR95" s="501">
        <f t="shared" si="97"/>
        <v>89964</v>
      </c>
      <c r="AS95" s="492">
        <f t="shared" si="98"/>
        <v>63619</v>
      </c>
      <c r="AT95" s="492">
        <f t="shared" si="113"/>
        <v>0</v>
      </c>
      <c r="AU95" s="492">
        <f t="shared" si="114"/>
        <v>21503</v>
      </c>
      <c r="AV95" s="492">
        <f t="shared" si="114"/>
        <v>1272</v>
      </c>
      <c r="AW95" s="492">
        <f t="shared" si="101"/>
        <v>3570</v>
      </c>
      <c r="AX95" s="493">
        <f t="shared" si="102"/>
        <v>0.25</v>
      </c>
      <c r="AY95" s="493">
        <f t="shared" si="115"/>
        <v>0</v>
      </c>
      <c r="AZ95" s="495">
        <f t="shared" si="115"/>
        <v>0.25</v>
      </c>
    </row>
    <row r="96" spans="1:52" s="238" customFormat="1" x14ac:dyDescent="0.2">
      <c r="A96" s="166">
        <v>17</v>
      </c>
      <c r="B96" s="20">
        <v>4454</v>
      </c>
      <c r="C96" s="20">
        <v>600074811</v>
      </c>
      <c r="D96" s="20">
        <v>48283070</v>
      </c>
      <c r="E96" s="175" t="s">
        <v>182</v>
      </c>
      <c r="F96" s="20"/>
      <c r="G96" s="165"/>
      <c r="H96" s="199"/>
      <c r="I96" s="553">
        <v>41002798</v>
      </c>
      <c r="J96" s="550">
        <v>29510333</v>
      </c>
      <c r="K96" s="550">
        <v>147410</v>
      </c>
      <c r="L96" s="550">
        <v>10024318</v>
      </c>
      <c r="M96" s="550">
        <v>590207</v>
      </c>
      <c r="N96" s="550">
        <v>730530</v>
      </c>
      <c r="O96" s="551">
        <v>58.234499999999997</v>
      </c>
      <c r="P96" s="551">
        <v>41.841899999999995</v>
      </c>
      <c r="Q96" s="555">
        <v>16.392600000000002</v>
      </c>
      <c r="R96" s="553">
        <f t="shared" ref="R96:AZ96" si="116">SUM(R91:R95)</f>
        <v>0</v>
      </c>
      <c r="S96" s="550">
        <f t="shared" si="116"/>
        <v>0</v>
      </c>
      <c r="T96" s="550">
        <f t="shared" si="116"/>
        <v>0</v>
      </c>
      <c r="U96" s="550">
        <f t="shared" si="116"/>
        <v>0</v>
      </c>
      <c r="V96" s="550">
        <f t="shared" si="116"/>
        <v>0</v>
      </c>
      <c r="W96" s="550">
        <f t="shared" si="116"/>
        <v>0</v>
      </c>
      <c r="X96" s="550">
        <f t="shared" si="116"/>
        <v>0</v>
      </c>
      <c r="Y96" s="550">
        <f t="shared" si="116"/>
        <v>0</v>
      </c>
      <c r="Z96" s="550">
        <f t="shared" si="116"/>
        <v>0</v>
      </c>
      <c r="AA96" s="550">
        <f t="shared" si="116"/>
        <v>0</v>
      </c>
      <c r="AB96" s="550">
        <f t="shared" si="116"/>
        <v>0</v>
      </c>
      <c r="AC96" s="550">
        <f t="shared" si="116"/>
        <v>0</v>
      </c>
      <c r="AD96" s="550">
        <f t="shared" si="116"/>
        <v>0</v>
      </c>
      <c r="AE96" s="550">
        <f t="shared" si="116"/>
        <v>0</v>
      </c>
      <c r="AF96" s="550">
        <f t="shared" si="116"/>
        <v>0</v>
      </c>
      <c r="AG96" s="550">
        <f t="shared" si="116"/>
        <v>0</v>
      </c>
      <c r="AH96" s="551">
        <f t="shared" si="116"/>
        <v>0</v>
      </c>
      <c r="AI96" s="551">
        <f t="shared" si="116"/>
        <v>0</v>
      </c>
      <c r="AJ96" s="551">
        <f t="shared" si="116"/>
        <v>0</v>
      </c>
      <c r="AK96" s="551">
        <f t="shared" si="116"/>
        <v>0</v>
      </c>
      <c r="AL96" s="551">
        <f t="shared" si="116"/>
        <v>0</v>
      </c>
      <c r="AM96" s="551">
        <f t="shared" si="116"/>
        <v>0</v>
      </c>
      <c r="AN96" s="551">
        <f t="shared" si="116"/>
        <v>0</v>
      </c>
      <c r="AO96" s="551">
        <f t="shared" si="116"/>
        <v>0</v>
      </c>
      <c r="AP96" s="551">
        <f t="shared" si="116"/>
        <v>0</v>
      </c>
      <c r="AQ96" s="44">
        <f t="shared" si="116"/>
        <v>0</v>
      </c>
      <c r="AR96" s="557">
        <f t="shared" si="116"/>
        <v>41002798</v>
      </c>
      <c r="AS96" s="550">
        <f t="shared" si="116"/>
        <v>29510333</v>
      </c>
      <c r="AT96" s="550">
        <f t="shared" si="116"/>
        <v>147410</v>
      </c>
      <c r="AU96" s="550">
        <f t="shared" si="116"/>
        <v>10024318</v>
      </c>
      <c r="AV96" s="550">
        <f t="shared" si="116"/>
        <v>590207</v>
      </c>
      <c r="AW96" s="550">
        <f t="shared" si="116"/>
        <v>730530</v>
      </c>
      <c r="AX96" s="551">
        <f t="shared" si="116"/>
        <v>58.234499999999997</v>
      </c>
      <c r="AY96" s="551">
        <f t="shared" si="116"/>
        <v>41.841899999999995</v>
      </c>
      <c r="AZ96" s="44">
        <f t="shared" si="116"/>
        <v>16.392600000000002</v>
      </c>
    </row>
    <row r="97" spans="1:52" s="238" customFormat="1" x14ac:dyDescent="0.2">
      <c r="A97" s="225">
        <v>18</v>
      </c>
      <c r="B97" s="226">
        <v>4479</v>
      </c>
      <c r="C97" s="226">
        <v>600075150</v>
      </c>
      <c r="D97" s="226">
        <v>70982228</v>
      </c>
      <c r="E97" s="224" t="s">
        <v>183</v>
      </c>
      <c r="F97" s="226">
        <v>3111</v>
      </c>
      <c r="G97" s="176" t="s">
        <v>312</v>
      </c>
      <c r="H97" s="227" t="s">
        <v>278</v>
      </c>
      <c r="I97" s="494">
        <v>1623413</v>
      </c>
      <c r="J97" s="489">
        <v>1187491</v>
      </c>
      <c r="K97" s="489">
        <v>0</v>
      </c>
      <c r="L97" s="489">
        <v>401372</v>
      </c>
      <c r="M97" s="489">
        <v>23750</v>
      </c>
      <c r="N97" s="489">
        <v>10800</v>
      </c>
      <c r="O97" s="490">
        <v>2.5108999999999999</v>
      </c>
      <c r="P97" s="491">
        <v>2</v>
      </c>
      <c r="Q97" s="500">
        <v>0.51090000000000002</v>
      </c>
      <c r="R97" s="502">
        <f t="shared" si="86"/>
        <v>0</v>
      </c>
      <c r="S97" s="492">
        <v>0</v>
      </c>
      <c r="T97" s="492">
        <v>0</v>
      </c>
      <c r="U97" s="492">
        <v>0</v>
      </c>
      <c r="V97" s="492">
        <f t="shared" si="87"/>
        <v>0</v>
      </c>
      <c r="W97" s="492">
        <v>0</v>
      </c>
      <c r="X97" s="492">
        <v>0</v>
      </c>
      <c r="Y97" s="492">
        <v>0</v>
      </c>
      <c r="Z97" s="492">
        <f t="shared" si="88"/>
        <v>0</v>
      </c>
      <c r="AA97" s="492">
        <f t="shared" si="89"/>
        <v>0</v>
      </c>
      <c r="AB97" s="74">
        <f t="shared" si="90"/>
        <v>0</v>
      </c>
      <c r="AC97" s="74">
        <f t="shared" si="91"/>
        <v>0</v>
      </c>
      <c r="AD97" s="492">
        <v>0</v>
      </c>
      <c r="AE97" s="492">
        <v>0</v>
      </c>
      <c r="AF97" s="492">
        <f t="shared" si="92"/>
        <v>0</v>
      </c>
      <c r="AG97" s="492">
        <f t="shared" si="93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ref="AO97:AO105" si="117">AH97+AJ97+AM97+AK97</f>
        <v>0</v>
      </c>
      <c r="AP97" s="493">
        <f t="shared" ref="AP97:AP105" si="118">AI97+AN97+AL97</f>
        <v>0</v>
      </c>
      <c r="AQ97" s="495">
        <f t="shared" si="96"/>
        <v>0</v>
      </c>
      <c r="AR97" s="501">
        <f t="shared" si="97"/>
        <v>1623413</v>
      </c>
      <c r="AS97" s="492">
        <f t="shared" si="98"/>
        <v>1187491</v>
      </c>
      <c r="AT97" s="492">
        <f t="shared" ref="AT97:AT105" si="119">K97+Z97</f>
        <v>0</v>
      </c>
      <c r="AU97" s="492">
        <f t="shared" ref="AU97:AV105" si="120">L97+AB97</f>
        <v>401372</v>
      </c>
      <c r="AV97" s="492">
        <f t="shared" si="120"/>
        <v>23750</v>
      </c>
      <c r="AW97" s="492">
        <f t="shared" si="101"/>
        <v>10800</v>
      </c>
      <c r="AX97" s="493">
        <f t="shared" si="102"/>
        <v>2.5108999999999999</v>
      </c>
      <c r="AY97" s="493">
        <f t="shared" ref="AY97:AZ105" si="121">P97+AO97</f>
        <v>2</v>
      </c>
      <c r="AZ97" s="495">
        <f t="shared" si="121"/>
        <v>0.51090000000000002</v>
      </c>
    </row>
    <row r="98" spans="1:52" s="238" customFormat="1" x14ac:dyDescent="0.2">
      <c r="A98" s="225">
        <v>18</v>
      </c>
      <c r="B98" s="226">
        <v>4479</v>
      </c>
      <c r="C98" s="226">
        <v>600075150</v>
      </c>
      <c r="D98" s="226">
        <v>70982228</v>
      </c>
      <c r="E98" s="224" t="s">
        <v>183</v>
      </c>
      <c r="F98" s="226">
        <v>3114</v>
      </c>
      <c r="G98" s="176" t="s">
        <v>559</v>
      </c>
      <c r="H98" s="227" t="s">
        <v>278</v>
      </c>
      <c r="I98" s="494">
        <v>37025558</v>
      </c>
      <c r="J98" s="489">
        <v>26920314</v>
      </c>
      <c r="K98" s="489">
        <v>0</v>
      </c>
      <c r="L98" s="489">
        <v>9099067</v>
      </c>
      <c r="M98" s="489">
        <v>538407</v>
      </c>
      <c r="N98" s="489">
        <v>467770</v>
      </c>
      <c r="O98" s="490">
        <v>47.424700000000001</v>
      </c>
      <c r="P98" s="491">
        <v>35.786200000000001</v>
      </c>
      <c r="Q98" s="500">
        <v>11.638500000000001</v>
      </c>
      <c r="R98" s="502">
        <f t="shared" si="86"/>
        <v>0</v>
      </c>
      <c r="S98" s="492">
        <v>0</v>
      </c>
      <c r="T98" s="492">
        <v>0</v>
      </c>
      <c r="U98" s="492">
        <v>0</v>
      </c>
      <c r="V98" s="492">
        <f t="shared" si="87"/>
        <v>0</v>
      </c>
      <c r="W98" s="492">
        <v>0</v>
      </c>
      <c r="X98" s="492">
        <v>0</v>
      </c>
      <c r="Y98" s="492">
        <v>0</v>
      </c>
      <c r="Z98" s="492">
        <f t="shared" si="88"/>
        <v>0</v>
      </c>
      <c r="AA98" s="492">
        <f t="shared" si="89"/>
        <v>0</v>
      </c>
      <c r="AB98" s="74">
        <f t="shared" si="90"/>
        <v>0</v>
      </c>
      <c r="AC98" s="74">
        <f t="shared" si="91"/>
        <v>0</v>
      </c>
      <c r="AD98" s="492">
        <v>0</v>
      </c>
      <c r="AE98" s="492">
        <v>0</v>
      </c>
      <c r="AF98" s="492">
        <f t="shared" si="92"/>
        <v>0</v>
      </c>
      <c r="AG98" s="492">
        <f t="shared" si="93"/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 t="shared" si="117"/>
        <v>0</v>
      </c>
      <c r="AP98" s="493">
        <f t="shared" si="118"/>
        <v>0</v>
      </c>
      <c r="AQ98" s="495">
        <f t="shared" si="96"/>
        <v>0</v>
      </c>
      <c r="AR98" s="501">
        <f t="shared" si="97"/>
        <v>37025558</v>
      </c>
      <c r="AS98" s="492">
        <f t="shared" si="98"/>
        <v>26920314</v>
      </c>
      <c r="AT98" s="492">
        <f t="shared" si="119"/>
        <v>0</v>
      </c>
      <c r="AU98" s="492">
        <f t="shared" si="120"/>
        <v>9099067</v>
      </c>
      <c r="AV98" s="492">
        <f t="shared" si="120"/>
        <v>538407</v>
      </c>
      <c r="AW98" s="492">
        <f t="shared" si="101"/>
        <v>467770</v>
      </c>
      <c r="AX98" s="493">
        <f t="shared" si="102"/>
        <v>47.424700000000001</v>
      </c>
      <c r="AY98" s="493">
        <f t="shared" si="121"/>
        <v>35.786200000000001</v>
      </c>
      <c r="AZ98" s="495">
        <f t="shared" si="121"/>
        <v>11.638500000000001</v>
      </c>
    </row>
    <row r="99" spans="1:52" s="238" customFormat="1" x14ac:dyDescent="0.2">
      <c r="A99" s="225">
        <v>18</v>
      </c>
      <c r="B99" s="226">
        <v>4479</v>
      </c>
      <c r="C99" s="226">
        <v>600075150</v>
      </c>
      <c r="D99" s="226">
        <v>70982228</v>
      </c>
      <c r="E99" s="224" t="s">
        <v>183</v>
      </c>
      <c r="F99" s="226">
        <v>3114</v>
      </c>
      <c r="G99" s="176" t="s">
        <v>314</v>
      </c>
      <c r="H99" s="227" t="s">
        <v>278</v>
      </c>
      <c r="I99" s="494">
        <v>10343292</v>
      </c>
      <c r="J99" s="489">
        <v>7616563</v>
      </c>
      <c r="K99" s="489">
        <v>0</v>
      </c>
      <c r="L99" s="489">
        <v>2574398</v>
      </c>
      <c r="M99" s="489">
        <v>152331</v>
      </c>
      <c r="N99" s="489">
        <v>0</v>
      </c>
      <c r="O99" s="490">
        <v>20.3048</v>
      </c>
      <c r="P99" s="491">
        <v>20.3048</v>
      </c>
      <c r="Q99" s="500">
        <v>0</v>
      </c>
      <c r="R99" s="502">
        <f t="shared" si="86"/>
        <v>0</v>
      </c>
      <c r="S99" s="492">
        <v>0</v>
      </c>
      <c r="T99" s="492">
        <v>0</v>
      </c>
      <c r="U99" s="492">
        <v>0</v>
      </c>
      <c r="V99" s="492">
        <f t="shared" si="87"/>
        <v>0</v>
      </c>
      <c r="W99" s="492">
        <v>0</v>
      </c>
      <c r="X99" s="492">
        <v>0</v>
      </c>
      <c r="Y99" s="492">
        <v>0</v>
      </c>
      <c r="Z99" s="492">
        <f t="shared" si="88"/>
        <v>0</v>
      </c>
      <c r="AA99" s="492">
        <f t="shared" si="89"/>
        <v>0</v>
      </c>
      <c r="AB99" s="74">
        <f t="shared" si="90"/>
        <v>0</v>
      </c>
      <c r="AC99" s="74">
        <f t="shared" si="91"/>
        <v>0</v>
      </c>
      <c r="AD99" s="492">
        <v>0</v>
      </c>
      <c r="AE99" s="492">
        <v>0</v>
      </c>
      <c r="AF99" s="492">
        <f t="shared" si="92"/>
        <v>0</v>
      </c>
      <c r="AG99" s="492">
        <f t="shared" si="93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si="117"/>
        <v>0</v>
      </c>
      <c r="AP99" s="493">
        <f t="shared" si="118"/>
        <v>0</v>
      </c>
      <c r="AQ99" s="495">
        <f t="shared" si="96"/>
        <v>0</v>
      </c>
      <c r="AR99" s="501">
        <f t="shared" si="97"/>
        <v>10343292</v>
      </c>
      <c r="AS99" s="492">
        <f t="shared" si="98"/>
        <v>7616563</v>
      </c>
      <c r="AT99" s="492">
        <f t="shared" si="119"/>
        <v>0</v>
      </c>
      <c r="AU99" s="492">
        <f t="shared" si="120"/>
        <v>2574398</v>
      </c>
      <c r="AV99" s="492">
        <f t="shared" si="120"/>
        <v>152331</v>
      </c>
      <c r="AW99" s="492">
        <f t="shared" si="101"/>
        <v>0</v>
      </c>
      <c r="AX99" s="493">
        <f t="shared" si="102"/>
        <v>20.3048</v>
      </c>
      <c r="AY99" s="493">
        <f t="shared" si="121"/>
        <v>20.3048</v>
      </c>
      <c r="AZ99" s="495">
        <f t="shared" si="121"/>
        <v>0</v>
      </c>
    </row>
    <row r="100" spans="1:52" s="238" customFormat="1" x14ac:dyDescent="0.2">
      <c r="A100" s="225">
        <v>18</v>
      </c>
      <c r="B100" s="226">
        <v>4479</v>
      </c>
      <c r="C100" s="226">
        <v>600075150</v>
      </c>
      <c r="D100" s="226">
        <v>70982228</v>
      </c>
      <c r="E100" s="224" t="s">
        <v>183</v>
      </c>
      <c r="F100" s="226">
        <v>3124</v>
      </c>
      <c r="G100" s="176" t="s">
        <v>321</v>
      </c>
      <c r="H100" s="227" t="s">
        <v>278</v>
      </c>
      <c r="I100" s="494">
        <v>3375576</v>
      </c>
      <c r="J100" s="489">
        <v>2469202</v>
      </c>
      <c r="K100" s="489">
        <v>0</v>
      </c>
      <c r="L100" s="489">
        <v>834590</v>
      </c>
      <c r="M100" s="489">
        <v>49384</v>
      </c>
      <c r="N100" s="489">
        <v>22400</v>
      </c>
      <c r="O100" s="490">
        <v>4.0011000000000001</v>
      </c>
      <c r="P100" s="491">
        <v>3.2381000000000002</v>
      </c>
      <c r="Q100" s="500">
        <v>0.76300000000000001</v>
      </c>
      <c r="R100" s="502">
        <f t="shared" si="86"/>
        <v>0</v>
      </c>
      <c r="S100" s="492">
        <v>0</v>
      </c>
      <c r="T100" s="492">
        <v>0</v>
      </c>
      <c r="U100" s="492">
        <v>0</v>
      </c>
      <c r="V100" s="492">
        <f t="shared" si="87"/>
        <v>0</v>
      </c>
      <c r="W100" s="492">
        <v>0</v>
      </c>
      <c r="X100" s="492">
        <v>0</v>
      </c>
      <c r="Y100" s="492">
        <v>0</v>
      </c>
      <c r="Z100" s="492">
        <f t="shared" si="88"/>
        <v>0</v>
      </c>
      <c r="AA100" s="492">
        <f t="shared" si="89"/>
        <v>0</v>
      </c>
      <c r="AB100" s="74">
        <f t="shared" si="90"/>
        <v>0</v>
      </c>
      <c r="AC100" s="74">
        <f t="shared" si="91"/>
        <v>0</v>
      </c>
      <c r="AD100" s="492">
        <v>0</v>
      </c>
      <c r="AE100" s="492">
        <v>0</v>
      </c>
      <c r="AF100" s="492">
        <f t="shared" si="92"/>
        <v>0</v>
      </c>
      <c r="AG100" s="492">
        <f t="shared" si="93"/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117"/>
        <v>0</v>
      </c>
      <c r="AP100" s="493">
        <f t="shared" si="118"/>
        <v>0</v>
      </c>
      <c r="AQ100" s="495">
        <f t="shared" si="96"/>
        <v>0</v>
      </c>
      <c r="AR100" s="501">
        <f t="shared" si="97"/>
        <v>3375576</v>
      </c>
      <c r="AS100" s="492">
        <f t="shared" si="98"/>
        <v>2469202</v>
      </c>
      <c r="AT100" s="492">
        <f t="shared" si="119"/>
        <v>0</v>
      </c>
      <c r="AU100" s="492">
        <f t="shared" si="120"/>
        <v>834590</v>
      </c>
      <c r="AV100" s="492">
        <f t="shared" si="120"/>
        <v>49384</v>
      </c>
      <c r="AW100" s="492">
        <f t="shared" si="101"/>
        <v>22400</v>
      </c>
      <c r="AX100" s="493">
        <f t="shared" si="102"/>
        <v>4.0011000000000001</v>
      </c>
      <c r="AY100" s="493">
        <f t="shared" si="121"/>
        <v>3.2381000000000002</v>
      </c>
      <c r="AZ100" s="495">
        <f t="shared" si="121"/>
        <v>0.76300000000000001</v>
      </c>
    </row>
    <row r="101" spans="1:52" s="238" customFormat="1" x14ac:dyDescent="0.2">
      <c r="A101" s="225">
        <v>18</v>
      </c>
      <c r="B101" s="226">
        <v>4479</v>
      </c>
      <c r="C101" s="226">
        <v>600075150</v>
      </c>
      <c r="D101" s="226">
        <v>70982228</v>
      </c>
      <c r="E101" s="224" t="s">
        <v>183</v>
      </c>
      <c r="F101" s="226">
        <v>3124</v>
      </c>
      <c r="G101" s="176" t="s">
        <v>322</v>
      </c>
      <c r="H101" s="227" t="s">
        <v>278</v>
      </c>
      <c r="I101" s="494">
        <v>876387</v>
      </c>
      <c r="J101" s="489">
        <v>645351</v>
      </c>
      <c r="K101" s="489">
        <v>0</v>
      </c>
      <c r="L101" s="489">
        <v>218129</v>
      </c>
      <c r="M101" s="489">
        <v>12907</v>
      </c>
      <c r="N101" s="489">
        <v>0</v>
      </c>
      <c r="O101" s="490">
        <v>1.7777000000000001</v>
      </c>
      <c r="P101" s="491">
        <v>1.7777000000000001</v>
      </c>
      <c r="Q101" s="500">
        <v>0</v>
      </c>
      <c r="R101" s="502">
        <f t="shared" si="86"/>
        <v>0</v>
      </c>
      <c r="S101" s="492">
        <v>0</v>
      </c>
      <c r="T101" s="492">
        <v>0</v>
      </c>
      <c r="U101" s="492">
        <v>0</v>
      </c>
      <c r="V101" s="492">
        <f t="shared" si="87"/>
        <v>0</v>
      </c>
      <c r="W101" s="492">
        <v>0</v>
      </c>
      <c r="X101" s="492">
        <v>0</v>
      </c>
      <c r="Y101" s="492">
        <v>0</v>
      </c>
      <c r="Z101" s="492">
        <f t="shared" si="88"/>
        <v>0</v>
      </c>
      <c r="AA101" s="492">
        <f t="shared" si="89"/>
        <v>0</v>
      </c>
      <c r="AB101" s="74">
        <f t="shared" si="90"/>
        <v>0</v>
      </c>
      <c r="AC101" s="74">
        <f t="shared" si="91"/>
        <v>0</v>
      </c>
      <c r="AD101" s="492">
        <v>0</v>
      </c>
      <c r="AE101" s="492">
        <v>0</v>
      </c>
      <c r="AF101" s="492">
        <f t="shared" si="92"/>
        <v>0</v>
      </c>
      <c r="AG101" s="492">
        <f t="shared" si="93"/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 t="shared" si="117"/>
        <v>0</v>
      </c>
      <c r="AP101" s="493">
        <f t="shared" si="118"/>
        <v>0</v>
      </c>
      <c r="AQ101" s="495">
        <f t="shared" si="96"/>
        <v>0</v>
      </c>
      <c r="AR101" s="501">
        <f t="shared" si="97"/>
        <v>876387</v>
      </c>
      <c r="AS101" s="492">
        <f t="shared" si="98"/>
        <v>645351</v>
      </c>
      <c r="AT101" s="492">
        <f t="shared" si="119"/>
        <v>0</v>
      </c>
      <c r="AU101" s="492">
        <f t="shared" si="120"/>
        <v>218129</v>
      </c>
      <c r="AV101" s="492">
        <f t="shared" si="120"/>
        <v>12907</v>
      </c>
      <c r="AW101" s="492">
        <f t="shared" si="101"/>
        <v>0</v>
      </c>
      <c r="AX101" s="493">
        <f t="shared" si="102"/>
        <v>1.7777000000000001</v>
      </c>
      <c r="AY101" s="493">
        <f t="shared" si="121"/>
        <v>1.7777000000000001</v>
      </c>
      <c r="AZ101" s="495">
        <f t="shared" si="121"/>
        <v>0</v>
      </c>
    </row>
    <row r="102" spans="1:52" s="238" customFormat="1" x14ac:dyDescent="0.2">
      <c r="A102" s="225">
        <v>18</v>
      </c>
      <c r="B102" s="226">
        <v>4479</v>
      </c>
      <c r="C102" s="226">
        <v>600075150</v>
      </c>
      <c r="D102" s="226">
        <v>70982228</v>
      </c>
      <c r="E102" s="219" t="s">
        <v>183</v>
      </c>
      <c r="F102" s="226">
        <v>3141</v>
      </c>
      <c r="G102" s="176" t="s">
        <v>316</v>
      </c>
      <c r="H102" s="227" t="s">
        <v>279</v>
      </c>
      <c r="I102" s="494">
        <v>1629305</v>
      </c>
      <c r="J102" s="489">
        <v>1192576</v>
      </c>
      <c r="K102" s="489">
        <v>0</v>
      </c>
      <c r="L102" s="489">
        <v>403091</v>
      </c>
      <c r="M102" s="489">
        <v>23852</v>
      </c>
      <c r="N102" s="489">
        <v>9786</v>
      </c>
      <c r="O102" s="490">
        <v>3.75</v>
      </c>
      <c r="P102" s="491">
        <v>0</v>
      </c>
      <c r="Q102" s="500">
        <v>3.75</v>
      </c>
      <c r="R102" s="502">
        <f t="shared" si="86"/>
        <v>0</v>
      </c>
      <c r="S102" s="492">
        <v>0</v>
      </c>
      <c r="T102" s="492">
        <v>0</v>
      </c>
      <c r="U102" s="492">
        <v>0</v>
      </c>
      <c r="V102" s="492">
        <f t="shared" si="87"/>
        <v>0</v>
      </c>
      <c r="W102" s="492">
        <v>0</v>
      </c>
      <c r="X102" s="492">
        <v>0</v>
      </c>
      <c r="Y102" s="492">
        <v>0</v>
      </c>
      <c r="Z102" s="492">
        <f t="shared" si="88"/>
        <v>0</v>
      </c>
      <c r="AA102" s="492">
        <f t="shared" si="89"/>
        <v>0</v>
      </c>
      <c r="AB102" s="74">
        <f t="shared" si="90"/>
        <v>0</v>
      </c>
      <c r="AC102" s="74">
        <f t="shared" si="91"/>
        <v>0</v>
      </c>
      <c r="AD102" s="492">
        <v>0</v>
      </c>
      <c r="AE102" s="492">
        <v>0</v>
      </c>
      <c r="AF102" s="492">
        <f t="shared" si="92"/>
        <v>0</v>
      </c>
      <c r="AG102" s="492">
        <f t="shared" si="93"/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 t="shared" si="117"/>
        <v>0</v>
      </c>
      <c r="AP102" s="493">
        <f t="shared" si="118"/>
        <v>0</v>
      </c>
      <c r="AQ102" s="495">
        <f t="shared" si="96"/>
        <v>0</v>
      </c>
      <c r="AR102" s="501">
        <f t="shared" si="97"/>
        <v>1629305</v>
      </c>
      <c r="AS102" s="492">
        <f t="shared" si="98"/>
        <v>1192576</v>
      </c>
      <c r="AT102" s="492">
        <f t="shared" si="119"/>
        <v>0</v>
      </c>
      <c r="AU102" s="492">
        <f t="shared" si="120"/>
        <v>403091</v>
      </c>
      <c r="AV102" s="492">
        <f t="shared" si="120"/>
        <v>23852</v>
      </c>
      <c r="AW102" s="492">
        <f t="shared" si="101"/>
        <v>9786</v>
      </c>
      <c r="AX102" s="493">
        <f t="shared" si="102"/>
        <v>3.75</v>
      </c>
      <c r="AY102" s="493">
        <f t="shared" si="121"/>
        <v>0</v>
      </c>
      <c r="AZ102" s="495">
        <f t="shared" si="121"/>
        <v>3.75</v>
      </c>
    </row>
    <row r="103" spans="1:52" s="238" customFormat="1" x14ac:dyDescent="0.2">
      <c r="A103" s="225">
        <v>18</v>
      </c>
      <c r="B103" s="226">
        <v>4479</v>
      </c>
      <c r="C103" s="226">
        <v>600075150</v>
      </c>
      <c r="D103" s="226">
        <v>70982228</v>
      </c>
      <c r="E103" s="224" t="s">
        <v>183</v>
      </c>
      <c r="F103" s="226">
        <v>3143</v>
      </c>
      <c r="G103" s="176" t="s">
        <v>629</v>
      </c>
      <c r="H103" s="243" t="s">
        <v>278</v>
      </c>
      <c r="I103" s="494">
        <v>2271987</v>
      </c>
      <c r="J103" s="489">
        <v>1673039</v>
      </c>
      <c r="K103" s="489">
        <v>0</v>
      </c>
      <c r="L103" s="489">
        <v>565487</v>
      </c>
      <c r="M103" s="489">
        <v>33461</v>
      </c>
      <c r="N103" s="489">
        <v>0</v>
      </c>
      <c r="O103" s="490">
        <v>3.4822000000000002</v>
      </c>
      <c r="P103" s="491">
        <v>3.4822000000000002</v>
      </c>
      <c r="Q103" s="500">
        <v>0</v>
      </c>
      <c r="R103" s="502">
        <f t="shared" si="86"/>
        <v>0</v>
      </c>
      <c r="S103" s="492">
        <v>0</v>
      </c>
      <c r="T103" s="492">
        <v>0</v>
      </c>
      <c r="U103" s="492">
        <v>0</v>
      </c>
      <c r="V103" s="492">
        <f t="shared" si="87"/>
        <v>0</v>
      </c>
      <c r="W103" s="492">
        <v>0</v>
      </c>
      <c r="X103" s="492">
        <v>0</v>
      </c>
      <c r="Y103" s="492">
        <v>0</v>
      </c>
      <c r="Z103" s="492">
        <f t="shared" si="88"/>
        <v>0</v>
      </c>
      <c r="AA103" s="492">
        <f t="shared" si="89"/>
        <v>0</v>
      </c>
      <c r="AB103" s="74">
        <f t="shared" si="90"/>
        <v>0</v>
      </c>
      <c r="AC103" s="74">
        <f t="shared" si="91"/>
        <v>0</v>
      </c>
      <c r="AD103" s="492">
        <v>0</v>
      </c>
      <c r="AE103" s="492">
        <v>0</v>
      </c>
      <c r="AF103" s="492">
        <f t="shared" si="92"/>
        <v>0</v>
      </c>
      <c r="AG103" s="492">
        <f t="shared" si="93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117"/>
        <v>0</v>
      </c>
      <c r="AP103" s="493">
        <f t="shared" si="118"/>
        <v>0</v>
      </c>
      <c r="AQ103" s="495">
        <f t="shared" si="96"/>
        <v>0</v>
      </c>
      <c r="AR103" s="501">
        <f t="shared" si="97"/>
        <v>2271987</v>
      </c>
      <c r="AS103" s="492">
        <f t="shared" si="98"/>
        <v>1673039</v>
      </c>
      <c r="AT103" s="492">
        <f t="shared" si="119"/>
        <v>0</v>
      </c>
      <c r="AU103" s="492">
        <f t="shared" si="120"/>
        <v>565487</v>
      </c>
      <c r="AV103" s="492">
        <f t="shared" si="120"/>
        <v>33461</v>
      </c>
      <c r="AW103" s="492">
        <f t="shared" si="101"/>
        <v>0</v>
      </c>
      <c r="AX103" s="493">
        <f t="shared" si="102"/>
        <v>3.4822000000000002</v>
      </c>
      <c r="AY103" s="493">
        <f t="shared" si="121"/>
        <v>3.4822000000000002</v>
      </c>
      <c r="AZ103" s="495">
        <f t="shared" si="121"/>
        <v>0</v>
      </c>
    </row>
    <row r="104" spans="1:52" s="238" customFormat="1" x14ac:dyDescent="0.2">
      <c r="A104" s="225">
        <v>18</v>
      </c>
      <c r="B104" s="226">
        <v>4479</v>
      </c>
      <c r="C104" s="226">
        <v>600075150</v>
      </c>
      <c r="D104" s="226">
        <v>70982228</v>
      </c>
      <c r="E104" s="224" t="s">
        <v>183</v>
      </c>
      <c r="F104" s="226">
        <v>3143</v>
      </c>
      <c r="G104" s="176" t="s">
        <v>630</v>
      </c>
      <c r="H104" s="243" t="s">
        <v>279</v>
      </c>
      <c r="I104" s="494">
        <v>30241</v>
      </c>
      <c r="J104" s="489">
        <v>21385</v>
      </c>
      <c r="K104" s="489">
        <v>0</v>
      </c>
      <c r="L104" s="489">
        <v>7228</v>
      </c>
      <c r="M104" s="489">
        <v>428</v>
      </c>
      <c r="N104" s="489">
        <v>1200</v>
      </c>
      <c r="O104" s="490">
        <v>0.08</v>
      </c>
      <c r="P104" s="491">
        <v>0</v>
      </c>
      <c r="Q104" s="500">
        <v>0.08</v>
      </c>
      <c r="R104" s="502">
        <f t="shared" si="86"/>
        <v>0</v>
      </c>
      <c r="S104" s="492">
        <v>0</v>
      </c>
      <c r="T104" s="492">
        <v>0</v>
      </c>
      <c r="U104" s="492">
        <v>0</v>
      </c>
      <c r="V104" s="492">
        <f t="shared" si="87"/>
        <v>0</v>
      </c>
      <c r="W104" s="492">
        <v>0</v>
      </c>
      <c r="X104" s="492">
        <v>0</v>
      </c>
      <c r="Y104" s="492">
        <v>0</v>
      </c>
      <c r="Z104" s="492">
        <f t="shared" si="88"/>
        <v>0</v>
      </c>
      <c r="AA104" s="492">
        <f t="shared" si="89"/>
        <v>0</v>
      </c>
      <c r="AB104" s="74">
        <f t="shared" si="90"/>
        <v>0</v>
      </c>
      <c r="AC104" s="74">
        <f t="shared" si="91"/>
        <v>0</v>
      </c>
      <c r="AD104" s="492">
        <v>0</v>
      </c>
      <c r="AE104" s="492">
        <v>0</v>
      </c>
      <c r="AF104" s="492">
        <f t="shared" si="92"/>
        <v>0</v>
      </c>
      <c r="AG104" s="492">
        <f t="shared" si="93"/>
        <v>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 t="shared" si="117"/>
        <v>0</v>
      </c>
      <c r="AP104" s="493">
        <f t="shared" si="118"/>
        <v>0</v>
      </c>
      <c r="AQ104" s="495">
        <f t="shared" si="96"/>
        <v>0</v>
      </c>
      <c r="AR104" s="501">
        <f t="shared" si="97"/>
        <v>30241</v>
      </c>
      <c r="AS104" s="492">
        <f t="shared" si="98"/>
        <v>21385</v>
      </c>
      <c r="AT104" s="492">
        <f t="shared" si="119"/>
        <v>0</v>
      </c>
      <c r="AU104" s="492">
        <f t="shared" si="120"/>
        <v>7228</v>
      </c>
      <c r="AV104" s="492">
        <f t="shared" si="120"/>
        <v>428</v>
      </c>
      <c r="AW104" s="492">
        <f t="shared" si="101"/>
        <v>1200</v>
      </c>
      <c r="AX104" s="493">
        <f t="shared" si="102"/>
        <v>0.08</v>
      </c>
      <c r="AY104" s="493">
        <f t="shared" si="121"/>
        <v>0</v>
      </c>
      <c r="AZ104" s="495">
        <f t="shared" si="121"/>
        <v>0.08</v>
      </c>
    </row>
    <row r="105" spans="1:52" s="238" customFormat="1" x14ac:dyDescent="0.2">
      <c r="A105" s="225">
        <v>18</v>
      </c>
      <c r="B105" s="226">
        <v>4479</v>
      </c>
      <c r="C105" s="226">
        <v>600075150</v>
      </c>
      <c r="D105" s="226">
        <v>70982228</v>
      </c>
      <c r="E105" s="224" t="s">
        <v>183</v>
      </c>
      <c r="F105" s="226">
        <v>3143</v>
      </c>
      <c r="G105" s="176" t="s">
        <v>318</v>
      </c>
      <c r="H105" s="243" t="s">
        <v>279</v>
      </c>
      <c r="I105" s="494">
        <v>209681</v>
      </c>
      <c r="J105" s="489">
        <v>154169</v>
      </c>
      <c r="K105" s="489">
        <v>0</v>
      </c>
      <c r="L105" s="489">
        <v>52109</v>
      </c>
      <c r="M105" s="489">
        <v>3083</v>
      </c>
      <c r="N105" s="489">
        <v>320</v>
      </c>
      <c r="O105" s="490">
        <v>0.32999999999999996</v>
      </c>
      <c r="P105" s="491">
        <v>0.3</v>
      </c>
      <c r="Q105" s="500">
        <v>0.03</v>
      </c>
      <c r="R105" s="502">
        <f t="shared" si="86"/>
        <v>0</v>
      </c>
      <c r="S105" s="492">
        <v>0</v>
      </c>
      <c r="T105" s="492">
        <v>0</v>
      </c>
      <c r="U105" s="492">
        <v>0</v>
      </c>
      <c r="V105" s="492">
        <f t="shared" si="87"/>
        <v>0</v>
      </c>
      <c r="W105" s="492">
        <v>0</v>
      </c>
      <c r="X105" s="492">
        <v>0</v>
      </c>
      <c r="Y105" s="492">
        <v>0</v>
      </c>
      <c r="Z105" s="492">
        <f t="shared" si="88"/>
        <v>0</v>
      </c>
      <c r="AA105" s="492">
        <f t="shared" si="89"/>
        <v>0</v>
      </c>
      <c r="AB105" s="74">
        <f t="shared" si="90"/>
        <v>0</v>
      </c>
      <c r="AC105" s="74">
        <f t="shared" si="91"/>
        <v>0</v>
      </c>
      <c r="AD105" s="492">
        <v>0</v>
      </c>
      <c r="AE105" s="492">
        <v>0</v>
      </c>
      <c r="AF105" s="492">
        <f t="shared" si="92"/>
        <v>0</v>
      </c>
      <c r="AG105" s="492">
        <f t="shared" si="93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 t="shared" si="117"/>
        <v>0</v>
      </c>
      <c r="AP105" s="493">
        <f t="shared" si="118"/>
        <v>0</v>
      </c>
      <c r="AQ105" s="495">
        <f t="shared" si="96"/>
        <v>0</v>
      </c>
      <c r="AR105" s="501">
        <f t="shared" si="97"/>
        <v>209681</v>
      </c>
      <c r="AS105" s="492">
        <f t="shared" si="98"/>
        <v>154169</v>
      </c>
      <c r="AT105" s="492">
        <f t="shared" si="119"/>
        <v>0</v>
      </c>
      <c r="AU105" s="492">
        <f t="shared" si="120"/>
        <v>52109</v>
      </c>
      <c r="AV105" s="492">
        <f t="shared" si="120"/>
        <v>3083</v>
      </c>
      <c r="AW105" s="492">
        <f t="shared" si="101"/>
        <v>320</v>
      </c>
      <c r="AX105" s="493">
        <f t="shared" si="102"/>
        <v>0.32999999999999996</v>
      </c>
      <c r="AY105" s="493">
        <f t="shared" si="121"/>
        <v>0.3</v>
      </c>
      <c r="AZ105" s="495">
        <f t="shared" si="121"/>
        <v>0.03</v>
      </c>
    </row>
    <row r="106" spans="1:52" s="238" customFormat="1" x14ac:dyDescent="0.2">
      <c r="A106" s="166">
        <v>18</v>
      </c>
      <c r="B106" s="20">
        <v>4479</v>
      </c>
      <c r="C106" s="20">
        <v>600075150</v>
      </c>
      <c r="D106" s="20">
        <v>70982228</v>
      </c>
      <c r="E106" s="175" t="s">
        <v>184</v>
      </c>
      <c r="F106" s="20"/>
      <c r="G106" s="165"/>
      <c r="H106" s="199"/>
      <c r="I106" s="553">
        <v>57385440</v>
      </c>
      <c r="J106" s="550">
        <v>41880090</v>
      </c>
      <c r="K106" s="550">
        <v>0</v>
      </c>
      <c r="L106" s="550">
        <v>14155471</v>
      </c>
      <c r="M106" s="550">
        <v>837603</v>
      </c>
      <c r="N106" s="550">
        <v>512276</v>
      </c>
      <c r="O106" s="551">
        <v>83.661399999999986</v>
      </c>
      <c r="P106" s="551">
        <v>66.88900000000001</v>
      </c>
      <c r="Q106" s="555">
        <v>16.772399999999998</v>
      </c>
      <c r="R106" s="553">
        <f t="shared" ref="R106:AZ106" si="122">SUM(R97:R105)</f>
        <v>0</v>
      </c>
      <c r="S106" s="550">
        <f t="shared" si="122"/>
        <v>0</v>
      </c>
      <c r="T106" s="550">
        <f t="shared" si="122"/>
        <v>0</v>
      </c>
      <c r="U106" s="550">
        <f t="shared" si="122"/>
        <v>0</v>
      </c>
      <c r="V106" s="550">
        <f t="shared" si="122"/>
        <v>0</v>
      </c>
      <c r="W106" s="550">
        <f t="shared" si="122"/>
        <v>0</v>
      </c>
      <c r="X106" s="550">
        <f t="shared" si="122"/>
        <v>0</v>
      </c>
      <c r="Y106" s="550">
        <f t="shared" si="122"/>
        <v>0</v>
      </c>
      <c r="Z106" s="550">
        <f t="shared" si="122"/>
        <v>0</v>
      </c>
      <c r="AA106" s="550">
        <f t="shared" si="122"/>
        <v>0</v>
      </c>
      <c r="AB106" s="550">
        <f t="shared" si="122"/>
        <v>0</v>
      </c>
      <c r="AC106" s="550">
        <f t="shared" si="122"/>
        <v>0</v>
      </c>
      <c r="AD106" s="550">
        <f t="shared" si="122"/>
        <v>0</v>
      </c>
      <c r="AE106" s="550">
        <f t="shared" si="122"/>
        <v>0</v>
      </c>
      <c r="AF106" s="550">
        <f t="shared" si="122"/>
        <v>0</v>
      </c>
      <c r="AG106" s="550">
        <f t="shared" si="122"/>
        <v>0</v>
      </c>
      <c r="AH106" s="551">
        <f t="shared" si="122"/>
        <v>0</v>
      </c>
      <c r="AI106" s="551">
        <f t="shared" si="122"/>
        <v>0</v>
      </c>
      <c r="AJ106" s="551">
        <f t="shared" si="122"/>
        <v>0</v>
      </c>
      <c r="AK106" s="551">
        <f t="shared" si="122"/>
        <v>0</v>
      </c>
      <c r="AL106" s="551">
        <f t="shared" si="122"/>
        <v>0</v>
      </c>
      <c r="AM106" s="551">
        <f t="shared" si="122"/>
        <v>0</v>
      </c>
      <c r="AN106" s="551">
        <f t="shared" si="122"/>
        <v>0</v>
      </c>
      <c r="AO106" s="551">
        <f t="shared" si="122"/>
        <v>0</v>
      </c>
      <c r="AP106" s="551">
        <f t="shared" si="122"/>
        <v>0</v>
      </c>
      <c r="AQ106" s="44">
        <f t="shared" si="122"/>
        <v>0</v>
      </c>
      <c r="AR106" s="557">
        <f t="shared" si="122"/>
        <v>57385440</v>
      </c>
      <c r="AS106" s="550">
        <f t="shared" si="122"/>
        <v>41880090</v>
      </c>
      <c r="AT106" s="550">
        <f t="shared" si="122"/>
        <v>0</v>
      </c>
      <c r="AU106" s="550">
        <f t="shared" si="122"/>
        <v>14155471</v>
      </c>
      <c r="AV106" s="550">
        <f t="shared" si="122"/>
        <v>837603</v>
      </c>
      <c r="AW106" s="550">
        <f t="shared" si="122"/>
        <v>512276</v>
      </c>
      <c r="AX106" s="551">
        <f t="shared" si="122"/>
        <v>83.661399999999986</v>
      </c>
      <c r="AY106" s="551">
        <f t="shared" si="122"/>
        <v>66.88900000000001</v>
      </c>
      <c r="AZ106" s="44">
        <f t="shared" si="122"/>
        <v>16.772399999999998</v>
      </c>
    </row>
    <row r="107" spans="1:52" s="238" customFormat="1" x14ac:dyDescent="0.2">
      <c r="A107" s="225">
        <v>19</v>
      </c>
      <c r="B107" s="226">
        <v>4473</v>
      </c>
      <c r="C107" s="226">
        <v>600075117</v>
      </c>
      <c r="D107" s="226">
        <v>62237021</v>
      </c>
      <c r="E107" s="224" t="s">
        <v>185</v>
      </c>
      <c r="F107" s="226">
        <v>3231</v>
      </c>
      <c r="G107" s="176" t="s">
        <v>317</v>
      </c>
      <c r="H107" s="227" t="s">
        <v>278</v>
      </c>
      <c r="I107" s="494">
        <v>29874463</v>
      </c>
      <c r="J107" s="489">
        <v>21928456</v>
      </c>
      <c r="K107" s="489">
        <v>0</v>
      </c>
      <c r="L107" s="489">
        <v>7411818</v>
      </c>
      <c r="M107" s="489">
        <v>438569</v>
      </c>
      <c r="N107" s="489">
        <v>95620</v>
      </c>
      <c r="O107" s="490">
        <v>40.7239</v>
      </c>
      <c r="P107" s="491">
        <v>36.190399999999997</v>
      </c>
      <c r="Q107" s="500">
        <v>4.5335000000000001</v>
      </c>
      <c r="R107" s="502">
        <f t="shared" si="86"/>
        <v>0</v>
      </c>
      <c r="S107" s="492">
        <v>0</v>
      </c>
      <c r="T107" s="492">
        <v>0</v>
      </c>
      <c r="U107" s="492">
        <v>0</v>
      </c>
      <c r="V107" s="492">
        <f t="shared" si="87"/>
        <v>0</v>
      </c>
      <c r="W107" s="492">
        <v>0</v>
      </c>
      <c r="X107" s="492">
        <v>0</v>
      </c>
      <c r="Y107" s="492">
        <v>0</v>
      </c>
      <c r="Z107" s="492">
        <f t="shared" si="88"/>
        <v>0</v>
      </c>
      <c r="AA107" s="492">
        <f t="shared" si="89"/>
        <v>0</v>
      </c>
      <c r="AB107" s="74">
        <f t="shared" si="90"/>
        <v>0</v>
      </c>
      <c r="AC107" s="74">
        <f t="shared" si="91"/>
        <v>0</v>
      </c>
      <c r="AD107" s="492">
        <v>0</v>
      </c>
      <c r="AE107" s="492">
        <v>0</v>
      </c>
      <c r="AF107" s="492">
        <f t="shared" si="92"/>
        <v>0</v>
      </c>
      <c r="AG107" s="492">
        <f t="shared" si="93"/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>AH107+AJ107+AM107+AK107</f>
        <v>0</v>
      </c>
      <c r="AP107" s="493">
        <f>AI107+AN107+AL107</f>
        <v>0</v>
      </c>
      <c r="AQ107" s="495">
        <f t="shared" si="96"/>
        <v>0</v>
      </c>
      <c r="AR107" s="501">
        <f t="shared" si="97"/>
        <v>29874463</v>
      </c>
      <c r="AS107" s="492">
        <f t="shared" si="98"/>
        <v>21928456</v>
      </c>
      <c r="AT107" s="492">
        <f>K107+Z107</f>
        <v>0</v>
      </c>
      <c r="AU107" s="492">
        <f>L107+AB107</f>
        <v>7411818</v>
      </c>
      <c r="AV107" s="492">
        <f>M107+AC107</f>
        <v>438569</v>
      </c>
      <c r="AW107" s="492">
        <f t="shared" si="101"/>
        <v>95620</v>
      </c>
      <c r="AX107" s="493">
        <f t="shared" si="102"/>
        <v>40.7239</v>
      </c>
      <c r="AY107" s="493">
        <f>P107+AO107</f>
        <v>36.190399999999997</v>
      </c>
      <c r="AZ107" s="495">
        <f>Q107+AP107</f>
        <v>4.5335000000000001</v>
      </c>
    </row>
    <row r="108" spans="1:52" s="238" customFormat="1" x14ac:dyDescent="0.2">
      <c r="A108" s="166">
        <v>19</v>
      </c>
      <c r="B108" s="20">
        <v>4473</v>
      </c>
      <c r="C108" s="20">
        <v>600075117</v>
      </c>
      <c r="D108" s="20">
        <v>62237021</v>
      </c>
      <c r="E108" s="175" t="s">
        <v>186</v>
      </c>
      <c r="F108" s="20"/>
      <c r="G108" s="165"/>
      <c r="H108" s="199"/>
      <c r="I108" s="553">
        <v>29874463</v>
      </c>
      <c r="J108" s="550">
        <v>21928456</v>
      </c>
      <c r="K108" s="550">
        <v>0</v>
      </c>
      <c r="L108" s="550">
        <v>7411818</v>
      </c>
      <c r="M108" s="550">
        <v>438569</v>
      </c>
      <c r="N108" s="550">
        <v>95620</v>
      </c>
      <c r="O108" s="551">
        <v>40.7239</v>
      </c>
      <c r="P108" s="551">
        <v>36.190399999999997</v>
      </c>
      <c r="Q108" s="555">
        <v>4.5335000000000001</v>
      </c>
      <c r="R108" s="553">
        <f t="shared" ref="R108:AZ108" si="123">SUM(R107)</f>
        <v>0</v>
      </c>
      <c r="S108" s="550">
        <f t="shared" si="123"/>
        <v>0</v>
      </c>
      <c r="T108" s="550">
        <f t="shared" si="123"/>
        <v>0</v>
      </c>
      <c r="U108" s="550">
        <f t="shared" si="123"/>
        <v>0</v>
      </c>
      <c r="V108" s="550">
        <f t="shared" si="123"/>
        <v>0</v>
      </c>
      <c r="W108" s="550">
        <f t="shared" si="123"/>
        <v>0</v>
      </c>
      <c r="X108" s="550">
        <f t="shared" si="123"/>
        <v>0</v>
      </c>
      <c r="Y108" s="550">
        <f t="shared" si="123"/>
        <v>0</v>
      </c>
      <c r="Z108" s="550">
        <f t="shared" si="123"/>
        <v>0</v>
      </c>
      <c r="AA108" s="550">
        <f t="shared" si="123"/>
        <v>0</v>
      </c>
      <c r="AB108" s="550">
        <f t="shared" si="123"/>
        <v>0</v>
      </c>
      <c r="AC108" s="550">
        <f t="shared" si="123"/>
        <v>0</v>
      </c>
      <c r="AD108" s="550">
        <f t="shared" si="123"/>
        <v>0</v>
      </c>
      <c r="AE108" s="550">
        <f t="shared" si="123"/>
        <v>0</v>
      </c>
      <c r="AF108" s="550">
        <f t="shared" si="123"/>
        <v>0</v>
      </c>
      <c r="AG108" s="550">
        <f t="shared" si="123"/>
        <v>0</v>
      </c>
      <c r="AH108" s="551">
        <f t="shared" si="123"/>
        <v>0</v>
      </c>
      <c r="AI108" s="551">
        <f t="shared" si="123"/>
        <v>0</v>
      </c>
      <c r="AJ108" s="551">
        <f t="shared" si="123"/>
        <v>0</v>
      </c>
      <c r="AK108" s="551">
        <f t="shared" si="123"/>
        <v>0</v>
      </c>
      <c r="AL108" s="551">
        <f t="shared" si="123"/>
        <v>0</v>
      </c>
      <c r="AM108" s="551">
        <f t="shared" si="123"/>
        <v>0</v>
      </c>
      <c r="AN108" s="551">
        <f t="shared" si="123"/>
        <v>0</v>
      </c>
      <c r="AO108" s="551">
        <f t="shared" si="123"/>
        <v>0</v>
      </c>
      <c r="AP108" s="551">
        <f t="shared" si="123"/>
        <v>0</v>
      </c>
      <c r="AQ108" s="44">
        <f t="shared" si="123"/>
        <v>0</v>
      </c>
      <c r="AR108" s="557">
        <f t="shared" si="123"/>
        <v>29874463</v>
      </c>
      <c r="AS108" s="550">
        <f t="shared" si="123"/>
        <v>21928456</v>
      </c>
      <c r="AT108" s="550">
        <f t="shared" si="123"/>
        <v>0</v>
      </c>
      <c r="AU108" s="550">
        <f t="shared" si="123"/>
        <v>7411818</v>
      </c>
      <c r="AV108" s="550">
        <f t="shared" si="123"/>
        <v>438569</v>
      </c>
      <c r="AW108" s="550">
        <f t="shared" si="123"/>
        <v>95620</v>
      </c>
      <c r="AX108" s="551">
        <f t="shared" si="123"/>
        <v>40.7239</v>
      </c>
      <c r="AY108" s="551">
        <f t="shared" si="123"/>
        <v>36.190399999999997</v>
      </c>
      <c r="AZ108" s="44">
        <f t="shared" si="123"/>
        <v>4.5335000000000001</v>
      </c>
    </row>
    <row r="109" spans="1:52" s="238" customFormat="1" x14ac:dyDescent="0.2">
      <c r="A109" s="225">
        <v>20</v>
      </c>
      <c r="B109" s="226">
        <v>4485</v>
      </c>
      <c r="C109" s="226">
        <v>600074102</v>
      </c>
      <c r="D109" s="226">
        <v>70695113</v>
      </c>
      <c r="E109" s="224" t="s">
        <v>187</v>
      </c>
      <c r="F109" s="226">
        <v>3111</v>
      </c>
      <c r="G109" s="176" t="s">
        <v>312</v>
      </c>
      <c r="H109" s="227" t="s">
        <v>278</v>
      </c>
      <c r="I109" s="494">
        <v>3180145</v>
      </c>
      <c r="J109" s="489">
        <v>2281493</v>
      </c>
      <c r="K109" s="489">
        <v>48750</v>
      </c>
      <c r="L109" s="489">
        <v>787622</v>
      </c>
      <c r="M109" s="489">
        <v>45630</v>
      </c>
      <c r="N109" s="489">
        <v>16650</v>
      </c>
      <c r="O109" s="490">
        <v>5.1497999999999999</v>
      </c>
      <c r="P109" s="491">
        <v>4</v>
      </c>
      <c r="Q109" s="500">
        <v>1.1498000000000002</v>
      </c>
      <c r="R109" s="502">
        <f t="shared" si="86"/>
        <v>0</v>
      </c>
      <c r="S109" s="492">
        <v>0</v>
      </c>
      <c r="T109" s="492">
        <v>0</v>
      </c>
      <c r="U109" s="492">
        <v>0</v>
      </c>
      <c r="V109" s="492">
        <f t="shared" si="87"/>
        <v>0</v>
      </c>
      <c r="W109" s="492">
        <v>0</v>
      </c>
      <c r="X109" s="492">
        <v>0</v>
      </c>
      <c r="Y109" s="492">
        <v>0</v>
      </c>
      <c r="Z109" s="492">
        <f t="shared" si="88"/>
        <v>0</v>
      </c>
      <c r="AA109" s="492">
        <f t="shared" si="89"/>
        <v>0</v>
      </c>
      <c r="AB109" s="74">
        <f t="shared" si="90"/>
        <v>0</v>
      </c>
      <c r="AC109" s="74">
        <f t="shared" si="91"/>
        <v>0</v>
      </c>
      <c r="AD109" s="492">
        <v>0</v>
      </c>
      <c r="AE109" s="492">
        <v>0</v>
      </c>
      <c r="AF109" s="492">
        <f t="shared" si="92"/>
        <v>0</v>
      </c>
      <c r="AG109" s="492">
        <f t="shared" si="93"/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ref="AO109:AO111" si="124">AH109+AJ109+AM109+AK109</f>
        <v>0</v>
      </c>
      <c r="AP109" s="493">
        <f t="shared" ref="AP109:AP111" si="125">AI109+AN109+AL109</f>
        <v>0</v>
      </c>
      <c r="AQ109" s="495">
        <f t="shared" si="96"/>
        <v>0</v>
      </c>
      <c r="AR109" s="501">
        <f t="shared" si="97"/>
        <v>3180145</v>
      </c>
      <c r="AS109" s="492">
        <f t="shared" si="98"/>
        <v>2281493</v>
      </c>
      <c r="AT109" s="492">
        <f t="shared" ref="AT109:AT111" si="126">K109+Z109</f>
        <v>48750</v>
      </c>
      <c r="AU109" s="492">
        <f t="shared" ref="AU109:AV111" si="127">L109+AB109</f>
        <v>787622</v>
      </c>
      <c r="AV109" s="492">
        <f t="shared" si="127"/>
        <v>45630</v>
      </c>
      <c r="AW109" s="492">
        <f t="shared" si="101"/>
        <v>16650</v>
      </c>
      <c r="AX109" s="493">
        <f t="shared" si="102"/>
        <v>5.1497999999999999</v>
      </c>
      <c r="AY109" s="493">
        <f t="shared" ref="AY109:AZ111" si="128">P109+AO109</f>
        <v>4</v>
      </c>
      <c r="AZ109" s="495">
        <f t="shared" si="128"/>
        <v>1.1498000000000002</v>
      </c>
    </row>
    <row r="110" spans="1:52" s="238" customFormat="1" x14ac:dyDescent="0.2">
      <c r="A110" s="225">
        <v>20</v>
      </c>
      <c r="B110" s="226">
        <v>4485</v>
      </c>
      <c r="C110" s="226">
        <v>600074102</v>
      </c>
      <c r="D110" s="226">
        <v>70695113</v>
      </c>
      <c r="E110" s="224" t="s">
        <v>187</v>
      </c>
      <c r="F110" s="226">
        <v>3111</v>
      </c>
      <c r="G110" s="176" t="s">
        <v>313</v>
      </c>
      <c r="H110" s="227" t="s">
        <v>279</v>
      </c>
      <c r="I110" s="494">
        <v>705705</v>
      </c>
      <c r="J110" s="489">
        <v>519665</v>
      </c>
      <c r="K110" s="489">
        <v>0</v>
      </c>
      <c r="L110" s="489">
        <v>175647</v>
      </c>
      <c r="M110" s="489">
        <v>10393</v>
      </c>
      <c r="N110" s="489">
        <v>0</v>
      </c>
      <c r="O110" s="490">
        <v>1.5</v>
      </c>
      <c r="P110" s="491">
        <v>1.5</v>
      </c>
      <c r="Q110" s="500">
        <v>0</v>
      </c>
      <c r="R110" s="502">
        <f t="shared" si="86"/>
        <v>0</v>
      </c>
      <c r="S110" s="492">
        <v>0</v>
      </c>
      <c r="T110" s="492">
        <v>0</v>
      </c>
      <c r="U110" s="492">
        <v>0</v>
      </c>
      <c r="V110" s="492">
        <f t="shared" si="87"/>
        <v>0</v>
      </c>
      <c r="W110" s="492">
        <v>0</v>
      </c>
      <c r="X110" s="492">
        <v>0</v>
      </c>
      <c r="Y110" s="492">
        <v>0</v>
      </c>
      <c r="Z110" s="492">
        <f t="shared" si="88"/>
        <v>0</v>
      </c>
      <c r="AA110" s="492">
        <f t="shared" si="89"/>
        <v>0</v>
      </c>
      <c r="AB110" s="74">
        <f t="shared" si="90"/>
        <v>0</v>
      </c>
      <c r="AC110" s="74">
        <f t="shared" si="91"/>
        <v>0</v>
      </c>
      <c r="AD110" s="492">
        <v>0</v>
      </c>
      <c r="AE110" s="492">
        <v>0</v>
      </c>
      <c r="AF110" s="492">
        <f t="shared" si="92"/>
        <v>0</v>
      </c>
      <c r="AG110" s="492">
        <f t="shared" si="93"/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124"/>
        <v>0</v>
      </c>
      <c r="AP110" s="493">
        <f t="shared" si="125"/>
        <v>0</v>
      </c>
      <c r="AQ110" s="495">
        <f t="shared" si="96"/>
        <v>0</v>
      </c>
      <c r="AR110" s="501">
        <f t="shared" si="97"/>
        <v>705705</v>
      </c>
      <c r="AS110" s="492">
        <f t="shared" si="98"/>
        <v>519665</v>
      </c>
      <c r="AT110" s="492">
        <f t="shared" si="126"/>
        <v>0</v>
      </c>
      <c r="AU110" s="492">
        <f t="shared" si="127"/>
        <v>175647</v>
      </c>
      <c r="AV110" s="492">
        <f t="shared" si="127"/>
        <v>10393</v>
      </c>
      <c r="AW110" s="492">
        <f t="shared" si="101"/>
        <v>0</v>
      </c>
      <c r="AX110" s="493">
        <f t="shared" si="102"/>
        <v>1.5</v>
      </c>
      <c r="AY110" s="493">
        <f t="shared" si="128"/>
        <v>1.5</v>
      </c>
      <c r="AZ110" s="495">
        <f t="shared" si="128"/>
        <v>0</v>
      </c>
    </row>
    <row r="111" spans="1:52" s="238" customFormat="1" x14ac:dyDescent="0.2">
      <c r="A111" s="225">
        <v>20</v>
      </c>
      <c r="B111" s="226">
        <v>4485</v>
      </c>
      <c r="C111" s="226">
        <v>600074102</v>
      </c>
      <c r="D111" s="226">
        <v>70695113</v>
      </c>
      <c r="E111" s="224" t="s">
        <v>187</v>
      </c>
      <c r="F111" s="226">
        <v>3141</v>
      </c>
      <c r="G111" s="176" t="s">
        <v>316</v>
      </c>
      <c r="H111" s="227" t="s">
        <v>279</v>
      </c>
      <c r="I111" s="494">
        <v>997506</v>
      </c>
      <c r="J111" s="489">
        <v>731533</v>
      </c>
      <c r="K111" s="489">
        <v>0</v>
      </c>
      <c r="L111" s="489">
        <v>247258</v>
      </c>
      <c r="M111" s="489">
        <v>14631</v>
      </c>
      <c r="N111" s="489">
        <v>4084</v>
      </c>
      <c r="O111" s="490">
        <v>2.2999999999999998</v>
      </c>
      <c r="P111" s="491">
        <v>0</v>
      </c>
      <c r="Q111" s="500">
        <v>2.2999999999999998</v>
      </c>
      <c r="R111" s="502">
        <f t="shared" si="86"/>
        <v>0</v>
      </c>
      <c r="S111" s="492">
        <v>0</v>
      </c>
      <c r="T111" s="492">
        <v>0</v>
      </c>
      <c r="U111" s="492">
        <v>0</v>
      </c>
      <c r="V111" s="492">
        <f t="shared" si="87"/>
        <v>0</v>
      </c>
      <c r="W111" s="492">
        <v>0</v>
      </c>
      <c r="X111" s="492">
        <v>0</v>
      </c>
      <c r="Y111" s="492">
        <v>0</v>
      </c>
      <c r="Z111" s="492">
        <f t="shared" si="88"/>
        <v>0</v>
      </c>
      <c r="AA111" s="492">
        <f t="shared" si="89"/>
        <v>0</v>
      </c>
      <c r="AB111" s="74">
        <f t="shared" si="90"/>
        <v>0</v>
      </c>
      <c r="AC111" s="74">
        <f t="shared" si="91"/>
        <v>0</v>
      </c>
      <c r="AD111" s="492">
        <v>0</v>
      </c>
      <c r="AE111" s="492">
        <v>0</v>
      </c>
      <c r="AF111" s="492">
        <f t="shared" si="92"/>
        <v>0</v>
      </c>
      <c r="AG111" s="492">
        <f t="shared" si="93"/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si="124"/>
        <v>0</v>
      </c>
      <c r="AP111" s="493">
        <f t="shared" si="125"/>
        <v>0</v>
      </c>
      <c r="AQ111" s="495">
        <f t="shared" si="96"/>
        <v>0</v>
      </c>
      <c r="AR111" s="501">
        <f t="shared" si="97"/>
        <v>997506</v>
      </c>
      <c r="AS111" s="492">
        <f t="shared" si="98"/>
        <v>731533</v>
      </c>
      <c r="AT111" s="492">
        <f t="shared" si="126"/>
        <v>0</v>
      </c>
      <c r="AU111" s="492">
        <f t="shared" si="127"/>
        <v>247258</v>
      </c>
      <c r="AV111" s="492">
        <f t="shared" si="127"/>
        <v>14631</v>
      </c>
      <c r="AW111" s="492">
        <f t="shared" si="101"/>
        <v>4084</v>
      </c>
      <c r="AX111" s="493">
        <f t="shared" si="102"/>
        <v>2.2999999999999998</v>
      </c>
      <c r="AY111" s="493">
        <f t="shared" si="128"/>
        <v>0</v>
      </c>
      <c r="AZ111" s="495">
        <f t="shared" si="128"/>
        <v>2.2999999999999998</v>
      </c>
    </row>
    <row r="112" spans="1:52" s="238" customFormat="1" x14ac:dyDescent="0.2">
      <c r="A112" s="166">
        <v>20</v>
      </c>
      <c r="B112" s="20">
        <v>4485</v>
      </c>
      <c r="C112" s="20">
        <v>600074102</v>
      </c>
      <c r="D112" s="20">
        <v>70695113</v>
      </c>
      <c r="E112" s="175" t="s">
        <v>188</v>
      </c>
      <c r="F112" s="20"/>
      <c r="G112" s="165"/>
      <c r="H112" s="199"/>
      <c r="I112" s="553">
        <v>4883356</v>
      </c>
      <c r="J112" s="550">
        <v>3532691</v>
      </c>
      <c r="K112" s="550">
        <v>48750</v>
      </c>
      <c r="L112" s="550">
        <v>1210527</v>
      </c>
      <c r="M112" s="550">
        <v>70654</v>
      </c>
      <c r="N112" s="550">
        <v>20734</v>
      </c>
      <c r="O112" s="551">
        <v>8.9497999999999998</v>
      </c>
      <c r="P112" s="551">
        <v>5.5</v>
      </c>
      <c r="Q112" s="555">
        <v>3.4497999999999998</v>
      </c>
      <c r="R112" s="553">
        <f t="shared" ref="R112:AZ112" si="129">SUM(R109:R111)</f>
        <v>0</v>
      </c>
      <c r="S112" s="550">
        <f t="shared" si="129"/>
        <v>0</v>
      </c>
      <c r="T112" s="550">
        <f t="shared" si="129"/>
        <v>0</v>
      </c>
      <c r="U112" s="550">
        <f t="shared" si="129"/>
        <v>0</v>
      </c>
      <c r="V112" s="550">
        <f t="shared" si="129"/>
        <v>0</v>
      </c>
      <c r="W112" s="550">
        <f t="shared" si="129"/>
        <v>0</v>
      </c>
      <c r="X112" s="550">
        <f t="shared" si="129"/>
        <v>0</v>
      </c>
      <c r="Y112" s="550">
        <f t="shared" si="129"/>
        <v>0</v>
      </c>
      <c r="Z112" s="550">
        <f t="shared" si="129"/>
        <v>0</v>
      </c>
      <c r="AA112" s="550">
        <f t="shared" si="129"/>
        <v>0</v>
      </c>
      <c r="AB112" s="550">
        <f t="shared" si="129"/>
        <v>0</v>
      </c>
      <c r="AC112" s="550">
        <f t="shared" si="129"/>
        <v>0</v>
      </c>
      <c r="AD112" s="550">
        <f t="shared" si="129"/>
        <v>0</v>
      </c>
      <c r="AE112" s="550">
        <f t="shared" si="129"/>
        <v>0</v>
      </c>
      <c r="AF112" s="550">
        <f t="shared" si="129"/>
        <v>0</v>
      </c>
      <c r="AG112" s="550">
        <f t="shared" si="129"/>
        <v>0</v>
      </c>
      <c r="AH112" s="551">
        <f t="shared" si="129"/>
        <v>0</v>
      </c>
      <c r="AI112" s="551">
        <f t="shared" si="129"/>
        <v>0</v>
      </c>
      <c r="AJ112" s="551">
        <f t="shared" si="129"/>
        <v>0</v>
      </c>
      <c r="AK112" s="551">
        <f t="shared" si="129"/>
        <v>0</v>
      </c>
      <c r="AL112" s="551">
        <f t="shared" si="129"/>
        <v>0</v>
      </c>
      <c r="AM112" s="551">
        <f t="shared" si="129"/>
        <v>0</v>
      </c>
      <c r="AN112" s="551">
        <f t="shared" si="129"/>
        <v>0</v>
      </c>
      <c r="AO112" s="551">
        <f t="shared" si="129"/>
        <v>0</v>
      </c>
      <c r="AP112" s="551">
        <f t="shared" si="129"/>
        <v>0</v>
      </c>
      <c r="AQ112" s="44">
        <f t="shared" si="129"/>
        <v>0</v>
      </c>
      <c r="AR112" s="557">
        <f t="shared" si="129"/>
        <v>4883356</v>
      </c>
      <c r="AS112" s="550">
        <f t="shared" si="129"/>
        <v>3532691</v>
      </c>
      <c r="AT112" s="550">
        <f t="shared" si="129"/>
        <v>48750</v>
      </c>
      <c r="AU112" s="550">
        <f t="shared" si="129"/>
        <v>1210527</v>
      </c>
      <c r="AV112" s="550">
        <f t="shared" si="129"/>
        <v>70654</v>
      </c>
      <c r="AW112" s="550">
        <f t="shared" si="129"/>
        <v>20734</v>
      </c>
      <c r="AX112" s="551">
        <f t="shared" si="129"/>
        <v>8.9497999999999998</v>
      </c>
      <c r="AY112" s="551">
        <f t="shared" si="129"/>
        <v>5.5</v>
      </c>
      <c r="AZ112" s="44">
        <f t="shared" si="129"/>
        <v>3.4497999999999998</v>
      </c>
    </row>
    <row r="113" spans="1:52" s="238" customFormat="1" x14ac:dyDescent="0.2">
      <c r="A113" s="225">
        <v>21</v>
      </c>
      <c r="B113" s="226">
        <v>4435</v>
      </c>
      <c r="C113" s="226">
        <v>650034295</v>
      </c>
      <c r="D113" s="226">
        <v>72744669</v>
      </c>
      <c r="E113" s="224" t="s">
        <v>189</v>
      </c>
      <c r="F113" s="226">
        <v>3111</v>
      </c>
      <c r="G113" s="176" t="s">
        <v>312</v>
      </c>
      <c r="H113" s="227" t="s">
        <v>278</v>
      </c>
      <c r="I113" s="494">
        <v>3386725</v>
      </c>
      <c r="J113" s="489">
        <v>2457463</v>
      </c>
      <c r="K113" s="489">
        <v>19500</v>
      </c>
      <c r="L113" s="489">
        <v>837213</v>
      </c>
      <c r="M113" s="489">
        <v>49149</v>
      </c>
      <c r="N113" s="489">
        <v>23400</v>
      </c>
      <c r="O113" s="490">
        <v>5.8827999999999996</v>
      </c>
      <c r="P113" s="491">
        <v>4.5</v>
      </c>
      <c r="Q113" s="500">
        <v>1.3828</v>
      </c>
      <c r="R113" s="502">
        <f t="shared" si="86"/>
        <v>0</v>
      </c>
      <c r="S113" s="492">
        <v>0</v>
      </c>
      <c r="T113" s="492">
        <v>379200</v>
      </c>
      <c r="U113" s="492">
        <v>0</v>
      </c>
      <c r="V113" s="492">
        <f t="shared" si="87"/>
        <v>379200</v>
      </c>
      <c r="W113" s="492">
        <v>0</v>
      </c>
      <c r="X113" s="492">
        <v>0</v>
      </c>
      <c r="Y113" s="492">
        <v>0</v>
      </c>
      <c r="Z113" s="492">
        <f t="shared" si="88"/>
        <v>0</v>
      </c>
      <c r="AA113" s="492">
        <f t="shared" si="89"/>
        <v>379200</v>
      </c>
      <c r="AB113" s="74">
        <f t="shared" si="90"/>
        <v>128170</v>
      </c>
      <c r="AC113" s="74">
        <f t="shared" si="91"/>
        <v>7584</v>
      </c>
      <c r="AD113" s="492">
        <v>0</v>
      </c>
      <c r="AE113" s="492">
        <v>0</v>
      </c>
      <c r="AF113" s="492">
        <f t="shared" si="92"/>
        <v>0</v>
      </c>
      <c r="AG113" s="492">
        <f t="shared" si="93"/>
        <v>514954</v>
      </c>
      <c r="AH113" s="493">
        <v>0</v>
      </c>
      <c r="AI113" s="493">
        <v>0</v>
      </c>
      <c r="AJ113" s="493">
        <v>0</v>
      </c>
      <c r="AK113" s="493">
        <v>1</v>
      </c>
      <c r="AL113" s="493">
        <v>0</v>
      </c>
      <c r="AM113" s="493">
        <v>0</v>
      </c>
      <c r="AN113" s="493">
        <v>0</v>
      </c>
      <c r="AO113" s="493">
        <f t="shared" ref="AO113:AO118" si="130">AH113+AJ113+AM113+AK113</f>
        <v>1</v>
      </c>
      <c r="AP113" s="493">
        <f t="shared" ref="AP113:AP118" si="131">AI113+AN113+AL113</f>
        <v>0</v>
      </c>
      <c r="AQ113" s="495">
        <f t="shared" si="96"/>
        <v>1</v>
      </c>
      <c r="AR113" s="501">
        <f t="shared" si="97"/>
        <v>3901679</v>
      </c>
      <c r="AS113" s="492">
        <f t="shared" si="98"/>
        <v>2836663</v>
      </c>
      <c r="AT113" s="492">
        <f t="shared" ref="AT113:AT118" si="132">K113+Z113</f>
        <v>19500</v>
      </c>
      <c r="AU113" s="492">
        <f t="shared" ref="AU113:AV118" si="133">L113+AB113</f>
        <v>965383</v>
      </c>
      <c r="AV113" s="492">
        <f t="shared" si="133"/>
        <v>56733</v>
      </c>
      <c r="AW113" s="492">
        <f t="shared" si="101"/>
        <v>23400</v>
      </c>
      <c r="AX113" s="493">
        <f t="shared" si="102"/>
        <v>6.8827999999999996</v>
      </c>
      <c r="AY113" s="493">
        <f t="shared" ref="AY113:AZ118" si="134">P113+AO113</f>
        <v>5.5</v>
      </c>
      <c r="AZ113" s="495">
        <f t="shared" si="134"/>
        <v>1.3828</v>
      </c>
    </row>
    <row r="114" spans="1:52" s="238" customFormat="1" x14ac:dyDescent="0.2">
      <c r="A114" s="225">
        <v>21</v>
      </c>
      <c r="B114" s="226">
        <v>4435</v>
      </c>
      <c r="C114" s="226">
        <v>650034295</v>
      </c>
      <c r="D114" s="226">
        <v>72744669</v>
      </c>
      <c r="E114" s="224" t="s">
        <v>189</v>
      </c>
      <c r="F114" s="226">
        <v>3117</v>
      </c>
      <c r="G114" s="176" t="s">
        <v>315</v>
      </c>
      <c r="H114" s="227" t="s">
        <v>278</v>
      </c>
      <c r="I114" s="494">
        <v>6188314</v>
      </c>
      <c r="J114" s="489">
        <v>4454503</v>
      </c>
      <c r="K114" s="489">
        <v>26000</v>
      </c>
      <c r="L114" s="489">
        <v>1514410</v>
      </c>
      <c r="M114" s="489">
        <v>89091</v>
      </c>
      <c r="N114" s="489">
        <v>104310</v>
      </c>
      <c r="O114" s="490">
        <v>8.980599999999999</v>
      </c>
      <c r="P114" s="491">
        <v>5.8029999999999999</v>
      </c>
      <c r="Q114" s="500">
        <v>3.1776</v>
      </c>
      <c r="R114" s="502">
        <f t="shared" si="86"/>
        <v>0</v>
      </c>
      <c r="S114" s="492">
        <v>0</v>
      </c>
      <c r="T114" s="492">
        <v>0</v>
      </c>
      <c r="U114" s="492">
        <v>0</v>
      </c>
      <c r="V114" s="492">
        <f t="shared" si="87"/>
        <v>0</v>
      </c>
      <c r="W114" s="492">
        <v>0</v>
      </c>
      <c r="X114" s="492">
        <v>0</v>
      </c>
      <c r="Y114" s="492">
        <v>0</v>
      </c>
      <c r="Z114" s="492">
        <f t="shared" si="88"/>
        <v>0</v>
      </c>
      <c r="AA114" s="492">
        <f t="shared" si="89"/>
        <v>0</v>
      </c>
      <c r="AB114" s="74">
        <f t="shared" si="90"/>
        <v>0</v>
      </c>
      <c r="AC114" s="74">
        <f t="shared" si="91"/>
        <v>0</v>
      </c>
      <c r="AD114" s="492">
        <v>0</v>
      </c>
      <c r="AE114" s="492">
        <v>0</v>
      </c>
      <c r="AF114" s="492">
        <f t="shared" si="92"/>
        <v>0</v>
      </c>
      <c r="AG114" s="492">
        <f t="shared" si="93"/>
        <v>0</v>
      </c>
      <c r="AH114" s="493">
        <v>0</v>
      </c>
      <c r="AI114" s="493">
        <v>0</v>
      </c>
      <c r="AJ114" s="493">
        <v>0</v>
      </c>
      <c r="AK114" s="493">
        <v>0</v>
      </c>
      <c r="AL114" s="493">
        <v>0</v>
      </c>
      <c r="AM114" s="493">
        <v>0</v>
      </c>
      <c r="AN114" s="493">
        <v>0</v>
      </c>
      <c r="AO114" s="493">
        <f t="shared" si="130"/>
        <v>0</v>
      </c>
      <c r="AP114" s="493">
        <f t="shared" si="131"/>
        <v>0</v>
      </c>
      <c r="AQ114" s="495">
        <f t="shared" si="96"/>
        <v>0</v>
      </c>
      <c r="AR114" s="501">
        <f t="shared" si="97"/>
        <v>6188314</v>
      </c>
      <c r="AS114" s="492">
        <f t="shared" si="98"/>
        <v>4454503</v>
      </c>
      <c r="AT114" s="492">
        <f t="shared" si="132"/>
        <v>26000</v>
      </c>
      <c r="AU114" s="492">
        <f t="shared" si="133"/>
        <v>1514410</v>
      </c>
      <c r="AV114" s="492">
        <f t="shared" si="133"/>
        <v>89091</v>
      </c>
      <c r="AW114" s="492">
        <f t="shared" si="101"/>
        <v>104310</v>
      </c>
      <c r="AX114" s="493">
        <f t="shared" si="102"/>
        <v>8.980599999999999</v>
      </c>
      <c r="AY114" s="493">
        <f t="shared" si="134"/>
        <v>5.8029999999999999</v>
      </c>
      <c r="AZ114" s="495">
        <f t="shared" si="134"/>
        <v>3.1776</v>
      </c>
    </row>
    <row r="115" spans="1:52" s="238" customFormat="1" x14ac:dyDescent="0.2">
      <c r="A115" s="225">
        <v>21</v>
      </c>
      <c r="B115" s="226">
        <v>4435</v>
      </c>
      <c r="C115" s="226">
        <v>650034295</v>
      </c>
      <c r="D115" s="226">
        <v>72744669</v>
      </c>
      <c r="E115" s="224" t="s">
        <v>189</v>
      </c>
      <c r="F115" s="226">
        <v>3117</v>
      </c>
      <c r="G115" s="176" t="s">
        <v>313</v>
      </c>
      <c r="H115" s="227" t="s">
        <v>279</v>
      </c>
      <c r="I115" s="494">
        <v>352854</v>
      </c>
      <c r="J115" s="489">
        <v>259833</v>
      </c>
      <c r="K115" s="489">
        <v>0</v>
      </c>
      <c r="L115" s="489">
        <v>87824</v>
      </c>
      <c r="M115" s="489">
        <v>5197</v>
      </c>
      <c r="N115" s="489">
        <v>0</v>
      </c>
      <c r="O115" s="490">
        <v>0.75</v>
      </c>
      <c r="P115" s="491">
        <v>0.75</v>
      </c>
      <c r="Q115" s="500">
        <v>0</v>
      </c>
      <c r="R115" s="502">
        <f t="shared" si="86"/>
        <v>0</v>
      </c>
      <c r="S115" s="492">
        <v>0</v>
      </c>
      <c r="T115" s="492">
        <v>0</v>
      </c>
      <c r="U115" s="492">
        <v>0</v>
      </c>
      <c r="V115" s="492">
        <f t="shared" si="87"/>
        <v>0</v>
      </c>
      <c r="W115" s="492">
        <v>0</v>
      </c>
      <c r="X115" s="492">
        <v>0</v>
      </c>
      <c r="Y115" s="492">
        <v>0</v>
      </c>
      <c r="Z115" s="492">
        <f t="shared" si="88"/>
        <v>0</v>
      </c>
      <c r="AA115" s="492">
        <f t="shared" si="89"/>
        <v>0</v>
      </c>
      <c r="AB115" s="74">
        <f t="shared" si="90"/>
        <v>0</v>
      </c>
      <c r="AC115" s="74">
        <f t="shared" si="91"/>
        <v>0</v>
      </c>
      <c r="AD115" s="492">
        <v>0</v>
      </c>
      <c r="AE115" s="492">
        <v>0</v>
      </c>
      <c r="AF115" s="492">
        <f t="shared" si="92"/>
        <v>0</v>
      </c>
      <c r="AG115" s="492">
        <f t="shared" si="93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si="130"/>
        <v>0</v>
      </c>
      <c r="AP115" s="493">
        <f t="shared" si="131"/>
        <v>0</v>
      </c>
      <c r="AQ115" s="495">
        <f t="shared" si="96"/>
        <v>0</v>
      </c>
      <c r="AR115" s="501">
        <f t="shared" si="97"/>
        <v>352854</v>
      </c>
      <c r="AS115" s="492">
        <f t="shared" si="98"/>
        <v>259833</v>
      </c>
      <c r="AT115" s="492">
        <f t="shared" si="132"/>
        <v>0</v>
      </c>
      <c r="AU115" s="492">
        <f t="shared" si="133"/>
        <v>87824</v>
      </c>
      <c r="AV115" s="492">
        <f t="shared" si="133"/>
        <v>5197</v>
      </c>
      <c r="AW115" s="492">
        <f t="shared" si="101"/>
        <v>0</v>
      </c>
      <c r="AX115" s="493">
        <f t="shared" si="102"/>
        <v>0.75</v>
      </c>
      <c r="AY115" s="493">
        <f t="shared" si="134"/>
        <v>0.75</v>
      </c>
      <c r="AZ115" s="495">
        <f t="shared" si="134"/>
        <v>0</v>
      </c>
    </row>
    <row r="116" spans="1:52" s="238" customFormat="1" x14ac:dyDescent="0.2">
      <c r="A116" s="225">
        <v>21</v>
      </c>
      <c r="B116" s="226">
        <v>4435</v>
      </c>
      <c r="C116" s="226">
        <v>650034295</v>
      </c>
      <c r="D116" s="226">
        <v>72744669</v>
      </c>
      <c r="E116" s="219" t="s">
        <v>189</v>
      </c>
      <c r="F116" s="226">
        <v>3141</v>
      </c>
      <c r="G116" s="176" t="s">
        <v>316</v>
      </c>
      <c r="H116" s="227" t="s">
        <v>279</v>
      </c>
      <c r="I116" s="494">
        <v>1194831</v>
      </c>
      <c r="J116" s="489">
        <v>871905</v>
      </c>
      <c r="K116" s="489">
        <v>3250</v>
      </c>
      <c r="L116" s="489">
        <v>295802</v>
      </c>
      <c r="M116" s="489">
        <v>17438</v>
      </c>
      <c r="N116" s="489">
        <v>6436</v>
      </c>
      <c r="O116" s="490">
        <v>2.76</v>
      </c>
      <c r="P116" s="491">
        <v>0</v>
      </c>
      <c r="Q116" s="500">
        <v>2.76</v>
      </c>
      <c r="R116" s="502">
        <f t="shared" si="86"/>
        <v>0</v>
      </c>
      <c r="S116" s="492">
        <v>0</v>
      </c>
      <c r="T116" s="492">
        <v>0</v>
      </c>
      <c r="U116" s="492">
        <v>0</v>
      </c>
      <c r="V116" s="492">
        <f t="shared" si="87"/>
        <v>0</v>
      </c>
      <c r="W116" s="492">
        <v>0</v>
      </c>
      <c r="X116" s="492">
        <v>0</v>
      </c>
      <c r="Y116" s="492">
        <v>0</v>
      </c>
      <c r="Z116" s="492">
        <f t="shared" si="88"/>
        <v>0</v>
      </c>
      <c r="AA116" s="492">
        <f t="shared" si="89"/>
        <v>0</v>
      </c>
      <c r="AB116" s="74">
        <f t="shared" si="90"/>
        <v>0</v>
      </c>
      <c r="AC116" s="74">
        <f t="shared" si="91"/>
        <v>0</v>
      </c>
      <c r="AD116" s="492">
        <v>0</v>
      </c>
      <c r="AE116" s="492">
        <v>0</v>
      </c>
      <c r="AF116" s="492">
        <f t="shared" si="92"/>
        <v>0</v>
      </c>
      <c r="AG116" s="492">
        <f t="shared" si="93"/>
        <v>0</v>
      </c>
      <c r="AH116" s="493">
        <v>0</v>
      </c>
      <c r="AI116" s="493">
        <v>0</v>
      </c>
      <c r="AJ116" s="493">
        <v>0</v>
      </c>
      <c r="AK116" s="493">
        <v>0</v>
      </c>
      <c r="AL116" s="493">
        <v>0</v>
      </c>
      <c r="AM116" s="493">
        <v>0</v>
      </c>
      <c r="AN116" s="493">
        <v>0</v>
      </c>
      <c r="AO116" s="493">
        <f t="shared" si="130"/>
        <v>0</v>
      </c>
      <c r="AP116" s="493">
        <f t="shared" si="131"/>
        <v>0</v>
      </c>
      <c r="AQ116" s="495">
        <f t="shared" si="96"/>
        <v>0</v>
      </c>
      <c r="AR116" s="501">
        <f t="shared" si="97"/>
        <v>1194831</v>
      </c>
      <c r="AS116" s="492">
        <f t="shared" si="98"/>
        <v>871905</v>
      </c>
      <c r="AT116" s="492">
        <f t="shared" si="132"/>
        <v>3250</v>
      </c>
      <c r="AU116" s="492">
        <f t="shared" si="133"/>
        <v>295802</v>
      </c>
      <c r="AV116" s="492">
        <f t="shared" si="133"/>
        <v>17438</v>
      </c>
      <c r="AW116" s="492">
        <f t="shared" si="101"/>
        <v>6436</v>
      </c>
      <c r="AX116" s="493">
        <f t="shared" si="102"/>
        <v>2.76</v>
      </c>
      <c r="AY116" s="493">
        <f t="shared" si="134"/>
        <v>0</v>
      </c>
      <c r="AZ116" s="495">
        <f t="shared" si="134"/>
        <v>2.76</v>
      </c>
    </row>
    <row r="117" spans="1:52" s="238" customFormat="1" x14ac:dyDescent="0.2">
      <c r="A117" s="225">
        <v>21</v>
      </c>
      <c r="B117" s="226">
        <v>4435</v>
      </c>
      <c r="C117" s="226">
        <v>650034295</v>
      </c>
      <c r="D117" s="226">
        <v>72744669</v>
      </c>
      <c r="E117" s="224" t="s">
        <v>189</v>
      </c>
      <c r="F117" s="226">
        <v>3143</v>
      </c>
      <c r="G117" s="176" t="s">
        <v>629</v>
      </c>
      <c r="H117" s="243" t="s">
        <v>278</v>
      </c>
      <c r="I117" s="494">
        <v>639447</v>
      </c>
      <c r="J117" s="489">
        <v>467672</v>
      </c>
      <c r="K117" s="489">
        <v>3250</v>
      </c>
      <c r="L117" s="489">
        <v>159172</v>
      </c>
      <c r="M117" s="489">
        <v>9353</v>
      </c>
      <c r="N117" s="489">
        <v>0</v>
      </c>
      <c r="O117" s="490">
        <v>0.9375</v>
      </c>
      <c r="P117" s="491">
        <v>0.9375</v>
      </c>
      <c r="Q117" s="500">
        <v>0</v>
      </c>
      <c r="R117" s="502">
        <f t="shared" si="86"/>
        <v>0</v>
      </c>
      <c r="S117" s="492">
        <v>0</v>
      </c>
      <c r="T117" s="492">
        <v>0</v>
      </c>
      <c r="U117" s="492">
        <v>0</v>
      </c>
      <c r="V117" s="492">
        <f t="shared" si="87"/>
        <v>0</v>
      </c>
      <c r="W117" s="492">
        <v>0</v>
      </c>
      <c r="X117" s="492">
        <v>0</v>
      </c>
      <c r="Y117" s="492">
        <v>0</v>
      </c>
      <c r="Z117" s="492">
        <f t="shared" si="88"/>
        <v>0</v>
      </c>
      <c r="AA117" s="492">
        <f t="shared" si="89"/>
        <v>0</v>
      </c>
      <c r="AB117" s="74">
        <f t="shared" si="90"/>
        <v>0</v>
      </c>
      <c r="AC117" s="74">
        <f t="shared" si="91"/>
        <v>0</v>
      </c>
      <c r="AD117" s="492">
        <v>0</v>
      </c>
      <c r="AE117" s="492">
        <v>0</v>
      </c>
      <c r="AF117" s="492">
        <f t="shared" si="92"/>
        <v>0</v>
      </c>
      <c r="AG117" s="492">
        <f t="shared" si="93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si="130"/>
        <v>0</v>
      </c>
      <c r="AP117" s="493">
        <f t="shared" si="131"/>
        <v>0</v>
      </c>
      <c r="AQ117" s="495">
        <f t="shared" si="96"/>
        <v>0</v>
      </c>
      <c r="AR117" s="501">
        <f t="shared" si="97"/>
        <v>639447</v>
      </c>
      <c r="AS117" s="492">
        <f t="shared" si="98"/>
        <v>467672</v>
      </c>
      <c r="AT117" s="492">
        <f t="shared" si="132"/>
        <v>3250</v>
      </c>
      <c r="AU117" s="492">
        <f t="shared" si="133"/>
        <v>159172</v>
      </c>
      <c r="AV117" s="492">
        <f t="shared" si="133"/>
        <v>9353</v>
      </c>
      <c r="AW117" s="492">
        <f t="shared" si="101"/>
        <v>0</v>
      </c>
      <c r="AX117" s="493">
        <f t="shared" si="102"/>
        <v>0.9375</v>
      </c>
      <c r="AY117" s="493">
        <f t="shared" si="134"/>
        <v>0.9375</v>
      </c>
      <c r="AZ117" s="495">
        <f t="shared" si="134"/>
        <v>0</v>
      </c>
    </row>
    <row r="118" spans="1:52" s="238" customFormat="1" x14ac:dyDescent="0.2">
      <c r="A118" s="225">
        <v>21</v>
      </c>
      <c r="B118" s="226">
        <v>4435</v>
      </c>
      <c r="C118" s="226">
        <v>650034295</v>
      </c>
      <c r="D118" s="226">
        <v>72744669</v>
      </c>
      <c r="E118" s="224" t="s">
        <v>189</v>
      </c>
      <c r="F118" s="226">
        <v>3143</v>
      </c>
      <c r="G118" s="176" t="s">
        <v>630</v>
      </c>
      <c r="H118" s="243" t="s">
        <v>279</v>
      </c>
      <c r="I118" s="494">
        <v>21168</v>
      </c>
      <c r="J118" s="489">
        <v>14969</v>
      </c>
      <c r="K118" s="489">
        <v>0</v>
      </c>
      <c r="L118" s="489">
        <v>5060</v>
      </c>
      <c r="M118" s="489">
        <v>299</v>
      </c>
      <c r="N118" s="489">
        <v>840</v>
      </c>
      <c r="O118" s="490">
        <v>0.06</v>
      </c>
      <c r="P118" s="491">
        <v>0</v>
      </c>
      <c r="Q118" s="500">
        <v>0.06</v>
      </c>
      <c r="R118" s="502">
        <f t="shared" si="86"/>
        <v>0</v>
      </c>
      <c r="S118" s="492">
        <v>0</v>
      </c>
      <c r="T118" s="492">
        <v>0</v>
      </c>
      <c r="U118" s="492">
        <v>0</v>
      </c>
      <c r="V118" s="492">
        <f t="shared" si="87"/>
        <v>0</v>
      </c>
      <c r="W118" s="492">
        <v>0</v>
      </c>
      <c r="X118" s="492">
        <v>0</v>
      </c>
      <c r="Y118" s="492">
        <v>0</v>
      </c>
      <c r="Z118" s="492">
        <f t="shared" si="88"/>
        <v>0</v>
      </c>
      <c r="AA118" s="492">
        <f t="shared" si="89"/>
        <v>0</v>
      </c>
      <c r="AB118" s="74">
        <f t="shared" si="90"/>
        <v>0</v>
      </c>
      <c r="AC118" s="74">
        <f t="shared" si="91"/>
        <v>0</v>
      </c>
      <c r="AD118" s="492">
        <v>0</v>
      </c>
      <c r="AE118" s="492">
        <v>0</v>
      </c>
      <c r="AF118" s="492">
        <f t="shared" si="92"/>
        <v>0</v>
      </c>
      <c r="AG118" s="492">
        <f t="shared" si="93"/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 t="shared" si="130"/>
        <v>0</v>
      </c>
      <c r="AP118" s="493">
        <f t="shared" si="131"/>
        <v>0</v>
      </c>
      <c r="AQ118" s="495">
        <f t="shared" si="96"/>
        <v>0</v>
      </c>
      <c r="AR118" s="501">
        <f t="shared" si="97"/>
        <v>21168</v>
      </c>
      <c r="AS118" s="492">
        <f t="shared" si="98"/>
        <v>14969</v>
      </c>
      <c r="AT118" s="492">
        <f t="shared" si="132"/>
        <v>0</v>
      </c>
      <c r="AU118" s="492">
        <f t="shared" si="133"/>
        <v>5060</v>
      </c>
      <c r="AV118" s="492">
        <f t="shared" si="133"/>
        <v>299</v>
      </c>
      <c r="AW118" s="492">
        <f t="shared" si="101"/>
        <v>840</v>
      </c>
      <c r="AX118" s="493">
        <f t="shared" si="102"/>
        <v>0.06</v>
      </c>
      <c r="AY118" s="493">
        <f t="shared" si="134"/>
        <v>0</v>
      </c>
      <c r="AZ118" s="495">
        <f t="shared" si="134"/>
        <v>0.06</v>
      </c>
    </row>
    <row r="119" spans="1:52" s="238" customFormat="1" x14ac:dyDescent="0.2">
      <c r="A119" s="166">
        <v>21</v>
      </c>
      <c r="B119" s="20">
        <v>4435</v>
      </c>
      <c r="C119" s="20">
        <v>650034295</v>
      </c>
      <c r="D119" s="20">
        <v>72744669</v>
      </c>
      <c r="E119" s="175" t="s">
        <v>190</v>
      </c>
      <c r="F119" s="20"/>
      <c r="G119" s="165"/>
      <c r="H119" s="199"/>
      <c r="I119" s="553">
        <v>11783339</v>
      </c>
      <c r="J119" s="550">
        <v>8526345</v>
      </c>
      <c r="K119" s="550">
        <v>52000</v>
      </c>
      <c r="L119" s="550">
        <v>2899481</v>
      </c>
      <c r="M119" s="550">
        <v>170527</v>
      </c>
      <c r="N119" s="550">
        <v>134986</v>
      </c>
      <c r="O119" s="551">
        <v>19.370899999999995</v>
      </c>
      <c r="P119" s="551">
        <v>11.990500000000001</v>
      </c>
      <c r="Q119" s="555">
        <v>7.380399999999999</v>
      </c>
      <c r="R119" s="553">
        <f t="shared" ref="R119:AZ119" si="135">SUM(R113:R118)</f>
        <v>0</v>
      </c>
      <c r="S119" s="550">
        <f t="shared" si="135"/>
        <v>0</v>
      </c>
      <c r="T119" s="550">
        <f t="shared" si="135"/>
        <v>379200</v>
      </c>
      <c r="U119" s="550">
        <f t="shared" si="135"/>
        <v>0</v>
      </c>
      <c r="V119" s="550">
        <f t="shared" si="135"/>
        <v>379200</v>
      </c>
      <c r="W119" s="550">
        <f t="shared" si="135"/>
        <v>0</v>
      </c>
      <c r="X119" s="550">
        <f t="shared" si="135"/>
        <v>0</v>
      </c>
      <c r="Y119" s="550">
        <f t="shared" si="135"/>
        <v>0</v>
      </c>
      <c r="Z119" s="550">
        <f t="shared" si="135"/>
        <v>0</v>
      </c>
      <c r="AA119" s="550">
        <f t="shared" si="135"/>
        <v>379200</v>
      </c>
      <c r="AB119" s="550">
        <f t="shared" si="135"/>
        <v>128170</v>
      </c>
      <c r="AC119" s="550">
        <f t="shared" si="135"/>
        <v>7584</v>
      </c>
      <c r="AD119" s="550">
        <f t="shared" si="135"/>
        <v>0</v>
      </c>
      <c r="AE119" s="550">
        <f t="shared" si="135"/>
        <v>0</v>
      </c>
      <c r="AF119" s="550">
        <f t="shared" si="135"/>
        <v>0</v>
      </c>
      <c r="AG119" s="550">
        <f t="shared" si="135"/>
        <v>514954</v>
      </c>
      <c r="AH119" s="551">
        <f t="shared" si="135"/>
        <v>0</v>
      </c>
      <c r="AI119" s="551">
        <f t="shared" si="135"/>
        <v>0</v>
      </c>
      <c r="AJ119" s="551">
        <f t="shared" si="135"/>
        <v>0</v>
      </c>
      <c r="AK119" s="551">
        <f t="shared" si="135"/>
        <v>1</v>
      </c>
      <c r="AL119" s="551">
        <f t="shared" si="135"/>
        <v>0</v>
      </c>
      <c r="AM119" s="551">
        <f t="shared" si="135"/>
        <v>0</v>
      </c>
      <c r="AN119" s="551">
        <f t="shared" si="135"/>
        <v>0</v>
      </c>
      <c r="AO119" s="551">
        <f t="shared" si="135"/>
        <v>1</v>
      </c>
      <c r="AP119" s="551">
        <f t="shared" si="135"/>
        <v>0</v>
      </c>
      <c r="AQ119" s="44">
        <f t="shared" si="135"/>
        <v>1</v>
      </c>
      <c r="AR119" s="557">
        <f t="shared" si="135"/>
        <v>12298293</v>
      </c>
      <c r="AS119" s="550">
        <f t="shared" si="135"/>
        <v>8905545</v>
      </c>
      <c r="AT119" s="550">
        <f t="shared" si="135"/>
        <v>52000</v>
      </c>
      <c r="AU119" s="550">
        <f t="shared" si="135"/>
        <v>3027651</v>
      </c>
      <c r="AV119" s="550">
        <f t="shared" si="135"/>
        <v>178111</v>
      </c>
      <c r="AW119" s="550">
        <f t="shared" si="135"/>
        <v>134986</v>
      </c>
      <c r="AX119" s="551">
        <f t="shared" si="135"/>
        <v>20.370899999999995</v>
      </c>
      <c r="AY119" s="551">
        <f t="shared" si="135"/>
        <v>12.990500000000001</v>
      </c>
      <c r="AZ119" s="44">
        <f t="shared" si="135"/>
        <v>7.380399999999999</v>
      </c>
    </row>
    <row r="120" spans="1:52" s="238" customFormat="1" x14ac:dyDescent="0.2">
      <c r="A120" s="225">
        <v>22</v>
      </c>
      <c r="B120" s="226">
        <v>4412</v>
      </c>
      <c r="C120" s="226">
        <v>600074447</v>
      </c>
      <c r="D120" s="226">
        <v>70698554</v>
      </c>
      <c r="E120" s="224" t="s">
        <v>191</v>
      </c>
      <c r="F120" s="226">
        <v>3111</v>
      </c>
      <c r="G120" s="176" t="s">
        <v>312</v>
      </c>
      <c r="H120" s="227" t="s">
        <v>278</v>
      </c>
      <c r="I120" s="494">
        <v>3680232</v>
      </c>
      <c r="J120" s="489">
        <v>2694464</v>
      </c>
      <c r="K120" s="489">
        <v>0</v>
      </c>
      <c r="L120" s="489">
        <v>910729</v>
      </c>
      <c r="M120" s="489">
        <v>53889</v>
      </c>
      <c r="N120" s="489">
        <v>21150</v>
      </c>
      <c r="O120" s="490">
        <v>5.6150000000000002</v>
      </c>
      <c r="P120" s="491">
        <v>4.1252000000000004</v>
      </c>
      <c r="Q120" s="500">
        <v>1.4897999999999998</v>
      </c>
      <c r="R120" s="502">
        <f t="shared" si="86"/>
        <v>0</v>
      </c>
      <c r="S120" s="492">
        <v>0</v>
      </c>
      <c r="T120" s="492">
        <v>0</v>
      </c>
      <c r="U120" s="492">
        <v>0</v>
      </c>
      <c r="V120" s="492">
        <f t="shared" si="87"/>
        <v>0</v>
      </c>
      <c r="W120" s="492">
        <v>0</v>
      </c>
      <c r="X120" s="492">
        <v>0</v>
      </c>
      <c r="Y120" s="492">
        <v>0</v>
      </c>
      <c r="Z120" s="492">
        <f t="shared" si="88"/>
        <v>0</v>
      </c>
      <c r="AA120" s="492">
        <f t="shared" si="89"/>
        <v>0</v>
      </c>
      <c r="AB120" s="74">
        <f t="shared" si="90"/>
        <v>0</v>
      </c>
      <c r="AC120" s="74">
        <f t="shared" si="91"/>
        <v>0</v>
      </c>
      <c r="AD120" s="492">
        <v>0</v>
      </c>
      <c r="AE120" s="492">
        <v>0</v>
      </c>
      <c r="AF120" s="492">
        <f t="shared" si="92"/>
        <v>0</v>
      </c>
      <c r="AG120" s="492">
        <f t="shared" si="93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ref="AO120:AO122" si="136">AH120+AJ120+AM120+AK120</f>
        <v>0</v>
      </c>
      <c r="AP120" s="493">
        <f t="shared" ref="AP120:AP122" si="137">AI120+AN120+AL120</f>
        <v>0</v>
      </c>
      <c r="AQ120" s="495">
        <f t="shared" si="96"/>
        <v>0</v>
      </c>
      <c r="AR120" s="501">
        <f t="shared" si="97"/>
        <v>3680232</v>
      </c>
      <c r="AS120" s="492">
        <f t="shared" si="98"/>
        <v>2694464</v>
      </c>
      <c r="AT120" s="492">
        <f t="shared" ref="AT120:AT122" si="138">K120+Z120</f>
        <v>0</v>
      </c>
      <c r="AU120" s="492">
        <f t="shared" ref="AU120:AV122" si="139">L120+AB120</f>
        <v>910729</v>
      </c>
      <c r="AV120" s="492">
        <f t="shared" si="139"/>
        <v>53889</v>
      </c>
      <c r="AW120" s="492">
        <f t="shared" si="101"/>
        <v>21150</v>
      </c>
      <c r="AX120" s="493">
        <f t="shared" si="102"/>
        <v>5.6150000000000002</v>
      </c>
      <c r="AY120" s="493">
        <f t="shared" ref="AY120:AZ122" si="140">P120+AO120</f>
        <v>4.1252000000000004</v>
      </c>
      <c r="AZ120" s="495">
        <f t="shared" si="140"/>
        <v>1.4897999999999998</v>
      </c>
    </row>
    <row r="121" spans="1:52" s="238" customFormat="1" x14ac:dyDescent="0.2">
      <c r="A121" s="225">
        <v>22</v>
      </c>
      <c r="B121" s="226">
        <v>4412</v>
      </c>
      <c r="C121" s="226">
        <v>600074447</v>
      </c>
      <c r="D121" s="226">
        <v>70698554</v>
      </c>
      <c r="E121" s="224" t="s">
        <v>191</v>
      </c>
      <c r="F121" s="226">
        <v>3111</v>
      </c>
      <c r="G121" s="176" t="s">
        <v>313</v>
      </c>
      <c r="H121" s="227" t="s">
        <v>279</v>
      </c>
      <c r="I121" s="494">
        <v>0</v>
      </c>
      <c r="J121" s="489">
        <v>0</v>
      </c>
      <c r="K121" s="489">
        <v>0</v>
      </c>
      <c r="L121" s="489">
        <v>0</v>
      </c>
      <c r="M121" s="489">
        <v>0</v>
      </c>
      <c r="N121" s="489">
        <v>0</v>
      </c>
      <c r="O121" s="490">
        <v>0</v>
      </c>
      <c r="P121" s="491">
        <v>0</v>
      </c>
      <c r="Q121" s="500">
        <v>0</v>
      </c>
      <c r="R121" s="502">
        <f t="shared" si="86"/>
        <v>0</v>
      </c>
      <c r="S121" s="492">
        <v>0</v>
      </c>
      <c r="T121" s="492">
        <v>0</v>
      </c>
      <c r="U121" s="492">
        <v>0</v>
      </c>
      <c r="V121" s="492">
        <f t="shared" si="87"/>
        <v>0</v>
      </c>
      <c r="W121" s="492">
        <v>0</v>
      </c>
      <c r="X121" s="492">
        <v>0</v>
      </c>
      <c r="Y121" s="492">
        <v>0</v>
      </c>
      <c r="Z121" s="492">
        <f t="shared" si="88"/>
        <v>0</v>
      </c>
      <c r="AA121" s="492">
        <f t="shared" si="89"/>
        <v>0</v>
      </c>
      <c r="AB121" s="74">
        <f t="shared" si="90"/>
        <v>0</v>
      </c>
      <c r="AC121" s="74">
        <f t="shared" si="91"/>
        <v>0</v>
      </c>
      <c r="AD121" s="492">
        <v>0</v>
      </c>
      <c r="AE121" s="492">
        <v>0</v>
      </c>
      <c r="AF121" s="492">
        <f t="shared" si="92"/>
        <v>0</v>
      </c>
      <c r="AG121" s="492">
        <f t="shared" si="93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36"/>
        <v>0</v>
      </c>
      <c r="AP121" s="493">
        <f t="shared" si="137"/>
        <v>0</v>
      </c>
      <c r="AQ121" s="495">
        <f t="shared" si="96"/>
        <v>0</v>
      </c>
      <c r="AR121" s="501">
        <f t="shared" si="97"/>
        <v>0</v>
      </c>
      <c r="AS121" s="492">
        <f t="shared" si="98"/>
        <v>0</v>
      </c>
      <c r="AT121" s="492">
        <f t="shared" si="138"/>
        <v>0</v>
      </c>
      <c r="AU121" s="492">
        <f t="shared" si="139"/>
        <v>0</v>
      </c>
      <c r="AV121" s="492">
        <f t="shared" si="139"/>
        <v>0</v>
      </c>
      <c r="AW121" s="492">
        <f t="shared" si="101"/>
        <v>0</v>
      </c>
      <c r="AX121" s="493">
        <f t="shared" si="102"/>
        <v>0</v>
      </c>
      <c r="AY121" s="493">
        <f t="shared" si="140"/>
        <v>0</v>
      </c>
      <c r="AZ121" s="495">
        <f t="shared" si="140"/>
        <v>0</v>
      </c>
    </row>
    <row r="122" spans="1:52" s="238" customFormat="1" x14ac:dyDescent="0.2">
      <c r="A122" s="225">
        <v>22</v>
      </c>
      <c r="B122" s="226">
        <v>4412</v>
      </c>
      <c r="C122" s="226">
        <v>600074447</v>
      </c>
      <c r="D122" s="226">
        <v>70698554</v>
      </c>
      <c r="E122" s="219" t="s">
        <v>191</v>
      </c>
      <c r="F122" s="226">
        <v>3141</v>
      </c>
      <c r="G122" s="176" t="s">
        <v>316</v>
      </c>
      <c r="H122" s="227" t="s">
        <v>279</v>
      </c>
      <c r="I122" s="494">
        <v>639668</v>
      </c>
      <c r="J122" s="489">
        <v>469115</v>
      </c>
      <c r="K122" s="489">
        <v>0</v>
      </c>
      <c r="L122" s="489">
        <v>158561</v>
      </c>
      <c r="M122" s="489">
        <v>9382</v>
      </c>
      <c r="N122" s="489">
        <v>2610</v>
      </c>
      <c r="O122" s="490">
        <v>1.48</v>
      </c>
      <c r="P122" s="491">
        <v>0</v>
      </c>
      <c r="Q122" s="500">
        <v>1.48</v>
      </c>
      <c r="R122" s="502">
        <f t="shared" si="86"/>
        <v>0</v>
      </c>
      <c r="S122" s="492">
        <v>0</v>
      </c>
      <c r="T122" s="492">
        <v>0</v>
      </c>
      <c r="U122" s="492">
        <v>0</v>
      </c>
      <c r="V122" s="492">
        <f t="shared" si="87"/>
        <v>0</v>
      </c>
      <c r="W122" s="492">
        <v>0</v>
      </c>
      <c r="X122" s="492">
        <v>0</v>
      </c>
      <c r="Y122" s="492">
        <v>0</v>
      </c>
      <c r="Z122" s="492">
        <f t="shared" si="88"/>
        <v>0</v>
      </c>
      <c r="AA122" s="492">
        <f t="shared" si="89"/>
        <v>0</v>
      </c>
      <c r="AB122" s="74">
        <f t="shared" si="90"/>
        <v>0</v>
      </c>
      <c r="AC122" s="74">
        <f t="shared" si="91"/>
        <v>0</v>
      </c>
      <c r="AD122" s="492">
        <v>0</v>
      </c>
      <c r="AE122" s="492">
        <v>0</v>
      </c>
      <c r="AF122" s="492">
        <f t="shared" si="92"/>
        <v>0</v>
      </c>
      <c r="AG122" s="492">
        <f t="shared" si="93"/>
        <v>0</v>
      </c>
      <c r="AH122" s="493">
        <v>0</v>
      </c>
      <c r="AI122" s="493">
        <v>0</v>
      </c>
      <c r="AJ122" s="493">
        <v>0</v>
      </c>
      <c r="AK122" s="493">
        <v>0</v>
      </c>
      <c r="AL122" s="493">
        <v>0</v>
      </c>
      <c r="AM122" s="493">
        <v>0</v>
      </c>
      <c r="AN122" s="493">
        <v>0</v>
      </c>
      <c r="AO122" s="493">
        <f t="shared" si="136"/>
        <v>0</v>
      </c>
      <c r="AP122" s="493">
        <f t="shared" si="137"/>
        <v>0</v>
      </c>
      <c r="AQ122" s="495">
        <f t="shared" si="96"/>
        <v>0</v>
      </c>
      <c r="AR122" s="501">
        <f t="shared" si="97"/>
        <v>639668</v>
      </c>
      <c r="AS122" s="492">
        <f t="shared" si="98"/>
        <v>469115</v>
      </c>
      <c r="AT122" s="492">
        <f t="shared" si="138"/>
        <v>0</v>
      </c>
      <c r="AU122" s="492">
        <f t="shared" si="139"/>
        <v>158561</v>
      </c>
      <c r="AV122" s="492">
        <f t="shared" si="139"/>
        <v>9382</v>
      </c>
      <c r="AW122" s="492">
        <f t="shared" si="101"/>
        <v>2610</v>
      </c>
      <c r="AX122" s="493">
        <f t="shared" si="102"/>
        <v>1.48</v>
      </c>
      <c r="AY122" s="493">
        <f t="shared" si="140"/>
        <v>0</v>
      </c>
      <c r="AZ122" s="495">
        <f t="shared" si="140"/>
        <v>1.48</v>
      </c>
    </row>
    <row r="123" spans="1:52" s="238" customFormat="1" x14ac:dyDescent="0.2">
      <c r="A123" s="166">
        <v>22</v>
      </c>
      <c r="B123" s="20">
        <v>4412</v>
      </c>
      <c r="C123" s="20">
        <v>600074447</v>
      </c>
      <c r="D123" s="20">
        <v>70698554</v>
      </c>
      <c r="E123" s="175" t="s">
        <v>192</v>
      </c>
      <c r="F123" s="20"/>
      <c r="G123" s="165"/>
      <c r="H123" s="199"/>
      <c r="I123" s="553">
        <v>4319900</v>
      </c>
      <c r="J123" s="550">
        <v>3163579</v>
      </c>
      <c r="K123" s="550">
        <v>0</v>
      </c>
      <c r="L123" s="550">
        <v>1069290</v>
      </c>
      <c r="M123" s="550">
        <v>63271</v>
      </c>
      <c r="N123" s="550">
        <v>23760</v>
      </c>
      <c r="O123" s="551">
        <v>7.0950000000000006</v>
      </c>
      <c r="P123" s="551">
        <v>4.1252000000000004</v>
      </c>
      <c r="Q123" s="555">
        <v>2.9697999999999998</v>
      </c>
      <c r="R123" s="553">
        <f t="shared" ref="R123:AZ123" si="141">SUM(R120:R122)</f>
        <v>0</v>
      </c>
      <c r="S123" s="550">
        <f t="shared" si="141"/>
        <v>0</v>
      </c>
      <c r="T123" s="550">
        <f t="shared" si="141"/>
        <v>0</v>
      </c>
      <c r="U123" s="550">
        <f t="shared" si="141"/>
        <v>0</v>
      </c>
      <c r="V123" s="550">
        <f t="shared" si="141"/>
        <v>0</v>
      </c>
      <c r="W123" s="550">
        <f t="shared" si="141"/>
        <v>0</v>
      </c>
      <c r="X123" s="550">
        <f t="shared" si="141"/>
        <v>0</v>
      </c>
      <c r="Y123" s="550">
        <f t="shared" si="141"/>
        <v>0</v>
      </c>
      <c r="Z123" s="550">
        <f t="shared" si="141"/>
        <v>0</v>
      </c>
      <c r="AA123" s="550">
        <f t="shared" si="141"/>
        <v>0</v>
      </c>
      <c r="AB123" s="550">
        <f t="shared" si="141"/>
        <v>0</v>
      </c>
      <c r="AC123" s="550">
        <f t="shared" si="141"/>
        <v>0</v>
      </c>
      <c r="AD123" s="550">
        <f t="shared" si="141"/>
        <v>0</v>
      </c>
      <c r="AE123" s="550">
        <f t="shared" si="141"/>
        <v>0</v>
      </c>
      <c r="AF123" s="550">
        <f t="shared" si="141"/>
        <v>0</v>
      </c>
      <c r="AG123" s="550">
        <f t="shared" si="141"/>
        <v>0</v>
      </c>
      <c r="AH123" s="551">
        <f t="shared" si="141"/>
        <v>0</v>
      </c>
      <c r="AI123" s="551">
        <f t="shared" si="141"/>
        <v>0</v>
      </c>
      <c r="AJ123" s="551">
        <f t="shared" si="141"/>
        <v>0</v>
      </c>
      <c r="AK123" s="551">
        <f t="shared" si="141"/>
        <v>0</v>
      </c>
      <c r="AL123" s="551">
        <f t="shared" si="141"/>
        <v>0</v>
      </c>
      <c r="AM123" s="551">
        <f t="shared" si="141"/>
        <v>0</v>
      </c>
      <c r="AN123" s="551">
        <f t="shared" si="141"/>
        <v>0</v>
      </c>
      <c r="AO123" s="551">
        <f t="shared" si="141"/>
        <v>0</v>
      </c>
      <c r="AP123" s="551">
        <f t="shared" si="141"/>
        <v>0</v>
      </c>
      <c r="AQ123" s="44">
        <f t="shared" si="141"/>
        <v>0</v>
      </c>
      <c r="AR123" s="557">
        <f t="shared" si="141"/>
        <v>4319900</v>
      </c>
      <c r="AS123" s="550">
        <f t="shared" si="141"/>
        <v>3163579</v>
      </c>
      <c r="AT123" s="550">
        <f t="shared" si="141"/>
        <v>0</v>
      </c>
      <c r="AU123" s="550">
        <f t="shared" si="141"/>
        <v>1069290</v>
      </c>
      <c r="AV123" s="550">
        <f t="shared" si="141"/>
        <v>63271</v>
      </c>
      <c r="AW123" s="550">
        <f t="shared" si="141"/>
        <v>23760</v>
      </c>
      <c r="AX123" s="551">
        <f t="shared" si="141"/>
        <v>7.0950000000000006</v>
      </c>
      <c r="AY123" s="551">
        <f t="shared" si="141"/>
        <v>4.1252000000000004</v>
      </c>
      <c r="AZ123" s="44">
        <f t="shared" si="141"/>
        <v>2.9697999999999998</v>
      </c>
    </row>
    <row r="124" spans="1:52" s="238" customFormat="1" x14ac:dyDescent="0.2">
      <c r="A124" s="225">
        <v>23</v>
      </c>
      <c r="B124" s="226">
        <v>4413</v>
      </c>
      <c r="C124" s="226">
        <v>600074455</v>
      </c>
      <c r="D124" s="226">
        <v>70695369</v>
      </c>
      <c r="E124" s="224" t="s">
        <v>193</v>
      </c>
      <c r="F124" s="226">
        <v>3111</v>
      </c>
      <c r="G124" s="176" t="s">
        <v>312</v>
      </c>
      <c r="H124" s="227" t="s">
        <v>278</v>
      </c>
      <c r="I124" s="494">
        <v>9020722</v>
      </c>
      <c r="J124" s="489">
        <v>6600238</v>
      </c>
      <c r="K124" s="489">
        <v>0</v>
      </c>
      <c r="L124" s="489">
        <v>2230880</v>
      </c>
      <c r="M124" s="489">
        <v>132004</v>
      </c>
      <c r="N124" s="489">
        <v>57600</v>
      </c>
      <c r="O124" s="490">
        <v>14.432600000000001</v>
      </c>
      <c r="P124" s="491">
        <v>10.8804</v>
      </c>
      <c r="Q124" s="500">
        <v>3.5522</v>
      </c>
      <c r="R124" s="502">
        <f t="shared" si="86"/>
        <v>0</v>
      </c>
      <c r="S124" s="492">
        <v>0</v>
      </c>
      <c r="T124" s="492">
        <v>0</v>
      </c>
      <c r="U124" s="492">
        <v>0</v>
      </c>
      <c r="V124" s="492">
        <f t="shared" si="87"/>
        <v>0</v>
      </c>
      <c r="W124" s="492">
        <v>0</v>
      </c>
      <c r="X124" s="492">
        <v>0</v>
      </c>
      <c r="Y124" s="492">
        <v>0</v>
      </c>
      <c r="Z124" s="492">
        <f t="shared" si="88"/>
        <v>0</v>
      </c>
      <c r="AA124" s="492">
        <f t="shared" si="89"/>
        <v>0</v>
      </c>
      <c r="AB124" s="74">
        <f t="shared" si="90"/>
        <v>0</v>
      </c>
      <c r="AC124" s="74">
        <f t="shared" si="91"/>
        <v>0</v>
      </c>
      <c r="AD124" s="492">
        <v>0</v>
      </c>
      <c r="AE124" s="492">
        <v>0</v>
      </c>
      <c r="AF124" s="492">
        <f t="shared" si="92"/>
        <v>0</v>
      </c>
      <c r="AG124" s="492">
        <f t="shared" si="93"/>
        <v>0</v>
      </c>
      <c r="AH124" s="493">
        <v>0</v>
      </c>
      <c r="AI124" s="493">
        <v>0</v>
      </c>
      <c r="AJ124" s="493">
        <v>0</v>
      </c>
      <c r="AK124" s="493">
        <v>0</v>
      </c>
      <c r="AL124" s="493">
        <v>0</v>
      </c>
      <c r="AM124" s="493">
        <v>0</v>
      </c>
      <c r="AN124" s="493">
        <v>0</v>
      </c>
      <c r="AO124" s="493">
        <f t="shared" ref="AO124:AO128" si="142">AH124+AJ124+AM124+AK124</f>
        <v>0</v>
      </c>
      <c r="AP124" s="493">
        <f t="shared" ref="AP124:AP128" si="143">AI124+AN124+AL124</f>
        <v>0</v>
      </c>
      <c r="AQ124" s="495">
        <f t="shared" si="96"/>
        <v>0</v>
      </c>
      <c r="AR124" s="501">
        <f t="shared" si="97"/>
        <v>9020722</v>
      </c>
      <c r="AS124" s="492">
        <f t="shared" si="98"/>
        <v>6600238</v>
      </c>
      <c r="AT124" s="492">
        <f t="shared" ref="AT124:AT128" si="144">K124+Z124</f>
        <v>0</v>
      </c>
      <c r="AU124" s="492">
        <f t="shared" ref="AU124:AV128" si="145">L124+AB124</f>
        <v>2230880</v>
      </c>
      <c r="AV124" s="492">
        <f t="shared" si="145"/>
        <v>132004</v>
      </c>
      <c r="AW124" s="492">
        <f t="shared" si="101"/>
        <v>57600</v>
      </c>
      <c r="AX124" s="493">
        <f t="shared" si="102"/>
        <v>14.432600000000001</v>
      </c>
      <c r="AY124" s="493">
        <f t="shared" ref="AY124:AZ128" si="146">P124+AO124</f>
        <v>10.8804</v>
      </c>
      <c r="AZ124" s="495">
        <f t="shared" si="146"/>
        <v>3.5522</v>
      </c>
    </row>
    <row r="125" spans="1:52" s="238" customFormat="1" x14ac:dyDescent="0.2">
      <c r="A125" s="225">
        <v>23</v>
      </c>
      <c r="B125" s="226">
        <v>4413</v>
      </c>
      <c r="C125" s="226">
        <v>600074455</v>
      </c>
      <c r="D125" s="226">
        <v>70695369</v>
      </c>
      <c r="E125" s="224" t="s">
        <v>193</v>
      </c>
      <c r="F125" s="226">
        <v>3111</v>
      </c>
      <c r="G125" s="176" t="s">
        <v>313</v>
      </c>
      <c r="H125" s="227" t="s">
        <v>279</v>
      </c>
      <c r="I125" s="494">
        <v>1176175</v>
      </c>
      <c r="J125" s="489">
        <v>866108</v>
      </c>
      <c r="K125" s="489">
        <v>0</v>
      </c>
      <c r="L125" s="489">
        <v>292745</v>
      </c>
      <c r="M125" s="489">
        <v>17322</v>
      </c>
      <c r="N125" s="489">
        <v>0</v>
      </c>
      <c r="O125" s="490">
        <v>2.5</v>
      </c>
      <c r="P125" s="491">
        <v>2.5</v>
      </c>
      <c r="Q125" s="500">
        <v>0</v>
      </c>
      <c r="R125" s="502">
        <f t="shared" si="86"/>
        <v>0</v>
      </c>
      <c r="S125" s="492">
        <v>0</v>
      </c>
      <c r="T125" s="492">
        <v>0</v>
      </c>
      <c r="U125" s="492">
        <v>0</v>
      </c>
      <c r="V125" s="492">
        <f t="shared" si="87"/>
        <v>0</v>
      </c>
      <c r="W125" s="492">
        <v>0</v>
      </c>
      <c r="X125" s="492">
        <v>0</v>
      </c>
      <c r="Y125" s="492">
        <v>0</v>
      </c>
      <c r="Z125" s="492">
        <f t="shared" si="88"/>
        <v>0</v>
      </c>
      <c r="AA125" s="492">
        <f t="shared" si="89"/>
        <v>0</v>
      </c>
      <c r="AB125" s="74">
        <f t="shared" si="90"/>
        <v>0</v>
      </c>
      <c r="AC125" s="74">
        <f t="shared" si="91"/>
        <v>0</v>
      </c>
      <c r="AD125" s="492">
        <v>0</v>
      </c>
      <c r="AE125" s="492">
        <v>0</v>
      </c>
      <c r="AF125" s="492">
        <f t="shared" si="92"/>
        <v>0</v>
      </c>
      <c r="AG125" s="492">
        <f t="shared" si="93"/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 t="shared" si="142"/>
        <v>0</v>
      </c>
      <c r="AP125" s="493">
        <f t="shared" si="143"/>
        <v>0</v>
      </c>
      <c r="AQ125" s="495">
        <f t="shared" si="96"/>
        <v>0</v>
      </c>
      <c r="AR125" s="501">
        <f t="shared" si="97"/>
        <v>1176175</v>
      </c>
      <c r="AS125" s="492">
        <f t="shared" si="98"/>
        <v>866108</v>
      </c>
      <c r="AT125" s="492">
        <f t="shared" si="144"/>
        <v>0</v>
      </c>
      <c r="AU125" s="492">
        <f t="shared" si="145"/>
        <v>292745</v>
      </c>
      <c r="AV125" s="492">
        <f t="shared" si="145"/>
        <v>17322</v>
      </c>
      <c r="AW125" s="492">
        <f t="shared" si="101"/>
        <v>0</v>
      </c>
      <c r="AX125" s="493">
        <f t="shared" si="102"/>
        <v>2.5</v>
      </c>
      <c r="AY125" s="493">
        <f t="shared" si="146"/>
        <v>2.5</v>
      </c>
      <c r="AZ125" s="495">
        <f t="shared" si="146"/>
        <v>0</v>
      </c>
    </row>
    <row r="126" spans="1:52" s="238" customFormat="1" x14ac:dyDescent="0.2">
      <c r="A126" s="225">
        <v>23</v>
      </c>
      <c r="B126" s="226">
        <v>4413</v>
      </c>
      <c r="C126" s="226">
        <v>600074455</v>
      </c>
      <c r="D126" s="226">
        <v>70695369</v>
      </c>
      <c r="E126" s="224" t="s">
        <v>193</v>
      </c>
      <c r="F126" s="226">
        <v>3141</v>
      </c>
      <c r="G126" s="176" t="s">
        <v>316</v>
      </c>
      <c r="H126" s="227" t="s">
        <v>279</v>
      </c>
      <c r="I126" s="494">
        <v>1762433</v>
      </c>
      <c r="J126" s="489">
        <v>1290768</v>
      </c>
      <c r="K126" s="489">
        <v>0</v>
      </c>
      <c r="L126" s="489">
        <v>436280</v>
      </c>
      <c r="M126" s="489">
        <v>25815</v>
      </c>
      <c r="N126" s="489">
        <v>9570</v>
      </c>
      <c r="O126" s="490">
        <v>4.07</v>
      </c>
      <c r="P126" s="491">
        <v>0</v>
      </c>
      <c r="Q126" s="500">
        <v>4.07</v>
      </c>
      <c r="R126" s="502">
        <f t="shared" si="86"/>
        <v>0</v>
      </c>
      <c r="S126" s="492">
        <v>0</v>
      </c>
      <c r="T126" s="492">
        <v>0</v>
      </c>
      <c r="U126" s="492">
        <v>0</v>
      </c>
      <c r="V126" s="492">
        <f t="shared" si="87"/>
        <v>0</v>
      </c>
      <c r="W126" s="492">
        <v>0</v>
      </c>
      <c r="X126" s="492">
        <v>0</v>
      </c>
      <c r="Y126" s="492">
        <v>0</v>
      </c>
      <c r="Z126" s="492">
        <f t="shared" si="88"/>
        <v>0</v>
      </c>
      <c r="AA126" s="492">
        <f t="shared" si="89"/>
        <v>0</v>
      </c>
      <c r="AB126" s="74">
        <f t="shared" si="90"/>
        <v>0</v>
      </c>
      <c r="AC126" s="74">
        <f t="shared" si="91"/>
        <v>0</v>
      </c>
      <c r="AD126" s="492">
        <v>0</v>
      </c>
      <c r="AE126" s="492">
        <v>0</v>
      </c>
      <c r="AF126" s="492">
        <f t="shared" si="92"/>
        <v>0</v>
      </c>
      <c r="AG126" s="492">
        <f t="shared" si="93"/>
        <v>0</v>
      </c>
      <c r="AH126" s="493">
        <v>0</v>
      </c>
      <c r="AI126" s="493">
        <v>0</v>
      </c>
      <c r="AJ126" s="493">
        <v>0</v>
      </c>
      <c r="AK126" s="493">
        <v>0</v>
      </c>
      <c r="AL126" s="493">
        <v>0</v>
      </c>
      <c r="AM126" s="493">
        <v>0</v>
      </c>
      <c r="AN126" s="493">
        <v>0</v>
      </c>
      <c r="AO126" s="493">
        <f t="shared" si="142"/>
        <v>0</v>
      </c>
      <c r="AP126" s="493">
        <f t="shared" si="143"/>
        <v>0</v>
      </c>
      <c r="AQ126" s="495">
        <f t="shared" si="96"/>
        <v>0</v>
      </c>
      <c r="AR126" s="501">
        <f t="shared" si="97"/>
        <v>1762433</v>
      </c>
      <c r="AS126" s="492">
        <f t="shared" si="98"/>
        <v>1290768</v>
      </c>
      <c r="AT126" s="492">
        <f t="shared" si="144"/>
        <v>0</v>
      </c>
      <c r="AU126" s="492">
        <f t="shared" si="145"/>
        <v>436280</v>
      </c>
      <c r="AV126" s="492">
        <f t="shared" si="145"/>
        <v>25815</v>
      </c>
      <c r="AW126" s="492">
        <f t="shared" si="101"/>
        <v>9570</v>
      </c>
      <c r="AX126" s="493">
        <f t="shared" si="102"/>
        <v>4.07</v>
      </c>
      <c r="AY126" s="493">
        <f t="shared" si="146"/>
        <v>0</v>
      </c>
      <c r="AZ126" s="495">
        <f t="shared" si="146"/>
        <v>4.07</v>
      </c>
    </row>
    <row r="127" spans="1:52" s="238" customFormat="1" x14ac:dyDescent="0.2">
      <c r="A127" s="225">
        <v>23</v>
      </c>
      <c r="B127" s="226">
        <v>4413</v>
      </c>
      <c r="C127" s="226">
        <v>600074455</v>
      </c>
      <c r="D127" s="226">
        <v>70695369</v>
      </c>
      <c r="E127" s="224" t="s">
        <v>193</v>
      </c>
      <c r="F127" s="226">
        <v>3143</v>
      </c>
      <c r="G127" s="176" t="s">
        <v>629</v>
      </c>
      <c r="H127" s="243" t="s">
        <v>278</v>
      </c>
      <c r="I127" s="494">
        <v>1180825</v>
      </c>
      <c r="J127" s="489">
        <v>869532</v>
      </c>
      <c r="K127" s="489">
        <v>0</v>
      </c>
      <c r="L127" s="489">
        <v>293902</v>
      </c>
      <c r="M127" s="489">
        <v>17391</v>
      </c>
      <c r="N127" s="489">
        <v>0</v>
      </c>
      <c r="O127" s="490">
        <v>2</v>
      </c>
      <c r="P127" s="491">
        <v>2</v>
      </c>
      <c r="Q127" s="500">
        <v>0</v>
      </c>
      <c r="R127" s="502">
        <f t="shared" si="86"/>
        <v>0</v>
      </c>
      <c r="S127" s="492">
        <v>0</v>
      </c>
      <c r="T127" s="492">
        <v>0</v>
      </c>
      <c r="U127" s="492">
        <v>0</v>
      </c>
      <c r="V127" s="492">
        <f t="shared" si="87"/>
        <v>0</v>
      </c>
      <c r="W127" s="492">
        <v>0</v>
      </c>
      <c r="X127" s="492">
        <v>0</v>
      </c>
      <c r="Y127" s="492">
        <v>0</v>
      </c>
      <c r="Z127" s="492">
        <f t="shared" si="88"/>
        <v>0</v>
      </c>
      <c r="AA127" s="492">
        <f t="shared" si="89"/>
        <v>0</v>
      </c>
      <c r="AB127" s="74">
        <f t="shared" si="90"/>
        <v>0</v>
      </c>
      <c r="AC127" s="74">
        <f t="shared" si="91"/>
        <v>0</v>
      </c>
      <c r="AD127" s="492">
        <v>0</v>
      </c>
      <c r="AE127" s="492">
        <v>0</v>
      </c>
      <c r="AF127" s="492">
        <f t="shared" si="92"/>
        <v>0</v>
      </c>
      <c r="AG127" s="492">
        <f t="shared" si="93"/>
        <v>0</v>
      </c>
      <c r="AH127" s="493">
        <v>0</v>
      </c>
      <c r="AI127" s="493">
        <v>0</v>
      </c>
      <c r="AJ127" s="493">
        <v>0</v>
      </c>
      <c r="AK127" s="493">
        <v>0</v>
      </c>
      <c r="AL127" s="493">
        <v>0</v>
      </c>
      <c r="AM127" s="493">
        <v>0</v>
      </c>
      <c r="AN127" s="493">
        <v>0</v>
      </c>
      <c r="AO127" s="493">
        <f t="shared" si="142"/>
        <v>0</v>
      </c>
      <c r="AP127" s="493">
        <f t="shared" si="143"/>
        <v>0</v>
      </c>
      <c r="AQ127" s="495">
        <f t="shared" si="96"/>
        <v>0</v>
      </c>
      <c r="AR127" s="501">
        <f t="shared" si="97"/>
        <v>1180825</v>
      </c>
      <c r="AS127" s="492">
        <f t="shared" si="98"/>
        <v>869532</v>
      </c>
      <c r="AT127" s="492">
        <f t="shared" si="144"/>
        <v>0</v>
      </c>
      <c r="AU127" s="492">
        <f t="shared" si="145"/>
        <v>293902</v>
      </c>
      <c r="AV127" s="492">
        <f t="shared" si="145"/>
        <v>17391</v>
      </c>
      <c r="AW127" s="492">
        <f t="shared" si="101"/>
        <v>0</v>
      </c>
      <c r="AX127" s="493">
        <f t="shared" si="102"/>
        <v>2</v>
      </c>
      <c r="AY127" s="493">
        <f t="shared" si="146"/>
        <v>2</v>
      </c>
      <c r="AZ127" s="495">
        <f t="shared" si="146"/>
        <v>0</v>
      </c>
    </row>
    <row r="128" spans="1:52" s="238" customFormat="1" x14ac:dyDescent="0.2">
      <c r="A128" s="225">
        <v>23</v>
      </c>
      <c r="B128" s="226">
        <v>4413</v>
      </c>
      <c r="C128" s="226">
        <v>600074455</v>
      </c>
      <c r="D128" s="226">
        <v>70695369</v>
      </c>
      <c r="E128" s="224" t="s">
        <v>193</v>
      </c>
      <c r="F128" s="226">
        <v>3143</v>
      </c>
      <c r="G128" s="176" t="s">
        <v>630</v>
      </c>
      <c r="H128" s="243" t="s">
        <v>279</v>
      </c>
      <c r="I128" s="494">
        <v>26459</v>
      </c>
      <c r="J128" s="489">
        <v>18711</v>
      </c>
      <c r="K128" s="489">
        <v>0</v>
      </c>
      <c r="L128" s="489">
        <v>6324</v>
      </c>
      <c r="M128" s="489">
        <v>374</v>
      </c>
      <c r="N128" s="489">
        <v>1050</v>
      </c>
      <c r="O128" s="490">
        <v>7.0000000000000007E-2</v>
      </c>
      <c r="P128" s="491">
        <v>0</v>
      </c>
      <c r="Q128" s="500">
        <v>7.0000000000000007E-2</v>
      </c>
      <c r="R128" s="502">
        <f t="shared" si="86"/>
        <v>0</v>
      </c>
      <c r="S128" s="492">
        <v>0</v>
      </c>
      <c r="T128" s="492">
        <v>0</v>
      </c>
      <c r="U128" s="492">
        <v>0</v>
      </c>
      <c r="V128" s="492">
        <f t="shared" si="87"/>
        <v>0</v>
      </c>
      <c r="W128" s="492">
        <v>0</v>
      </c>
      <c r="X128" s="492">
        <v>0</v>
      </c>
      <c r="Y128" s="492">
        <v>0</v>
      </c>
      <c r="Z128" s="492">
        <f t="shared" si="88"/>
        <v>0</v>
      </c>
      <c r="AA128" s="492">
        <f t="shared" si="89"/>
        <v>0</v>
      </c>
      <c r="AB128" s="74">
        <f t="shared" si="90"/>
        <v>0</v>
      </c>
      <c r="AC128" s="74">
        <f t="shared" si="91"/>
        <v>0</v>
      </c>
      <c r="AD128" s="492">
        <v>0</v>
      </c>
      <c r="AE128" s="492">
        <v>0</v>
      </c>
      <c r="AF128" s="492">
        <f t="shared" si="92"/>
        <v>0</v>
      </c>
      <c r="AG128" s="492">
        <f t="shared" si="93"/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 t="shared" si="142"/>
        <v>0</v>
      </c>
      <c r="AP128" s="493">
        <f t="shared" si="143"/>
        <v>0</v>
      </c>
      <c r="AQ128" s="495">
        <f t="shared" si="96"/>
        <v>0</v>
      </c>
      <c r="AR128" s="501">
        <f t="shared" si="97"/>
        <v>26459</v>
      </c>
      <c r="AS128" s="492">
        <f t="shared" si="98"/>
        <v>18711</v>
      </c>
      <c r="AT128" s="492">
        <f t="shared" si="144"/>
        <v>0</v>
      </c>
      <c r="AU128" s="492">
        <f t="shared" si="145"/>
        <v>6324</v>
      </c>
      <c r="AV128" s="492">
        <f t="shared" si="145"/>
        <v>374</v>
      </c>
      <c r="AW128" s="492">
        <f t="shared" si="101"/>
        <v>1050</v>
      </c>
      <c r="AX128" s="493">
        <f t="shared" si="102"/>
        <v>7.0000000000000007E-2</v>
      </c>
      <c r="AY128" s="493">
        <f t="shared" si="146"/>
        <v>0</v>
      </c>
      <c r="AZ128" s="495">
        <f t="shared" si="146"/>
        <v>7.0000000000000007E-2</v>
      </c>
    </row>
    <row r="129" spans="1:52" s="238" customFormat="1" x14ac:dyDescent="0.2">
      <c r="A129" s="166">
        <v>23</v>
      </c>
      <c r="B129" s="20">
        <v>4413</v>
      </c>
      <c r="C129" s="20">
        <v>600074455</v>
      </c>
      <c r="D129" s="20">
        <v>70695369</v>
      </c>
      <c r="E129" s="175" t="s">
        <v>194</v>
      </c>
      <c r="F129" s="20"/>
      <c r="G129" s="165"/>
      <c r="H129" s="199"/>
      <c r="I129" s="553">
        <v>13166614</v>
      </c>
      <c r="J129" s="550">
        <v>9645357</v>
      </c>
      <c r="K129" s="550">
        <v>0</v>
      </c>
      <c r="L129" s="550">
        <v>3260131</v>
      </c>
      <c r="M129" s="550">
        <v>192906</v>
      </c>
      <c r="N129" s="550">
        <v>68220</v>
      </c>
      <c r="O129" s="551">
        <v>23.072600000000001</v>
      </c>
      <c r="P129" s="551">
        <v>15.3804</v>
      </c>
      <c r="Q129" s="555">
        <v>7.6922000000000006</v>
      </c>
      <c r="R129" s="553">
        <f t="shared" ref="R129:AZ129" si="147">SUM(R124:R128)</f>
        <v>0</v>
      </c>
      <c r="S129" s="550">
        <f t="shared" si="147"/>
        <v>0</v>
      </c>
      <c r="T129" s="550">
        <f t="shared" si="147"/>
        <v>0</v>
      </c>
      <c r="U129" s="550">
        <f t="shared" si="147"/>
        <v>0</v>
      </c>
      <c r="V129" s="550">
        <f t="shared" si="147"/>
        <v>0</v>
      </c>
      <c r="W129" s="550">
        <f t="shared" si="147"/>
        <v>0</v>
      </c>
      <c r="X129" s="550">
        <f t="shared" si="147"/>
        <v>0</v>
      </c>
      <c r="Y129" s="550">
        <f t="shared" si="147"/>
        <v>0</v>
      </c>
      <c r="Z129" s="550">
        <f t="shared" si="147"/>
        <v>0</v>
      </c>
      <c r="AA129" s="550">
        <f t="shared" si="147"/>
        <v>0</v>
      </c>
      <c r="AB129" s="550">
        <f t="shared" si="147"/>
        <v>0</v>
      </c>
      <c r="AC129" s="550">
        <f t="shared" si="147"/>
        <v>0</v>
      </c>
      <c r="AD129" s="550">
        <f t="shared" si="147"/>
        <v>0</v>
      </c>
      <c r="AE129" s="550">
        <f t="shared" si="147"/>
        <v>0</v>
      </c>
      <c r="AF129" s="550">
        <f t="shared" si="147"/>
        <v>0</v>
      </c>
      <c r="AG129" s="550">
        <f t="shared" si="147"/>
        <v>0</v>
      </c>
      <c r="AH129" s="551">
        <f t="shared" si="147"/>
        <v>0</v>
      </c>
      <c r="AI129" s="551">
        <f t="shared" si="147"/>
        <v>0</v>
      </c>
      <c r="AJ129" s="551">
        <f t="shared" si="147"/>
        <v>0</v>
      </c>
      <c r="AK129" s="551">
        <f t="shared" si="147"/>
        <v>0</v>
      </c>
      <c r="AL129" s="551">
        <f t="shared" si="147"/>
        <v>0</v>
      </c>
      <c r="AM129" s="551">
        <f t="shared" si="147"/>
        <v>0</v>
      </c>
      <c r="AN129" s="551">
        <f t="shared" si="147"/>
        <v>0</v>
      </c>
      <c r="AO129" s="551">
        <f t="shared" si="147"/>
        <v>0</v>
      </c>
      <c r="AP129" s="551">
        <f t="shared" si="147"/>
        <v>0</v>
      </c>
      <c r="AQ129" s="44">
        <f t="shared" si="147"/>
        <v>0</v>
      </c>
      <c r="AR129" s="557">
        <f t="shared" si="147"/>
        <v>13166614</v>
      </c>
      <c r="AS129" s="550">
        <f t="shared" si="147"/>
        <v>9645357</v>
      </c>
      <c r="AT129" s="550">
        <f t="shared" si="147"/>
        <v>0</v>
      </c>
      <c r="AU129" s="550">
        <f t="shared" si="147"/>
        <v>3260131</v>
      </c>
      <c r="AV129" s="550">
        <f t="shared" si="147"/>
        <v>192906</v>
      </c>
      <c r="AW129" s="550">
        <f t="shared" si="147"/>
        <v>68220</v>
      </c>
      <c r="AX129" s="551">
        <f t="shared" si="147"/>
        <v>23.072600000000001</v>
      </c>
      <c r="AY129" s="551">
        <f t="shared" si="147"/>
        <v>15.3804</v>
      </c>
      <c r="AZ129" s="44">
        <f t="shared" si="147"/>
        <v>7.6922000000000006</v>
      </c>
    </row>
    <row r="130" spans="1:52" s="238" customFormat="1" x14ac:dyDescent="0.2">
      <c r="A130" s="225">
        <v>24</v>
      </c>
      <c r="B130" s="226">
        <v>4429</v>
      </c>
      <c r="C130" s="226">
        <v>600074595</v>
      </c>
      <c r="D130" s="226">
        <v>70698520</v>
      </c>
      <c r="E130" s="224" t="s">
        <v>195</v>
      </c>
      <c r="F130" s="226">
        <v>3111</v>
      </c>
      <c r="G130" s="176" t="s">
        <v>312</v>
      </c>
      <c r="H130" s="227" t="s">
        <v>278</v>
      </c>
      <c r="I130" s="494">
        <v>1525941</v>
      </c>
      <c r="J130" s="489">
        <v>1109974</v>
      </c>
      <c r="K130" s="489">
        <v>6500</v>
      </c>
      <c r="L130" s="489">
        <v>377368</v>
      </c>
      <c r="M130" s="489">
        <v>22199</v>
      </c>
      <c r="N130" s="489">
        <v>9900</v>
      </c>
      <c r="O130" s="490">
        <v>2.4908999999999999</v>
      </c>
      <c r="P130" s="491">
        <v>1.98</v>
      </c>
      <c r="Q130" s="500">
        <v>0.51090000000000002</v>
      </c>
      <c r="R130" s="502">
        <f t="shared" si="86"/>
        <v>0</v>
      </c>
      <c r="S130" s="492">
        <v>0</v>
      </c>
      <c r="T130" s="492">
        <v>0</v>
      </c>
      <c r="U130" s="492">
        <v>0</v>
      </c>
      <c r="V130" s="492">
        <f t="shared" si="87"/>
        <v>0</v>
      </c>
      <c r="W130" s="492">
        <v>0</v>
      </c>
      <c r="X130" s="492">
        <v>0</v>
      </c>
      <c r="Y130" s="492">
        <v>0</v>
      </c>
      <c r="Z130" s="492">
        <f t="shared" si="88"/>
        <v>0</v>
      </c>
      <c r="AA130" s="492">
        <f t="shared" si="89"/>
        <v>0</v>
      </c>
      <c r="AB130" s="74">
        <f t="shared" si="90"/>
        <v>0</v>
      </c>
      <c r="AC130" s="74">
        <f t="shared" si="91"/>
        <v>0</v>
      </c>
      <c r="AD130" s="492">
        <v>0</v>
      </c>
      <c r="AE130" s="492">
        <v>0</v>
      </c>
      <c r="AF130" s="492">
        <f t="shared" si="92"/>
        <v>0</v>
      </c>
      <c r="AG130" s="492">
        <f t="shared" si="93"/>
        <v>0</v>
      </c>
      <c r="AH130" s="493">
        <v>0</v>
      </c>
      <c r="AI130" s="493">
        <v>0</v>
      </c>
      <c r="AJ130" s="493">
        <v>0</v>
      </c>
      <c r="AK130" s="493">
        <v>0</v>
      </c>
      <c r="AL130" s="493">
        <v>0</v>
      </c>
      <c r="AM130" s="493">
        <v>0</v>
      </c>
      <c r="AN130" s="493">
        <v>0</v>
      </c>
      <c r="AO130" s="493">
        <f t="shared" ref="AO130:AO135" si="148">AH130+AJ130+AM130+AK130</f>
        <v>0</v>
      </c>
      <c r="AP130" s="493">
        <f t="shared" ref="AP130:AP135" si="149">AI130+AN130+AL130</f>
        <v>0</v>
      </c>
      <c r="AQ130" s="495">
        <f t="shared" si="96"/>
        <v>0</v>
      </c>
      <c r="AR130" s="501">
        <f t="shared" si="97"/>
        <v>1525941</v>
      </c>
      <c r="AS130" s="492">
        <f t="shared" si="98"/>
        <v>1109974</v>
      </c>
      <c r="AT130" s="492">
        <f t="shared" ref="AT130:AT135" si="150">K130+Z130</f>
        <v>6500</v>
      </c>
      <c r="AU130" s="492">
        <f t="shared" ref="AU130:AV135" si="151">L130+AB130</f>
        <v>377368</v>
      </c>
      <c r="AV130" s="492">
        <f t="shared" si="151"/>
        <v>22199</v>
      </c>
      <c r="AW130" s="492">
        <f t="shared" si="101"/>
        <v>9900</v>
      </c>
      <c r="AX130" s="493">
        <f t="shared" si="102"/>
        <v>2.4908999999999999</v>
      </c>
      <c r="AY130" s="493">
        <f t="shared" ref="AY130:AZ135" si="152">P130+AO130</f>
        <v>1.98</v>
      </c>
      <c r="AZ130" s="495">
        <f t="shared" si="152"/>
        <v>0.51090000000000002</v>
      </c>
    </row>
    <row r="131" spans="1:52" s="238" customFormat="1" x14ac:dyDescent="0.2">
      <c r="A131" s="225">
        <v>24</v>
      </c>
      <c r="B131" s="226">
        <v>4429</v>
      </c>
      <c r="C131" s="226">
        <v>600074595</v>
      </c>
      <c r="D131" s="226">
        <v>70698520</v>
      </c>
      <c r="E131" s="224" t="s">
        <v>195</v>
      </c>
      <c r="F131" s="226">
        <v>3117</v>
      </c>
      <c r="G131" s="176" t="s">
        <v>315</v>
      </c>
      <c r="H131" s="227" t="s">
        <v>278</v>
      </c>
      <c r="I131" s="494">
        <v>3285648</v>
      </c>
      <c r="J131" s="489">
        <v>2366480</v>
      </c>
      <c r="K131" s="489">
        <v>6500</v>
      </c>
      <c r="L131" s="489">
        <v>802068</v>
      </c>
      <c r="M131" s="489">
        <v>47330</v>
      </c>
      <c r="N131" s="489">
        <v>63270</v>
      </c>
      <c r="O131" s="490">
        <v>4.9321999999999999</v>
      </c>
      <c r="P131" s="491">
        <v>3.5354000000000001</v>
      </c>
      <c r="Q131" s="500">
        <v>1.3968</v>
      </c>
      <c r="R131" s="502">
        <f t="shared" si="86"/>
        <v>0</v>
      </c>
      <c r="S131" s="492">
        <v>0</v>
      </c>
      <c r="T131" s="492">
        <v>0</v>
      </c>
      <c r="U131" s="492">
        <v>0</v>
      </c>
      <c r="V131" s="492">
        <f t="shared" si="87"/>
        <v>0</v>
      </c>
      <c r="W131" s="492">
        <v>0</v>
      </c>
      <c r="X131" s="492">
        <v>0</v>
      </c>
      <c r="Y131" s="492">
        <v>0</v>
      </c>
      <c r="Z131" s="492">
        <f t="shared" si="88"/>
        <v>0</v>
      </c>
      <c r="AA131" s="492">
        <f t="shared" si="89"/>
        <v>0</v>
      </c>
      <c r="AB131" s="74">
        <f t="shared" si="90"/>
        <v>0</v>
      </c>
      <c r="AC131" s="74">
        <f t="shared" si="91"/>
        <v>0</v>
      </c>
      <c r="AD131" s="492">
        <v>0</v>
      </c>
      <c r="AE131" s="492">
        <v>0</v>
      </c>
      <c r="AF131" s="492">
        <f t="shared" si="92"/>
        <v>0</v>
      </c>
      <c r="AG131" s="492">
        <f t="shared" si="93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 t="shared" si="148"/>
        <v>0</v>
      </c>
      <c r="AP131" s="493">
        <f t="shared" si="149"/>
        <v>0</v>
      </c>
      <c r="AQ131" s="495">
        <f t="shared" si="96"/>
        <v>0</v>
      </c>
      <c r="AR131" s="501">
        <f t="shared" si="97"/>
        <v>3285648</v>
      </c>
      <c r="AS131" s="492">
        <f t="shared" si="98"/>
        <v>2366480</v>
      </c>
      <c r="AT131" s="492">
        <f t="shared" si="150"/>
        <v>6500</v>
      </c>
      <c r="AU131" s="492">
        <f t="shared" si="151"/>
        <v>802068</v>
      </c>
      <c r="AV131" s="492">
        <f t="shared" si="151"/>
        <v>47330</v>
      </c>
      <c r="AW131" s="492">
        <f t="shared" si="101"/>
        <v>63270</v>
      </c>
      <c r="AX131" s="493">
        <f t="shared" si="102"/>
        <v>4.9321999999999999</v>
      </c>
      <c r="AY131" s="493">
        <f t="shared" si="152"/>
        <v>3.5354000000000001</v>
      </c>
      <c r="AZ131" s="495">
        <f t="shared" si="152"/>
        <v>1.3968</v>
      </c>
    </row>
    <row r="132" spans="1:52" s="238" customFormat="1" x14ac:dyDescent="0.2">
      <c r="A132" s="225">
        <v>24</v>
      </c>
      <c r="B132" s="226">
        <v>4429</v>
      </c>
      <c r="C132" s="226">
        <v>600074595</v>
      </c>
      <c r="D132" s="226">
        <v>70698520</v>
      </c>
      <c r="E132" s="224" t="s">
        <v>195</v>
      </c>
      <c r="F132" s="226">
        <v>3117</v>
      </c>
      <c r="G132" s="176" t="s">
        <v>313</v>
      </c>
      <c r="H132" s="227" t="s">
        <v>279</v>
      </c>
      <c r="I132" s="494">
        <v>1207596</v>
      </c>
      <c r="J132" s="489">
        <v>889246</v>
      </c>
      <c r="K132" s="489">
        <v>0</v>
      </c>
      <c r="L132" s="489">
        <v>300565</v>
      </c>
      <c r="M132" s="489">
        <v>17785</v>
      </c>
      <c r="N132" s="489">
        <v>0</v>
      </c>
      <c r="O132" s="490">
        <v>2.5499999999999998</v>
      </c>
      <c r="P132" s="491">
        <v>2.5499999999999998</v>
      </c>
      <c r="Q132" s="500">
        <v>0</v>
      </c>
      <c r="R132" s="502">
        <f t="shared" si="86"/>
        <v>0</v>
      </c>
      <c r="S132" s="492">
        <v>0</v>
      </c>
      <c r="T132" s="492">
        <v>0</v>
      </c>
      <c r="U132" s="492">
        <v>0</v>
      </c>
      <c r="V132" s="492">
        <f t="shared" si="87"/>
        <v>0</v>
      </c>
      <c r="W132" s="492">
        <v>0</v>
      </c>
      <c r="X132" s="492">
        <v>0</v>
      </c>
      <c r="Y132" s="492">
        <v>0</v>
      </c>
      <c r="Z132" s="492">
        <f t="shared" si="88"/>
        <v>0</v>
      </c>
      <c r="AA132" s="492">
        <f t="shared" si="89"/>
        <v>0</v>
      </c>
      <c r="AB132" s="74">
        <f t="shared" si="90"/>
        <v>0</v>
      </c>
      <c r="AC132" s="74">
        <f t="shared" si="91"/>
        <v>0</v>
      </c>
      <c r="AD132" s="492">
        <v>0</v>
      </c>
      <c r="AE132" s="492">
        <v>0</v>
      </c>
      <c r="AF132" s="492">
        <f t="shared" si="92"/>
        <v>0</v>
      </c>
      <c r="AG132" s="492">
        <f t="shared" si="93"/>
        <v>0</v>
      </c>
      <c r="AH132" s="493">
        <v>0</v>
      </c>
      <c r="AI132" s="493">
        <v>0</v>
      </c>
      <c r="AJ132" s="493">
        <v>0</v>
      </c>
      <c r="AK132" s="493">
        <v>0</v>
      </c>
      <c r="AL132" s="493">
        <v>0</v>
      </c>
      <c r="AM132" s="493">
        <v>0</v>
      </c>
      <c r="AN132" s="493">
        <v>0</v>
      </c>
      <c r="AO132" s="493">
        <f t="shared" si="148"/>
        <v>0</v>
      </c>
      <c r="AP132" s="493">
        <f t="shared" si="149"/>
        <v>0</v>
      </c>
      <c r="AQ132" s="495">
        <f t="shared" si="96"/>
        <v>0</v>
      </c>
      <c r="AR132" s="501">
        <f t="shared" si="97"/>
        <v>1207596</v>
      </c>
      <c r="AS132" s="492">
        <f t="shared" si="98"/>
        <v>889246</v>
      </c>
      <c r="AT132" s="492">
        <f t="shared" si="150"/>
        <v>0</v>
      </c>
      <c r="AU132" s="492">
        <f t="shared" si="151"/>
        <v>300565</v>
      </c>
      <c r="AV132" s="492">
        <f t="shared" si="151"/>
        <v>17785</v>
      </c>
      <c r="AW132" s="492">
        <f t="shared" si="101"/>
        <v>0</v>
      </c>
      <c r="AX132" s="493">
        <f t="shared" si="102"/>
        <v>2.5499999999999998</v>
      </c>
      <c r="AY132" s="493">
        <f t="shared" si="152"/>
        <v>2.5499999999999998</v>
      </c>
      <c r="AZ132" s="495">
        <f t="shared" si="152"/>
        <v>0</v>
      </c>
    </row>
    <row r="133" spans="1:52" s="238" customFormat="1" x14ac:dyDescent="0.2">
      <c r="A133" s="225">
        <v>24</v>
      </c>
      <c r="B133" s="226">
        <v>4429</v>
      </c>
      <c r="C133" s="226">
        <v>600074595</v>
      </c>
      <c r="D133" s="226">
        <v>70698520</v>
      </c>
      <c r="E133" s="224" t="s">
        <v>195</v>
      </c>
      <c r="F133" s="226">
        <v>3141</v>
      </c>
      <c r="G133" s="176" t="s">
        <v>316</v>
      </c>
      <c r="H133" s="227" t="s">
        <v>279</v>
      </c>
      <c r="I133" s="494">
        <v>665827</v>
      </c>
      <c r="J133" s="489">
        <v>488335</v>
      </c>
      <c r="K133" s="489">
        <v>0</v>
      </c>
      <c r="L133" s="489">
        <v>165057</v>
      </c>
      <c r="M133" s="489">
        <v>9767</v>
      </c>
      <c r="N133" s="489">
        <v>2668</v>
      </c>
      <c r="O133" s="490">
        <v>1.54</v>
      </c>
      <c r="P133" s="491">
        <v>0</v>
      </c>
      <c r="Q133" s="500">
        <v>1.54</v>
      </c>
      <c r="R133" s="502">
        <f t="shared" si="86"/>
        <v>0</v>
      </c>
      <c r="S133" s="492">
        <v>0</v>
      </c>
      <c r="T133" s="492">
        <v>0</v>
      </c>
      <c r="U133" s="492">
        <v>0</v>
      </c>
      <c r="V133" s="492">
        <f t="shared" si="87"/>
        <v>0</v>
      </c>
      <c r="W133" s="492">
        <v>0</v>
      </c>
      <c r="X133" s="492">
        <v>0</v>
      </c>
      <c r="Y133" s="492">
        <v>0</v>
      </c>
      <c r="Z133" s="492">
        <f t="shared" si="88"/>
        <v>0</v>
      </c>
      <c r="AA133" s="492">
        <f t="shared" si="89"/>
        <v>0</v>
      </c>
      <c r="AB133" s="74">
        <f t="shared" si="90"/>
        <v>0</v>
      </c>
      <c r="AC133" s="74">
        <f t="shared" si="91"/>
        <v>0</v>
      </c>
      <c r="AD133" s="492">
        <v>0</v>
      </c>
      <c r="AE133" s="492">
        <v>0</v>
      </c>
      <c r="AF133" s="492">
        <f t="shared" si="92"/>
        <v>0</v>
      </c>
      <c r="AG133" s="492">
        <f t="shared" si="93"/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 t="shared" si="148"/>
        <v>0</v>
      </c>
      <c r="AP133" s="493">
        <f t="shared" si="149"/>
        <v>0</v>
      </c>
      <c r="AQ133" s="495">
        <f t="shared" si="96"/>
        <v>0</v>
      </c>
      <c r="AR133" s="501">
        <f t="shared" si="97"/>
        <v>665827</v>
      </c>
      <c r="AS133" s="492">
        <f t="shared" si="98"/>
        <v>488335</v>
      </c>
      <c r="AT133" s="492">
        <f t="shared" si="150"/>
        <v>0</v>
      </c>
      <c r="AU133" s="492">
        <f t="shared" si="151"/>
        <v>165057</v>
      </c>
      <c r="AV133" s="492">
        <f t="shared" si="151"/>
        <v>9767</v>
      </c>
      <c r="AW133" s="492">
        <f t="shared" si="101"/>
        <v>2668</v>
      </c>
      <c r="AX133" s="493">
        <f t="shared" si="102"/>
        <v>1.54</v>
      </c>
      <c r="AY133" s="493">
        <f t="shared" si="152"/>
        <v>0</v>
      </c>
      <c r="AZ133" s="495">
        <f t="shared" si="152"/>
        <v>1.54</v>
      </c>
    </row>
    <row r="134" spans="1:52" s="238" customFormat="1" x14ac:dyDescent="0.2">
      <c r="A134" s="225">
        <v>24</v>
      </c>
      <c r="B134" s="226">
        <v>4429</v>
      </c>
      <c r="C134" s="226">
        <v>600074595</v>
      </c>
      <c r="D134" s="226">
        <v>70698520</v>
      </c>
      <c r="E134" s="224" t="s">
        <v>195</v>
      </c>
      <c r="F134" s="226">
        <v>3143</v>
      </c>
      <c r="G134" s="176" t="s">
        <v>629</v>
      </c>
      <c r="H134" s="243" t="s">
        <v>278</v>
      </c>
      <c r="I134" s="494">
        <v>883485</v>
      </c>
      <c r="J134" s="489">
        <v>650578</v>
      </c>
      <c r="K134" s="489">
        <v>0</v>
      </c>
      <c r="L134" s="489">
        <v>219895</v>
      </c>
      <c r="M134" s="489">
        <v>13012</v>
      </c>
      <c r="N134" s="489">
        <v>0</v>
      </c>
      <c r="O134" s="490">
        <v>1.4910000000000001</v>
      </c>
      <c r="P134" s="491">
        <v>1.4910000000000001</v>
      </c>
      <c r="Q134" s="500">
        <v>0</v>
      </c>
      <c r="R134" s="502">
        <f t="shared" si="86"/>
        <v>0</v>
      </c>
      <c r="S134" s="492">
        <v>0</v>
      </c>
      <c r="T134" s="492">
        <v>0</v>
      </c>
      <c r="U134" s="492">
        <v>0</v>
      </c>
      <c r="V134" s="492">
        <f t="shared" si="87"/>
        <v>0</v>
      </c>
      <c r="W134" s="492">
        <v>0</v>
      </c>
      <c r="X134" s="492">
        <v>0</v>
      </c>
      <c r="Y134" s="492">
        <v>0</v>
      </c>
      <c r="Z134" s="492">
        <f t="shared" si="88"/>
        <v>0</v>
      </c>
      <c r="AA134" s="492">
        <f t="shared" si="89"/>
        <v>0</v>
      </c>
      <c r="AB134" s="74">
        <f t="shared" si="90"/>
        <v>0</v>
      </c>
      <c r="AC134" s="74">
        <f t="shared" si="91"/>
        <v>0</v>
      </c>
      <c r="AD134" s="492">
        <v>0</v>
      </c>
      <c r="AE134" s="492">
        <v>0</v>
      </c>
      <c r="AF134" s="492">
        <f t="shared" si="92"/>
        <v>0</v>
      </c>
      <c r="AG134" s="492">
        <f t="shared" si="93"/>
        <v>0</v>
      </c>
      <c r="AH134" s="493">
        <v>0</v>
      </c>
      <c r="AI134" s="493">
        <v>0</v>
      </c>
      <c r="AJ134" s="493">
        <v>0</v>
      </c>
      <c r="AK134" s="493">
        <v>0</v>
      </c>
      <c r="AL134" s="493">
        <v>0</v>
      </c>
      <c r="AM134" s="493">
        <v>0</v>
      </c>
      <c r="AN134" s="493">
        <v>0</v>
      </c>
      <c r="AO134" s="493">
        <f t="shared" si="148"/>
        <v>0</v>
      </c>
      <c r="AP134" s="493">
        <f t="shared" si="149"/>
        <v>0</v>
      </c>
      <c r="AQ134" s="495">
        <f t="shared" si="96"/>
        <v>0</v>
      </c>
      <c r="AR134" s="501">
        <f t="shared" si="97"/>
        <v>883485</v>
      </c>
      <c r="AS134" s="492">
        <f t="shared" si="98"/>
        <v>650578</v>
      </c>
      <c r="AT134" s="492">
        <f t="shared" si="150"/>
        <v>0</v>
      </c>
      <c r="AU134" s="492">
        <f t="shared" si="151"/>
        <v>219895</v>
      </c>
      <c r="AV134" s="492">
        <f t="shared" si="151"/>
        <v>13012</v>
      </c>
      <c r="AW134" s="492">
        <f t="shared" si="101"/>
        <v>0</v>
      </c>
      <c r="AX134" s="493">
        <f t="shared" si="102"/>
        <v>1.4910000000000001</v>
      </c>
      <c r="AY134" s="493">
        <f t="shared" si="152"/>
        <v>1.4910000000000001</v>
      </c>
      <c r="AZ134" s="495">
        <f t="shared" si="152"/>
        <v>0</v>
      </c>
    </row>
    <row r="135" spans="1:52" s="238" customFormat="1" x14ac:dyDescent="0.2">
      <c r="A135" s="225">
        <v>24</v>
      </c>
      <c r="B135" s="226">
        <v>4429</v>
      </c>
      <c r="C135" s="226">
        <v>600074595</v>
      </c>
      <c r="D135" s="226">
        <v>70698520</v>
      </c>
      <c r="E135" s="224" t="s">
        <v>195</v>
      </c>
      <c r="F135" s="226">
        <v>3143</v>
      </c>
      <c r="G135" s="176" t="s">
        <v>630</v>
      </c>
      <c r="H135" s="243" t="s">
        <v>279</v>
      </c>
      <c r="I135" s="494">
        <v>20412</v>
      </c>
      <c r="J135" s="489">
        <v>14434</v>
      </c>
      <c r="K135" s="489">
        <v>0</v>
      </c>
      <c r="L135" s="489">
        <v>4879</v>
      </c>
      <c r="M135" s="489">
        <v>289</v>
      </c>
      <c r="N135" s="489">
        <v>810</v>
      </c>
      <c r="O135" s="490">
        <v>0.06</v>
      </c>
      <c r="P135" s="491">
        <v>0</v>
      </c>
      <c r="Q135" s="500">
        <v>0.06</v>
      </c>
      <c r="R135" s="502">
        <f t="shared" si="86"/>
        <v>0</v>
      </c>
      <c r="S135" s="492">
        <v>0</v>
      </c>
      <c r="T135" s="492">
        <v>0</v>
      </c>
      <c r="U135" s="492">
        <v>0</v>
      </c>
      <c r="V135" s="492">
        <f t="shared" si="87"/>
        <v>0</v>
      </c>
      <c r="W135" s="492">
        <v>0</v>
      </c>
      <c r="X135" s="492">
        <v>0</v>
      </c>
      <c r="Y135" s="492">
        <v>0</v>
      </c>
      <c r="Z135" s="492">
        <f t="shared" si="88"/>
        <v>0</v>
      </c>
      <c r="AA135" s="492">
        <f t="shared" si="89"/>
        <v>0</v>
      </c>
      <c r="AB135" s="74">
        <f t="shared" si="90"/>
        <v>0</v>
      </c>
      <c r="AC135" s="74">
        <f t="shared" si="91"/>
        <v>0</v>
      </c>
      <c r="AD135" s="492">
        <v>0</v>
      </c>
      <c r="AE135" s="492">
        <v>0</v>
      </c>
      <c r="AF135" s="492">
        <f t="shared" si="92"/>
        <v>0</v>
      </c>
      <c r="AG135" s="492">
        <f t="shared" si="93"/>
        <v>0</v>
      </c>
      <c r="AH135" s="493">
        <v>0</v>
      </c>
      <c r="AI135" s="493">
        <v>0</v>
      </c>
      <c r="AJ135" s="493">
        <v>0</v>
      </c>
      <c r="AK135" s="493">
        <v>0</v>
      </c>
      <c r="AL135" s="493">
        <v>0</v>
      </c>
      <c r="AM135" s="493">
        <v>0</v>
      </c>
      <c r="AN135" s="493">
        <v>0</v>
      </c>
      <c r="AO135" s="493">
        <f t="shared" si="148"/>
        <v>0</v>
      </c>
      <c r="AP135" s="493">
        <f t="shared" si="149"/>
        <v>0</v>
      </c>
      <c r="AQ135" s="495">
        <f t="shared" si="96"/>
        <v>0</v>
      </c>
      <c r="AR135" s="501">
        <f t="shared" si="97"/>
        <v>20412</v>
      </c>
      <c r="AS135" s="492">
        <f t="shared" si="98"/>
        <v>14434</v>
      </c>
      <c r="AT135" s="492">
        <f t="shared" si="150"/>
        <v>0</v>
      </c>
      <c r="AU135" s="492">
        <f t="shared" si="151"/>
        <v>4879</v>
      </c>
      <c r="AV135" s="492">
        <f t="shared" si="151"/>
        <v>289</v>
      </c>
      <c r="AW135" s="492">
        <f t="shared" si="101"/>
        <v>810</v>
      </c>
      <c r="AX135" s="493">
        <f t="shared" si="102"/>
        <v>0.06</v>
      </c>
      <c r="AY135" s="493">
        <f t="shared" si="152"/>
        <v>0</v>
      </c>
      <c r="AZ135" s="495">
        <f t="shared" si="152"/>
        <v>0.06</v>
      </c>
    </row>
    <row r="136" spans="1:52" s="238" customFormat="1" x14ac:dyDescent="0.2">
      <c r="A136" s="166">
        <v>24</v>
      </c>
      <c r="B136" s="20">
        <v>4429</v>
      </c>
      <c r="C136" s="20">
        <v>600074595</v>
      </c>
      <c r="D136" s="20">
        <v>70698520</v>
      </c>
      <c r="E136" s="175" t="s">
        <v>196</v>
      </c>
      <c r="F136" s="20"/>
      <c r="G136" s="165"/>
      <c r="H136" s="199"/>
      <c r="I136" s="553">
        <v>7588909</v>
      </c>
      <c r="J136" s="550">
        <v>5519047</v>
      </c>
      <c r="K136" s="550">
        <v>13000</v>
      </c>
      <c r="L136" s="550">
        <v>1869832</v>
      </c>
      <c r="M136" s="550">
        <v>110382</v>
      </c>
      <c r="N136" s="550">
        <v>76648</v>
      </c>
      <c r="O136" s="551">
        <v>13.064099999999998</v>
      </c>
      <c r="P136" s="551">
        <v>9.5564</v>
      </c>
      <c r="Q136" s="555">
        <v>3.5077000000000003</v>
      </c>
      <c r="R136" s="553">
        <f t="shared" ref="R136:AZ136" si="153">SUM(R130:R135)</f>
        <v>0</v>
      </c>
      <c r="S136" s="550">
        <f t="shared" si="153"/>
        <v>0</v>
      </c>
      <c r="T136" s="550">
        <f t="shared" si="153"/>
        <v>0</v>
      </c>
      <c r="U136" s="550">
        <f t="shared" si="153"/>
        <v>0</v>
      </c>
      <c r="V136" s="550">
        <f t="shared" si="153"/>
        <v>0</v>
      </c>
      <c r="W136" s="550">
        <f t="shared" si="153"/>
        <v>0</v>
      </c>
      <c r="X136" s="550">
        <f t="shared" si="153"/>
        <v>0</v>
      </c>
      <c r="Y136" s="550">
        <f t="shared" si="153"/>
        <v>0</v>
      </c>
      <c r="Z136" s="550">
        <f t="shared" si="153"/>
        <v>0</v>
      </c>
      <c r="AA136" s="550">
        <f t="shared" si="153"/>
        <v>0</v>
      </c>
      <c r="AB136" s="550">
        <f t="shared" si="153"/>
        <v>0</v>
      </c>
      <c r="AC136" s="550">
        <f t="shared" si="153"/>
        <v>0</v>
      </c>
      <c r="AD136" s="550">
        <f t="shared" si="153"/>
        <v>0</v>
      </c>
      <c r="AE136" s="550">
        <f t="shared" si="153"/>
        <v>0</v>
      </c>
      <c r="AF136" s="550">
        <f t="shared" si="153"/>
        <v>0</v>
      </c>
      <c r="AG136" s="550">
        <f t="shared" si="153"/>
        <v>0</v>
      </c>
      <c r="AH136" s="551">
        <f t="shared" si="153"/>
        <v>0</v>
      </c>
      <c r="AI136" s="551">
        <f t="shared" si="153"/>
        <v>0</v>
      </c>
      <c r="AJ136" s="551">
        <f t="shared" si="153"/>
        <v>0</v>
      </c>
      <c r="AK136" s="551">
        <f t="shared" si="153"/>
        <v>0</v>
      </c>
      <c r="AL136" s="551">
        <f t="shared" si="153"/>
        <v>0</v>
      </c>
      <c r="AM136" s="551">
        <f t="shared" si="153"/>
        <v>0</v>
      </c>
      <c r="AN136" s="551">
        <f t="shared" si="153"/>
        <v>0</v>
      </c>
      <c r="AO136" s="551">
        <f t="shared" si="153"/>
        <v>0</v>
      </c>
      <c r="AP136" s="551">
        <f t="shared" si="153"/>
        <v>0</v>
      </c>
      <c r="AQ136" s="44">
        <f t="shared" si="153"/>
        <v>0</v>
      </c>
      <c r="AR136" s="557">
        <f t="shared" si="153"/>
        <v>7588909</v>
      </c>
      <c r="AS136" s="550">
        <f t="shared" si="153"/>
        <v>5519047</v>
      </c>
      <c r="AT136" s="550">
        <f t="shared" si="153"/>
        <v>13000</v>
      </c>
      <c r="AU136" s="550">
        <f t="shared" si="153"/>
        <v>1869832</v>
      </c>
      <c r="AV136" s="550">
        <f t="shared" si="153"/>
        <v>110382</v>
      </c>
      <c r="AW136" s="550">
        <f t="shared" si="153"/>
        <v>76648</v>
      </c>
      <c r="AX136" s="551">
        <f t="shared" si="153"/>
        <v>13.064099999999998</v>
      </c>
      <c r="AY136" s="551">
        <f t="shared" si="153"/>
        <v>9.5564</v>
      </c>
      <c r="AZ136" s="44">
        <f t="shared" si="153"/>
        <v>3.5077000000000003</v>
      </c>
    </row>
    <row r="137" spans="1:52" s="238" customFormat="1" x14ac:dyDescent="0.2">
      <c r="A137" s="225">
        <v>25</v>
      </c>
      <c r="B137" s="226">
        <v>4452</v>
      </c>
      <c r="C137" s="226">
        <v>600074919</v>
      </c>
      <c r="D137" s="226">
        <v>70698511</v>
      </c>
      <c r="E137" s="224" t="s">
        <v>197</v>
      </c>
      <c r="F137" s="226">
        <v>3113</v>
      </c>
      <c r="G137" s="176" t="s">
        <v>315</v>
      </c>
      <c r="H137" s="227" t="s">
        <v>278</v>
      </c>
      <c r="I137" s="494">
        <v>32502561</v>
      </c>
      <c r="J137" s="489">
        <v>23389042</v>
      </c>
      <c r="K137" s="489">
        <v>19500</v>
      </c>
      <c r="L137" s="489">
        <v>7912088</v>
      </c>
      <c r="M137" s="489">
        <v>467781</v>
      </c>
      <c r="N137" s="489">
        <v>714150</v>
      </c>
      <c r="O137" s="490">
        <v>39.567299999999996</v>
      </c>
      <c r="P137" s="491">
        <v>30.0047</v>
      </c>
      <c r="Q137" s="500">
        <v>9.5625999999999998</v>
      </c>
      <c r="R137" s="502">
        <f t="shared" si="86"/>
        <v>0</v>
      </c>
      <c r="S137" s="492">
        <v>0</v>
      </c>
      <c r="T137" s="492">
        <v>0</v>
      </c>
      <c r="U137" s="492">
        <v>78408</v>
      </c>
      <c r="V137" s="492">
        <f t="shared" si="87"/>
        <v>78408</v>
      </c>
      <c r="W137" s="492">
        <v>0</v>
      </c>
      <c r="X137" s="492">
        <v>0</v>
      </c>
      <c r="Y137" s="492">
        <v>0</v>
      </c>
      <c r="Z137" s="492">
        <f t="shared" si="88"/>
        <v>0</v>
      </c>
      <c r="AA137" s="492">
        <f t="shared" si="89"/>
        <v>78408</v>
      </c>
      <c r="AB137" s="74">
        <f t="shared" si="90"/>
        <v>26502</v>
      </c>
      <c r="AC137" s="74">
        <f t="shared" si="91"/>
        <v>1568</v>
      </c>
      <c r="AD137" s="492">
        <v>0</v>
      </c>
      <c r="AE137" s="492">
        <v>0</v>
      </c>
      <c r="AF137" s="492">
        <f t="shared" si="92"/>
        <v>0</v>
      </c>
      <c r="AG137" s="492">
        <f t="shared" si="93"/>
        <v>106478</v>
      </c>
      <c r="AH137" s="493">
        <v>0</v>
      </c>
      <c r="AI137" s="493">
        <v>0</v>
      </c>
      <c r="AJ137" s="493">
        <v>0</v>
      </c>
      <c r="AK137" s="493">
        <v>0</v>
      </c>
      <c r="AL137" s="493">
        <v>0</v>
      </c>
      <c r="AM137" s="493">
        <v>0.13</v>
      </c>
      <c r="AN137" s="493">
        <v>0</v>
      </c>
      <c r="AO137" s="493">
        <f t="shared" ref="AO137:AO142" si="154">AH137+AJ137+AM137+AK137</f>
        <v>0.13</v>
      </c>
      <c r="AP137" s="493">
        <f t="shared" ref="AP137:AP142" si="155">AI137+AN137+AL137</f>
        <v>0</v>
      </c>
      <c r="AQ137" s="495">
        <f t="shared" si="96"/>
        <v>0.13</v>
      </c>
      <c r="AR137" s="501">
        <f t="shared" si="97"/>
        <v>32609039</v>
      </c>
      <c r="AS137" s="492">
        <f t="shared" si="98"/>
        <v>23467450</v>
      </c>
      <c r="AT137" s="492">
        <f t="shared" ref="AT137:AT142" si="156">K137+Z137</f>
        <v>19500</v>
      </c>
      <c r="AU137" s="492">
        <f t="shared" ref="AU137:AV142" si="157">L137+AB137</f>
        <v>7938590</v>
      </c>
      <c r="AV137" s="492">
        <f t="shared" si="157"/>
        <v>469349</v>
      </c>
      <c r="AW137" s="492">
        <f t="shared" si="101"/>
        <v>714150</v>
      </c>
      <c r="AX137" s="493">
        <f t="shared" si="102"/>
        <v>39.697299999999998</v>
      </c>
      <c r="AY137" s="493">
        <f t="shared" ref="AY137:AZ142" si="158">P137+AO137</f>
        <v>30.134699999999999</v>
      </c>
      <c r="AZ137" s="495">
        <f t="shared" si="158"/>
        <v>9.5625999999999998</v>
      </c>
    </row>
    <row r="138" spans="1:52" s="238" customFormat="1" x14ac:dyDescent="0.2">
      <c r="A138" s="225">
        <v>25</v>
      </c>
      <c r="B138" s="226">
        <v>4452</v>
      </c>
      <c r="C138" s="226">
        <v>600074919</v>
      </c>
      <c r="D138" s="226">
        <v>70698511</v>
      </c>
      <c r="E138" s="224" t="s">
        <v>197</v>
      </c>
      <c r="F138" s="226">
        <v>3113</v>
      </c>
      <c r="G138" s="176" t="s">
        <v>314</v>
      </c>
      <c r="H138" s="227" t="s">
        <v>278</v>
      </c>
      <c r="I138" s="494">
        <v>257639</v>
      </c>
      <c r="J138" s="489">
        <v>189720</v>
      </c>
      <c r="K138" s="489">
        <v>0</v>
      </c>
      <c r="L138" s="489">
        <v>64125</v>
      </c>
      <c r="M138" s="489">
        <v>3794</v>
      </c>
      <c r="N138" s="489">
        <v>0</v>
      </c>
      <c r="O138" s="490">
        <v>0.5</v>
      </c>
      <c r="P138" s="491">
        <v>0.5</v>
      </c>
      <c r="Q138" s="500">
        <v>0</v>
      </c>
      <c r="R138" s="502">
        <f t="shared" si="86"/>
        <v>0</v>
      </c>
      <c r="S138" s="492">
        <v>0</v>
      </c>
      <c r="T138" s="492">
        <v>0</v>
      </c>
      <c r="U138" s="492">
        <v>0</v>
      </c>
      <c r="V138" s="492">
        <f t="shared" si="87"/>
        <v>0</v>
      </c>
      <c r="W138" s="492">
        <v>0</v>
      </c>
      <c r="X138" s="492">
        <v>0</v>
      </c>
      <c r="Y138" s="492">
        <v>0</v>
      </c>
      <c r="Z138" s="492">
        <f t="shared" si="88"/>
        <v>0</v>
      </c>
      <c r="AA138" s="492">
        <f t="shared" si="89"/>
        <v>0</v>
      </c>
      <c r="AB138" s="74">
        <f t="shared" si="90"/>
        <v>0</v>
      </c>
      <c r="AC138" s="74">
        <f t="shared" si="91"/>
        <v>0</v>
      </c>
      <c r="AD138" s="492">
        <v>0</v>
      </c>
      <c r="AE138" s="492">
        <v>0</v>
      </c>
      <c r="AF138" s="492">
        <f t="shared" si="92"/>
        <v>0</v>
      </c>
      <c r="AG138" s="492">
        <f t="shared" si="93"/>
        <v>0</v>
      </c>
      <c r="AH138" s="493">
        <v>0</v>
      </c>
      <c r="AI138" s="493">
        <v>0</v>
      </c>
      <c r="AJ138" s="493">
        <v>0</v>
      </c>
      <c r="AK138" s="493">
        <v>0</v>
      </c>
      <c r="AL138" s="493">
        <v>0</v>
      </c>
      <c r="AM138" s="493">
        <v>0</v>
      </c>
      <c r="AN138" s="493">
        <v>0</v>
      </c>
      <c r="AO138" s="493">
        <f t="shared" si="154"/>
        <v>0</v>
      </c>
      <c r="AP138" s="493">
        <f t="shared" si="155"/>
        <v>0</v>
      </c>
      <c r="AQ138" s="495">
        <f t="shared" si="96"/>
        <v>0</v>
      </c>
      <c r="AR138" s="501">
        <f t="shared" si="97"/>
        <v>257639</v>
      </c>
      <c r="AS138" s="492">
        <f t="shared" si="98"/>
        <v>189720</v>
      </c>
      <c r="AT138" s="492">
        <f t="shared" si="156"/>
        <v>0</v>
      </c>
      <c r="AU138" s="492">
        <f t="shared" si="157"/>
        <v>64125</v>
      </c>
      <c r="AV138" s="492">
        <f t="shared" si="157"/>
        <v>3794</v>
      </c>
      <c r="AW138" s="492">
        <f t="shared" si="101"/>
        <v>0</v>
      </c>
      <c r="AX138" s="493">
        <f t="shared" si="102"/>
        <v>0.5</v>
      </c>
      <c r="AY138" s="493">
        <f t="shared" si="158"/>
        <v>0.5</v>
      </c>
      <c r="AZ138" s="495">
        <f t="shared" si="158"/>
        <v>0</v>
      </c>
    </row>
    <row r="139" spans="1:52" s="238" customFormat="1" x14ac:dyDescent="0.2">
      <c r="A139" s="225">
        <v>25</v>
      </c>
      <c r="B139" s="226">
        <v>4452</v>
      </c>
      <c r="C139" s="226">
        <v>600074919</v>
      </c>
      <c r="D139" s="226">
        <v>70698511</v>
      </c>
      <c r="E139" s="224" t="s">
        <v>197</v>
      </c>
      <c r="F139" s="226">
        <v>3113</v>
      </c>
      <c r="G139" s="176" t="s">
        <v>313</v>
      </c>
      <c r="H139" s="227" t="s">
        <v>279</v>
      </c>
      <c r="I139" s="494">
        <v>1576997</v>
      </c>
      <c r="J139" s="489">
        <v>1159239</v>
      </c>
      <c r="K139" s="489">
        <v>0</v>
      </c>
      <c r="L139" s="489">
        <v>391823</v>
      </c>
      <c r="M139" s="489">
        <v>23185</v>
      </c>
      <c r="N139" s="489">
        <v>2750</v>
      </c>
      <c r="O139" s="490">
        <v>3.23</v>
      </c>
      <c r="P139" s="491">
        <v>3.23</v>
      </c>
      <c r="Q139" s="500">
        <v>0</v>
      </c>
      <c r="R139" s="502">
        <f t="shared" si="86"/>
        <v>0</v>
      </c>
      <c r="S139" s="492">
        <v>0</v>
      </c>
      <c r="T139" s="492">
        <v>0</v>
      </c>
      <c r="U139" s="492">
        <v>0</v>
      </c>
      <c r="V139" s="492">
        <f t="shared" si="87"/>
        <v>0</v>
      </c>
      <c r="W139" s="492">
        <v>0</v>
      </c>
      <c r="X139" s="492">
        <v>0</v>
      </c>
      <c r="Y139" s="492">
        <v>0</v>
      </c>
      <c r="Z139" s="492">
        <f t="shared" si="88"/>
        <v>0</v>
      </c>
      <c r="AA139" s="492">
        <f t="shared" si="89"/>
        <v>0</v>
      </c>
      <c r="AB139" s="74">
        <f t="shared" si="90"/>
        <v>0</v>
      </c>
      <c r="AC139" s="74">
        <f t="shared" si="91"/>
        <v>0</v>
      </c>
      <c r="AD139" s="492">
        <v>0</v>
      </c>
      <c r="AE139" s="492">
        <v>0</v>
      </c>
      <c r="AF139" s="492">
        <f t="shared" si="92"/>
        <v>0</v>
      </c>
      <c r="AG139" s="492">
        <f t="shared" si="93"/>
        <v>0</v>
      </c>
      <c r="AH139" s="493">
        <v>0</v>
      </c>
      <c r="AI139" s="493">
        <v>0</v>
      </c>
      <c r="AJ139" s="493">
        <v>0</v>
      </c>
      <c r="AK139" s="493">
        <v>0</v>
      </c>
      <c r="AL139" s="493">
        <v>0</v>
      </c>
      <c r="AM139" s="493">
        <v>0</v>
      </c>
      <c r="AN139" s="493">
        <v>0</v>
      </c>
      <c r="AO139" s="493">
        <f t="shared" si="154"/>
        <v>0</v>
      </c>
      <c r="AP139" s="493">
        <f t="shared" si="155"/>
        <v>0</v>
      </c>
      <c r="AQ139" s="495">
        <f t="shared" si="96"/>
        <v>0</v>
      </c>
      <c r="AR139" s="501">
        <f t="shared" si="97"/>
        <v>1576997</v>
      </c>
      <c r="AS139" s="492">
        <f t="shared" si="98"/>
        <v>1159239</v>
      </c>
      <c r="AT139" s="492">
        <f t="shared" si="156"/>
        <v>0</v>
      </c>
      <c r="AU139" s="492">
        <f t="shared" si="157"/>
        <v>391823</v>
      </c>
      <c r="AV139" s="492">
        <f t="shared" si="157"/>
        <v>23185</v>
      </c>
      <c r="AW139" s="492">
        <f t="shared" si="101"/>
        <v>2750</v>
      </c>
      <c r="AX139" s="493">
        <f t="shared" si="102"/>
        <v>3.23</v>
      </c>
      <c r="AY139" s="493">
        <f t="shared" si="158"/>
        <v>3.23</v>
      </c>
      <c r="AZ139" s="495">
        <f t="shared" si="158"/>
        <v>0</v>
      </c>
    </row>
    <row r="140" spans="1:52" s="238" customFormat="1" x14ac:dyDescent="0.2">
      <c r="A140" s="225">
        <v>25</v>
      </c>
      <c r="B140" s="226">
        <v>4452</v>
      </c>
      <c r="C140" s="226">
        <v>600074919</v>
      </c>
      <c r="D140" s="226">
        <v>70698511</v>
      </c>
      <c r="E140" s="224" t="s">
        <v>197</v>
      </c>
      <c r="F140" s="226">
        <v>3141</v>
      </c>
      <c r="G140" s="176" t="s">
        <v>316</v>
      </c>
      <c r="H140" s="227" t="s">
        <v>279</v>
      </c>
      <c r="I140" s="494">
        <v>2085241</v>
      </c>
      <c r="J140" s="489">
        <v>1522753</v>
      </c>
      <c r="K140" s="489">
        <v>0</v>
      </c>
      <c r="L140" s="489">
        <v>514691</v>
      </c>
      <c r="M140" s="489">
        <v>30455</v>
      </c>
      <c r="N140" s="489">
        <v>17342</v>
      </c>
      <c r="O140" s="490">
        <v>4.8</v>
      </c>
      <c r="P140" s="491">
        <v>0</v>
      </c>
      <c r="Q140" s="500">
        <v>4.8</v>
      </c>
      <c r="R140" s="502">
        <f t="shared" si="86"/>
        <v>0</v>
      </c>
      <c r="S140" s="492">
        <v>0</v>
      </c>
      <c r="T140" s="492">
        <v>0</v>
      </c>
      <c r="U140" s="492">
        <v>0</v>
      </c>
      <c r="V140" s="492">
        <f t="shared" si="87"/>
        <v>0</v>
      </c>
      <c r="W140" s="492">
        <v>0</v>
      </c>
      <c r="X140" s="492">
        <v>0</v>
      </c>
      <c r="Y140" s="492">
        <v>0</v>
      </c>
      <c r="Z140" s="492">
        <f t="shared" si="88"/>
        <v>0</v>
      </c>
      <c r="AA140" s="492">
        <f t="shared" si="89"/>
        <v>0</v>
      </c>
      <c r="AB140" s="74">
        <f t="shared" si="90"/>
        <v>0</v>
      </c>
      <c r="AC140" s="74">
        <f t="shared" si="91"/>
        <v>0</v>
      </c>
      <c r="AD140" s="492">
        <v>0</v>
      </c>
      <c r="AE140" s="492">
        <v>0</v>
      </c>
      <c r="AF140" s="492">
        <f t="shared" si="92"/>
        <v>0</v>
      </c>
      <c r="AG140" s="492">
        <f t="shared" si="93"/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154"/>
        <v>0</v>
      </c>
      <c r="AP140" s="493">
        <f t="shared" si="155"/>
        <v>0</v>
      </c>
      <c r="AQ140" s="495">
        <f t="shared" si="96"/>
        <v>0</v>
      </c>
      <c r="AR140" s="501">
        <f t="shared" si="97"/>
        <v>2085241</v>
      </c>
      <c r="AS140" s="492">
        <f t="shared" si="98"/>
        <v>1522753</v>
      </c>
      <c r="AT140" s="492">
        <f t="shared" si="156"/>
        <v>0</v>
      </c>
      <c r="AU140" s="492">
        <f t="shared" si="157"/>
        <v>514691</v>
      </c>
      <c r="AV140" s="492">
        <f t="shared" si="157"/>
        <v>30455</v>
      </c>
      <c r="AW140" s="492">
        <f t="shared" si="101"/>
        <v>17342</v>
      </c>
      <c r="AX140" s="493">
        <f t="shared" si="102"/>
        <v>4.8</v>
      </c>
      <c r="AY140" s="493">
        <f t="shared" si="158"/>
        <v>0</v>
      </c>
      <c r="AZ140" s="495">
        <f t="shared" si="158"/>
        <v>4.8</v>
      </c>
    </row>
    <row r="141" spans="1:52" s="238" customFormat="1" x14ac:dyDescent="0.2">
      <c r="A141" s="225">
        <v>25</v>
      </c>
      <c r="B141" s="226">
        <v>4452</v>
      </c>
      <c r="C141" s="226">
        <v>600074919</v>
      </c>
      <c r="D141" s="226">
        <v>70698511</v>
      </c>
      <c r="E141" s="219" t="s">
        <v>197</v>
      </c>
      <c r="F141" s="226">
        <v>3143</v>
      </c>
      <c r="G141" s="176" t="s">
        <v>629</v>
      </c>
      <c r="H141" s="243" t="s">
        <v>278</v>
      </c>
      <c r="I141" s="494">
        <v>1674675</v>
      </c>
      <c r="J141" s="489">
        <v>1233192</v>
      </c>
      <c r="K141" s="489">
        <v>0</v>
      </c>
      <c r="L141" s="489">
        <v>416819</v>
      </c>
      <c r="M141" s="489">
        <v>24664</v>
      </c>
      <c r="N141" s="489">
        <v>0</v>
      </c>
      <c r="O141" s="490">
        <v>2.4784999999999999</v>
      </c>
      <c r="P141" s="491">
        <v>2.4784999999999999</v>
      </c>
      <c r="Q141" s="500">
        <v>0</v>
      </c>
      <c r="R141" s="502">
        <f t="shared" si="86"/>
        <v>0</v>
      </c>
      <c r="S141" s="492">
        <v>0</v>
      </c>
      <c r="T141" s="492">
        <v>0</v>
      </c>
      <c r="U141" s="492">
        <v>0</v>
      </c>
      <c r="V141" s="492">
        <f t="shared" si="87"/>
        <v>0</v>
      </c>
      <c r="W141" s="492">
        <v>0</v>
      </c>
      <c r="X141" s="492">
        <v>0</v>
      </c>
      <c r="Y141" s="492">
        <v>0</v>
      </c>
      <c r="Z141" s="492">
        <f t="shared" si="88"/>
        <v>0</v>
      </c>
      <c r="AA141" s="492">
        <f t="shared" si="89"/>
        <v>0</v>
      </c>
      <c r="AB141" s="74">
        <f t="shared" si="90"/>
        <v>0</v>
      </c>
      <c r="AC141" s="74">
        <f t="shared" si="91"/>
        <v>0</v>
      </c>
      <c r="AD141" s="492">
        <v>0</v>
      </c>
      <c r="AE141" s="492">
        <v>0</v>
      </c>
      <c r="AF141" s="492">
        <f t="shared" si="92"/>
        <v>0</v>
      </c>
      <c r="AG141" s="492">
        <f t="shared" si="93"/>
        <v>0</v>
      </c>
      <c r="AH141" s="493">
        <v>0</v>
      </c>
      <c r="AI141" s="493">
        <v>0</v>
      </c>
      <c r="AJ141" s="493">
        <v>0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si="154"/>
        <v>0</v>
      </c>
      <c r="AP141" s="493">
        <f t="shared" si="155"/>
        <v>0</v>
      </c>
      <c r="AQ141" s="495">
        <f t="shared" si="96"/>
        <v>0</v>
      </c>
      <c r="AR141" s="501">
        <f t="shared" si="97"/>
        <v>1674675</v>
      </c>
      <c r="AS141" s="492">
        <f t="shared" si="98"/>
        <v>1233192</v>
      </c>
      <c r="AT141" s="492">
        <f t="shared" si="156"/>
        <v>0</v>
      </c>
      <c r="AU141" s="492">
        <f t="shared" si="157"/>
        <v>416819</v>
      </c>
      <c r="AV141" s="492">
        <f t="shared" si="157"/>
        <v>24664</v>
      </c>
      <c r="AW141" s="492">
        <f t="shared" si="101"/>
        <v>0</v>
      </c>
      <c r="AX141" s="493">
        <f t="shared" si="102"/>
        <v>2.4784999999999999</v>
      </c>
      <c r="AY141" s="493">
        <f t="shared" si="158"/>
        <v>2.4784999999999999</v>
      </c>
      <c r="AZ141" s="495">
        <f t="shared" si="158"/>
        <v>0</v>
      </c>
    </row>
    <row r="142" spans="1:52" s="238" customFormat="1" x14ac:dyDescent="0.2">
      <c r="A142" s="225">
        <v>25</v>
      </c>
      <c r="B142" s="226">
        <v>4452</v>
      </c>
      <c r="C142" s="226">
        <v>600074919</v>
      </c>
      <c r="D142" s="226">
        <v>70698511</v>
      </c>
      <c r="E142" s="219" t="s">
        <v>197</v>
      </c>
      <c r="F142" s="226">
        <v>3143</v>
      </c>
      <c r="G142" s="176" t="s">
        <v>630</v>
      </c>
      <c r="H142" s="243" t="s">
        <v>279</v>
      </c>
      <c r="I142" s="494">
        <v>67284</v>
      </c>
      <c r="J142" s="489">
        <v>47580</v>
      </c>
      <c r="K142" s="489">
        <v>0</v>
      </c>
      <c r="L142" s="489">
        <v>16082</v>
      </c>
      <c r="M142" s="489">
        <v>952</v>
      </c>
      <c r="N142" s="489">
        <v>2670</v>
      </c>
      <c r="O142" s="490">
        <v>0.19</v>
      </c>
      <c r="P142" s="491">
        <v>0</v>
      </c>
      <c r="Q142" s="500">
        <v>0.19</v>
      </c>
      <c r="R142" s="502">
        <f t="shared" ref="R142:R205" si="159">W142*-1</f>
        <v>0</v>
      </c>
      <c r="S142" s="492">
        <v>0</v>
      </c>
      <c r="T142" s="492">
        <v>0</v>
      </c>
      <c r="U142" s="492">
        <v>0</v>
      </c>
      <c r="V142" s="492">
        <f t="shared" ref="V142:V205" si="160">SUM(R142:U142)</f>
        <v>0</v>
      </c>
      <c r="W142" s="492">
        <v>0</v>
      </c>
      <c r="X142" s="492">
        <v>0</v>
      </c>
      <c r="Y142" s="492">
        <v>0</v>
      </c>
      <c r="Z142" s="492">
        <f t="shared" ref="Z142:Z205" si="161">SUM(W142:Y142)</f>
        <v>0</v>
      </c>
      <c r="AA142" s="492">
        <f t="shared" ref="AA142:AA205" si="162">V142+Z142</f>
        <v>0</v>
      </c>
      <c r="AB142" s="74">
        <f t="shared" ref="AB142:AB205" si="163">ROUND((V142+W142+X142)*33.8%,0)</f>
        <v>0</v>
      </c>
      <c r="AC142" s="74">
        <f t="shared" ref="AC142:AC205" si="164">ROUND(V142*2%,0)</f>
        <v>0</v>
      </c>
      <c r="AD142" s="492">
        <v>0</v>
      </c>
      <c r="AE142" s="492">
        <v>0</v>
      </c>
      <c r="AF142" s="492">
        <f t="shared" ref="AF142:AF205" si="165">SUM(AD142:AE142)</f>
        <v>0</v>
      </c>
      <c r="AG142" s="492">
        <f t="shared" ref="AG142:AG205" si="166">AA142+AB142+AC142+AF142</f>
        <v>0</v>
      </c>
      <c r="AH142" s="493">
        <v>0</v>
      </c>
      <c r="AI142" s="493">
        <v>0</v>
      </c>
      <c r="AJ142" s="493">
        <v>0</v>
      </c>
      <c r="AK142" s="493">
        <v>0</v>
      </c>
      <c r="AL142" s="493">
        <v>0</v>
      </c>
      <c r="AM142" s="493">
        <v>0</v>
      </c>
      <c r="AN142" s="493">
        <v>0</v>
      </c>
      <c r="AO142" s="493">
        <f t="shared" si="154"/>
        <v>0</v>
      </c>
      <c r="AP142" s="493">
        <f t="shared" si="155"/>
        <v>0</v>
      </c>
      <c r="AQ142" s="495">
        <f t="shared" ref="AQ142:AQ205" si="167">SUM(AO142:AP142)</f>
        <v>0</v>
      </c>
      <c r="AR142" s="501">
        <f t="shared" ref="AR142:AR205" si="168">I142+AG142</f>
        <v>67284</v>
      </c>
      <c r="AS142" s="492">
        <f t="shared" ref="AS142:AS205" si="169">J142+V142</f>
        <v>47580</v>
      </c>
      <c r="AT142" s="492">
        <f t="shared" si="156"/>
        <v>0</v>
      </c>
      <c r="AU142" s="492">
        <f t="shared" si="157"/>
        <v>16082</v>
      </c>
      <c r="AV142" s="492">
        <f t="shared" si="157"/>
        <v>952</v>
      </c>
      <c r="AW142" s="492">
        <f t="shared" ref="AW142:AW205" si="170">N142+AF142</f>
        <v>2670</v>
      </c>
      <c r="AX142" s="493">
        <f t="shared" ref="AX142:AX205" si="171">O142+AQ142</f>
        <v>0.19</v>
      </c>
      <c r="AY142" s="493">
        <f t="shared" si="158"/>
        <v>0</v>
      </c>
      <c r="AZ142" s="495">
        <f t="shared" si="158"/>
        <v>0.19</v>
      </c>
    </row>
    <row r="143" spans="1:52" s="238" customFormat="1" x14ac:dyDescent="0.2">
      <c r="A143" s="166">
        <v>25</v>
      </c>
      <c r="B143" s="20">
        <v>4452</v>
      </c>
      <c r="C143" s="20">
        <v>600074919</v>
      </c>
      <c r="D143" s="20">
        <v>70698511</v>
      </c>
      <c r="E143" s="175" t="s">
        <v>198</v>
      </c>
      <c r="F143" s="20"/>
      <c r="G143" s="165"/>
      <c r="H143" s="199"/>
      <c r="I143" s="553">
        <v>38164397</v>
      </c>
      <c r="J143" s="550">
        <v>27541526</v>
      </c>
      <c r="K143" s="550">
        <v>19500</v>
      </c>
      <c r="L143" s="550">
        <v>9315628</v>
      </c>
      <c r="M143" s="550">
        <v>550831</v>
      </c>
      <c r="N143" s="550">
        <v>736912</v>
      </c>
      <c r="O143" s="551">
        <v>50.765799999999984</v>
      </c>
      <c r="P143" s="551">
        <v>36.213199999999993</v>
      </c>
      <c r="Q143" s="555">
        <v>14.5526</v>
      </c>
      <c r="R143" s="553">
        <f t="shared" ref="R143:AZ143" si="172">SUM(R137:R142)</f>
        <v>0</v>
      </c>
      <c r="S143" s="550">
        <f t="shared" si="172"/>
        <v>0</v>
      </c>
      <c r="T143" s="550">
        <f t="shared" si="172"/>
        <v>0</v>
      </c>
      <c r="U143" s="550">
        <f t="shared" si="172"/>
        <v>78408</v>
      </c>
      <c r="V143" s="550">
        <f t="shared" si="172"/>
        <v>78408</v>
      </c>
      <c r="W143" s="550">
        <f t="shared" si="172"/>
        <v>0</v>
      </c>
      <c r="X143" s="550">
        <f t="shared" si="172"/>
        <v>0</v>
      </c>
      <c r="Y143" s="550">
        <f t="shared" si="172"/>
        <v>0</v>
      </c>
      <c r="Z143" s="550">
        <f t="shared" si="172"/>
        <v>0</v>
      </c>
      <c r="AA143" s="550">
        <f t="shared" si="172"/>
        <v>78408</v>
      </c>
      <c r="AB143" s="550">
        <f t="shared" si="172"/>
        <v>26502</v>
      </c>
      <c r="AC143" s="550">
        <f t="shared" si="172"/>
        <v>1568</v>
      </c>
      <c r="AD143" s="550">
        <f t="shared" si="172"/>
        <v>0</v>
      </c>
      <c r="AE143" s="550">
        <f t="shared" si="172"/>
        <v>0</v>
      </c>
      <c r="AF143" s="550">
        <f t="shared" si="172"/>
        <v>0</v>
      </c>
      <c r="AG143" s="550">
        <f t="shared" si="172"/>
        <v>106478</v>
      </c>
      <c r="AH143" s="551">
        <f t="shared" si="172"/>
        <v>0</v>
      </c>
      <c r="AI143" s="551">
        <f t="shared" si="172"/>
        <v>0</v>
      </c>
      <c r="AJ143" s="551">
        <f t="shared" si="172"/>
        <v>0</v>
      </c>
      <c r="AK143" s="551">
        <f t="shared" si="172"/>
        <v>0</v>
      </c>
      <c r="AL143" s="551">
        <f t="shared" si="172"/>
        <v>0</v>
      </c>
      <c r="AM143" s="551">
        <f t="shared" si="172"/>
        <v>0.13</v>
      </c>
      <c r="AN143" s="551">
        <f t="shared" si="172"/>
        <v>0</v>
      </c>
      <c r="AO143" s="551">
        <f t="shared" si="172"/>
        <v>0.13</v>
      </c>
      <c r="AP143" s="551">
        <f t="shared" si="172"/>
        <v>0</v>
      </c>
      <c r="AQ143" s="44">
        <f t="shared" si="172"/>
        <v>0.13</v>
      </c>
      <c r="AR143" s="557">
        <f t="shared" si="172"/>
        <v>38270875</v>
      </c>
      <c r="AS143" s="550">
        <f t="shared" si="172"/>
        <v>27619934</v>
      </c>
      <c r="AT143" s="550">
        <f t="shared" si="172"/>
        <v>19500</v>
      </c>
      <c r="AU143" s="550">
        <f t="shared" si="172"/>
        <v>9342130</v>
      </c>
      <c r="AV143" s="550">
        <f t="shared" si="172"/>
        <v>552399</v>
      </c>
      <c r="AW143" s="550">
        <f t="shared" si="172"/>
        <v>736912</v>
      </c>
      <c r="AX143" s="551">
        <f t="shared" si="172"/>
        <v>50.895799999999987</v>
      </c>
      <c r="AY143" s="551">
        <f t="shared" si="172"/>
        <v>36.343199999999996</v>
      </c>
      <c r="AZ143" s="44">
        <f t="shared" si="172"/>
        <v>14.5526</v>
      </c>
    </row>
    <row r="144" spans="1:52" s="238" customFormat="1" x14ac:dyDescent="0.2">
      <c r="A144" s="225">
        <v>26</v>
      </c>
      <c r="B144" s="226">
        <v>4468</v>
      </c>
      <c r="C144" s="226">
        <v>600075052</v>
      </c>
      <c r="D144" s="226">
        <v>70698546</v>
      </c>
      <c r="E144" s="224" t="s">
        <v>199</v>
      </c>
      <c r="F144" s="226">
        <v>3231</v>
      </c>
      <c r="G144" s="176" t="s">
        <v>317</v>
      </c>
      <c r="H144" s="227" t="s">
        <v>278</v>
      </c>
      <c r="I144" s="494">
        <v>6576298</v>
      </c>
      <c r="J144" s="489">
        <v>4770696</v>
      </c>
      <c r="K144" s="489">
        <v>56875</v>
      </c>
      <c r="L144" s="489">
        <v>1631719</v>
      </c>
      <c r="M144" s="489">
        <v>95413</v>
      </c>
      <c r="N144" s="489">
        <v>21595</v>
      </c>
      <c r="O144" s="490">
        <v>8.8220999999999989</v>
      </c>
      <c r="P144" s="491">
        <v>7.8866999999999994</v>
      </c>
      <c r="Q144" s="500">
        <v>0.93540000000000012</v>
      </c>
      <c r="R144" s="502">
        <f t="shared" si="159"/>
        <v>0</v>
      </c>
      <c r="S144" s="492">
        <v>0</v>
      </c>
      <c r="T144" s="492">
        <v>0</v>
      </c>
      <c r="U144" s="492">
        <v>0</v>
      </c>
      <c r="V144" s="492">
        <f t="shared" si="160"/>
        <v>0</v>
      </c>
      <c r="W144" s="492">
        <v>0</v>
      </c>
      <c r="X144" s="492">
        <v>0</v>
      </c>
      <c r="Y144" s="492">
        <v>0</v>
      </c>
      <c r="Z144" s="492">
        <f t="shared" si="161"/>
        <v>0</v>
      </c>
      <c r="AA144" s="492">
        <f t="shared" si="162"/>
        <v>0</v>
      </c>
      <c r="AB144" s="74">
        <f t="shared" si="163"/>
        <v>0</v>
      </c>
      <c r="AC144" s="74">
        <f t="shared" si="164"/>
        <v>0</v>
      </c>
      <c r="AD144" s="492">
        <v>0</v>
      </c>
      <c r="AE144" s="492">
        <v>0</v>
      </c>
      <c r="AF144" s="492">
        <f t="shared" si="165"/>
        <v>0</v>
      </c>
      <c r="AG144" s="492">
        <f t="shared" si="166"/>
        <v>0</v>
      </c>
      <c r="AH144" s="493">
        <v>0</v>
      </c>
      <c r="AI144" s="493">
        <v>0</v>
      </c>
      <c r="AJ144" s="493">
        <v>0</v>
      </c>
      <c r="AK144" s="493">
        <v>0</v>
      </c>
      <c r="AL144" s="493">
        <v>0</v>
      </c>
      <c r="AM144" s="493">
        <v>0</v>
      </c>
      <c r="AN144" s="493">
        <v>0</v>
      </c>
      <c r="AO144" s="493">
        <f>AH144+AJ144+AM144+AK144</f>
        <v>0</v>
      </c>
      <c r="AP144" s="493">
        <f>AI144+AN144+AL144</f>
        <v>0</v>
      </c>
      <c r="AQ144" s="495">
        <f t="shared" si="167"/>
        <v>0</v>
      </c>
      <c r="AR144" s="501">
        <f t="shared" si="168"/>
        <v>6576298</v>
      </c>
      <c r="AS144" s="492">
        <f t="shared" si="169"/>
        <v>4770696</v>
      </c>
      <c r="AT144" s="492">
        <f>K144+Z144</f>
        <v>56875</v>
      </c>
      <c r="AU144" s="492">
        <f>L144+AB144</f>
        <v>1631719</v>
      </c>
      <c r="AV144" s="492">
        <f>M144+AC144</f>
        <v>95413</v>
      </c>
      <c r="AW144" s="492">
        <f t="shared" si="170"/>
        <v>21595</v>
      </c>
      <c r="AX144" s="493">
        <f t="shared" si="171"/>
        <v>8.8220999999999989</v>
      </c>
      <c r="AY144" s="493">
        <f>P144+AO144</f>
        <v>7.8866999999999994</v>
      </c>
      <c r="AZ144" s="495">
        <f>Q144+AP144</f>
        <v>0.93540000000000012</v>
      </c>
    </row>
    <row r="145" spans="1:52" s="238" customFormat="1" x14ac:dyDescent="0.2">
      <c r="A145" s="166">
        <v>26</v>
      </c>
      <c r="B145" s="20">
        <v>4468</v>
      </c>
      <c r="C145" s="20">
        <v>600075052</v>
      </c>
      <c r="D145" s="20">
        <v>70698546</v>
      </c>
      <c r="E145" s="175" t="s">
        <v>200</v>
      </c>
      <c r="F145" s="20"/>
      <c r="G145" s="165"/>
      <c r="H145" s="199"/>
      <c r="I145" s="553">
        <v>6576298</v>
      </c>
      <c r="J145" s="550">
        <v>4770696</v>
      </c>
      <c r="K145" s="550">
        <v>56875</v>
      </c>
      <c r="L145" s="550">
        <v>1631719</v>
      </c>
      <c r="M145" s="550">
        <v>95413</v>
      </c>
      <c r="N145" s="550">
        <v>21595</v>
      </c>
      <c r="O145" s="551">
        <v>8.8220999999999989</v>
      </c>
      <c r="P145" s="551">
        <v>7.8866999999999994</v>
      </c>
      <c r="Q145" s="555">
        <v>0.93540000000000012</v>
      </c>
      <c r="R145" s="553">
        <f t="shared" ref="R145:AZ145" si="173">SUM(R144)</f>
        <v>0</v>
      </c>
      <c r="S145" s="550">
        <f t="shared" si="173"/>
        <v>0</v>
      </c>
      <c r="T145" s="550">
        <f t="shared" si="173"/>
        <v>0</v>
      </c>
      <c r="U145" s="550">
        <f t="shared" si="173"/>
        <v>0</v>
      </c>
      <c r="V145" s="550">
        <f t="shared" si="173"/>
        <v>0</v>
      </c>
      <c r="W145" s="550">
        <f t="shared" si="173"/>
        <v>0</v>
      </c>
      <c r="X145" s="550">
        <f t="shared" si="173"/>
        <v>0</v>
      </c>
      <c r="Y145" s="550">
        <f t="shared" si="173"/>
        <v>0</v>
      </c>
      <c r="Z145" s="550">
        <f t="shared" si="173"/>
        <v>0</v>
      </c>
      <c r="AA145" s="550">
        <f t="shared" si="173"/>
        <v>0</v>
      </c>
      <c r="AB145" s="550">
        <f t="shared" si="173"/>
        <v>0</v>
      </c>
      <c r="AC145" s="550">
        <f t="shared" si="173"/>
        <v>0</v>
      </c>
      <c r="AD145" s="550">
        <f t="shared" si="173"/>
        <v>0</v>
      </c>
      <c r="AE145" s="550">
        <f t="shared" si="173"/>
        <v>0</v>
      </c>
      <c r="AF145" s="550">
        <f t="shared" si="173"/>
        <v>0</v>
      </c>
      <c r="AG145" s="550">
        <f t="shared" si="173"/>
        <v>0</v>
      </c>
      <c r="AH145" s="551">
        <f t="shared" si="173"/>
        <v>0</v>
      </c>
      <c r="AI145" s="551">
        <f t="shared" si="173"/>
        <v>0</v>
      </c>
      <c r="AJ145" s="551">
        <f t="shared" si="173"/>
        <v>0</v>
      </c>
      <c r="AK145" s="551">
        <f t="shared" si="173"/>
        <v>0</v>
      </c>
      <c r="AL145" s="551">
        <f t="shared" si="173"/>
        <v>0</v>
      </c>
      <c r="AM145" s="551">
        <f t="shared" si="173"/>
        <v>0</v>
      </c>
      <c r="AN145" s="551">
        <f t="shared" si="173"/>
        <v>0</v>
      </c>
      <c r="AO145" s="551">
        <f t="shared" si="173"/>
        <v>0</v>
      </c>
      <c r="AP145" s="551">
        <f t="shared" si="173"/>
        <v>0</v>
      </c>
      <c r="AQ145" s="44">
        <f t="shared" si="173"/>
        <v>0</v>
      </c>
      <c r="AR145" s="557">
        <f t="shared" si="173"/>
        <v>6576298</v>
      </c>
      <c r="AS145" s="550">
        <f t="shared" si="173"/>
        <v>4770696</v>
      </c>
      <c r="AT145" s="550">
        <f t="shared" si="173"/>
        <v>56875</v>
      </c>
      <c r="AU145" s="550">
        <f t="shared" si="173"/>
        <v>1631719</v>
      </c>
      <c r="AV145" s="550">
        <f t="shared" si="173"/>
        <v>95413</v>
      </c>
      <c r="AW145" s="550">
        <f t="shared" si="173"/>
        <v>21595</v>
      </c>
      <c r="AX145" s="551">
        <f t="shared" si="173"/>
        <v>8.8220999999999989</v>
      </c>
      <c r="AY145" s="551">
        <f t="shared" si="173"/>
        <v>7.8866999999999994</v>
      </c>
      <c r="AZ145" s="44">
        <f t="shared" si="173"/>
        <v>0.93540000000000012</v>
      </c>
    </row>
    <row r="146" spans="1:52" s="238" customFormat="1" x14ac:dyDescent="0.2">
      <c r="A146" s="225">
        <v>27</v>
      </c>
      <c r="B146" s="226">
        <v>4414</v>
      </c>
      <c r="C146" s="226">
        <v>600074307</v>
      </c>
      <c r="D146" s="226">
        <v>70695831</v>
      </c>
      <c r="E146" s="224" t="s">
        <v>201</v>
      </c>
      <c r="F146" s="226">
        <v>3111</v>
      </c>
      <c r="G146" s="176" t="s">
        <v>312</v>
      </c>
      <c r="H146" s="227" t="s">
        <v>278</v>
      </c>
      <c r="I146" s="494">
        <v>5309122</v>
      </c>
      <c r="J146" s="489">
        <v>3868983</v>
      </c>
      <c r="K146" s="489">
        <v>16250</v>
      </c>
      <c r="L146" s="489">
        <v>1313209</v>
      </c>
      <c r="M146" s="489">
        <v>77380</v>
      </c>
      <c r="N146" s="489">
        <v>33300</v>
      </c>
      <c r="O146" s="490">
        <v>8.3205000000000009</v>
      </c>
      <c r="P146" s="491">
        <v>6.1863000000000001</v>
      </c>
      <c r="Q146" s="500">
        <v>2.1342000000000008</v>
      </c>
      <c r="R146" s="502">
        <f t="shared" si="159"/>
        <v>0</v>
      </c>
      <c r="S146" s="492">
        <v>0</v>
      </c>
      <c r="T146" s="492">
        <v>0</v>
      </c>
      <c r="U146" s="492">
        <v>0</v>
      </c>
      <c r="V146" s="492">
        <f t="shared" si="160"/>
        <v>0</v>
      </c>
      <c r="W146" s="492">
        <v>0</v>
      </c>
      <c r="X146" s="492">
        <v>0</v>
      </c>
      <c r="Y146" s="492">
        <v>0</v>
      </c>
      <c r="Z146" s="492">
        <f t="shared" si="161"/>
        <v>0</v>
      </c>
      <c r="AA146" s="492">
        <f t="shared" si="162"/>
        <v>0</v>
      </c>
      <c r="AB146" s="74">
        <f t="shared" si="163"/>
        <v>0</v>
      </c>
      <c r="AC146" s="74">
        <f t="shared" si="164"/>
        <v>0</v>
      </c>
      <c r="AD146" s="492">
        <v>0</v>
      </c>
      <c r="AE146" s="492">
        <v>0</v>
      </c>
      <c r="AF146" s="492">
        <f t="shared" si="165"/>
        <v>0</v>
      </c>
      <c r="AG146" s="492">
        <f t="shared" si="166"/>
        <v>0</v>
      </c>
      <c r="AH146" s="493">
        <v>0</v>
      </c>
      <c r="AI146" s="493">
        <v>0</v>
      </c>
      <c r="AJ146" s="493">
        <v>0</v>
      </c>
      <c r="AK146" s="493">
        <v>0</v>
      </c>
      <c r="AL146" s="493">
        <v>0</v>
      </c>
      <c r="AM146" s="493">
        <v>0</v>
      </c>
      <c r="AN146" s="493">
        <v>0</v>
      </c>
      <c r="AO146" s="493">
        <f t="shared" ref="AO146:AO148" si="174">AH146+AJ146+AM146+AK146</f>
        <v>0</v>
      </c>
      <c r="AP146" s="493">
        <f t="shared" ref="AP146:AP148" si="175">AI146+AN146+AL146</f>
        <v>0</v>
      </c>
      <c r="AQ146" s="495">
        <f t="shared" si="167"/>
        <v>0</v>
      </c>
      <c r="AR146" s="501">
        <f t="shared" si="168"/>
        <v>5309122</v>
      </c>
      <c r="AS146" s="492">
        <f t="shared" si="169"/>
        <v>3868983</v>
      </c>
      <c r="AT146" s="492">
        <f t="shared" ref="AT146:AT148" si="176">K146+Z146</f>
        <v>16250</v>
      </c>
      <c r="AU146" s="492">
        <f t="shared" ref="AU146:AV148" si="177">L146+AB146</f>
        <v>1313209</v>
      </c>
      <c r="AV146" s="492">
        <f t="shared" si="177"/>
        <v>77380</v>
      </c>
      <c r="AW146" s="492">
        <f t="shared" si="170"/>
        <v>33300</v>
      </c>
      <c r="AX146" s="493">
        <f t="shared" si="171"/>
        <v>8.3205000000000009</v>
      </c>
      <c r="AY146" s="493">
        <f t="shared" ref="AY146:AZ148" si="178">P146+AO146</f>
        <v>6.1863000000000001</v>
      </c>
      <c r="AZ146" s="495">
        <f t="shared" si="178"/>
        <v>2.1342000000000008</v>
      </c>
    </row>
    <row r="147" spans="1:52" s="238" customFormat="1" x14ac:dyDescent="0.2">
      <c r="A147" s="225">
        <v>27</v>
      </c>
      <c r="B147" s="226">
        <v>4414</v>
      </c>
      <c r="C147" s="226">
        <v>600074307</v>
      </c>
      <c r="D147" s="226">
        <v>70695831</v>
      </c>
      <c r="E147" s="224" t="s">
        <v>201</v>
      </c>
      <c r="F147" s="226">
        <v>3111</v>
      </c>
      <c r="G147" s="176" t="s">
        <v>313</v>
      </c>
      <c r="H147" s="227" t="s">
        <v>279</v>
      </c>
      <c r="I147" s="494">
        <v>760584</v>
      </c>
      <c r="J147" s="489">
        <v>560076</v>
      </c>
      <c r="K147" s="489">
        <v>0</v>
      </c>
      <c r="L147" s="489">
        <v>189306</v>
      </c>
      <c r="M147" s="489">
        <v>11202</v>
      </c>
      <c r="N147" s="489">
        <v>0</v>
      </c>
      <c r="O147" s="490">
        <v>1.75</v>
      </c>
      <c r="P147" s="491">
        <v>1.75</v>
      </c>
      <c r="Q147" s="500">
        <v>0</v>
      </c>
      <c r="R147" s="502">
        <f t="shared" si="159"/>
        <v>0</v>
      </c>
      <c r="S147" s="492">
        <v>0</v>
      </c>
      <c r="T147" s="492">
        <v>0</v>
      </c>
      <c r="U147" s="492">
        <v>0</v>
      </c>
      <c r="V147" s="492">
        <f t="shared" si="160"/>
        <v>0</v>
      </c>
      <c r="W147" s="492">
        <v>0</v>
      </c>
      <c r="X147" s="492">
        <v>0</v>
      </c>
      <c r="Y147" s="492">
        <v>0</v>
      </c>
      <c r="Z147" s="492">
        <f t="shared" si="161"/>
        <v>0</v>
      </c>
      <c r="AA147" s="492">
        <f t="shared" si="162"/>
        <v>0</v>
      </c>
      <c r="AB147" s="74">
        <f t="shared" si="163"/>
        <v>0</v>
      </c>
      <c r="AC147" s="74">
        <f t="shared" si="164"/>
        <v>0</v>
      </c>
      <c r="AD147" s="492">
        <v>0</v>
      </c>
      <c r="AE147" s="492">
        <v>0</v>
      </c>
      <c r="AF147" s="492">
        <f t="shared" si="165"/>
        <v>0</v>
      </c>
      <c r="AG147" s="492">
        <f t="shared" si="166"/>
        <v>0</v>
      </c>
      <c r="AH147" s="493">
        <v>0</v>
      </c>
      <c r="AI147" s="493">
        <v>0</v>
      </c>
      <c r="AJ147" s="493">
        <v>0</v>
      </c>
      <c r="AK147" s="493">
        <v>0</v>
      </c>
      <c r="AL147" s="493">
        <v>0</v>
      </c>
      <c r="AM147" s="493">
        <v>0</v>
      </c>
      <c r="AN147" s="493">
        <v>0</v>
      </c>
      <c r="AO147" s="493">
        <f t="shared" si="174"/>
        <v>0</v>
      </c>
      <c r="AP147" s="493">
        <f t="shared" si="175"/>
        <v>0</v>
      </c>
      <c r="AQ147" s="495">
        <f t="shared" si="167"/>
        <v>0</v>
      </c>
      <c r="AR147" s="501">
        <f t="shared" si="168"/>
        <v>760584</v>
      </c>
      <c r="AS147" s="492">
        <f t="shared" si="169"/>
        <v>560076</v>
      </c>
      <c r="AT147" s="492">
        <f t="shared" si="176"/>
        <v>0</v>
      </c>
      <c r="AU147" s="492">
        <f t="shared" si="177"/>
        <v>189306</v>
      </c>
      <c r="AV147" s="492">
        <f t="shared" si="177"/>
        <v>11202</v>
      </c>
      <c r="AW147" s="492">
        <f t="shared" si="170"/>
        <v>0</v>
      </c>
      <c r="AX147" s="493">
        <f t="shared" si="171"/>
        <v>1.75</v>
      </c>
      <c r="AY147" s="493">
        <f t="shared" si="178"/>
        <v>1.75</v>
      </c>
      <c r="AZ147" s="495">
        <f t="shared" si="178"/>
        <v>0</v>
      </c>
    </row>
    <row r="148" spans="1:52" s="238" customFormat="1" x14ac:dyDescent="0.2">
      <c r="A148" s="225">
        <v>27</v>
      </c>
      <c r="B148" s="226">
        <v>4414</v>
      </c>
      <c r="C148" s="226">
        <v>600074307</v>
      </c>
      <c r="D148" s="226">
        <v>70695831</v>
      </c>
      <c r="E148" s="219" t="s">
        <v>201</v>
      </c>
      <c r="F148" s="226">
        <v>3141</v>
      </c>
      <c r="G148" s="176" t="s">
        <v>316</v>
      </c>
      <c r="H148" s="227" t="s">
        <v>279</v>
      </c>
      <c r="I148" s="494">
        <v>356169</v>
      </c>
      <c r="J148" s="489">
        <v>247424</v>
      </c>
      <c r="K148" s="489">
        <v>13000</v>
      </c>
      <c r="L148" s="489">
        <v>88023</v>
      </c>
      <c r="M148" s="489">
        <v>4948</v>
      </c>
      <c r="N148" s="489">
        <v>2774</v>
      </c>
      <c r="O148" s="490">
        <v>0.79999999999999993</v>
      </c>
      <c r="P148" s="491">
        <v>0</v>
      </c>
      <c r="Q148" s="500">
        <v>0.79999999999999993</v>
      </c>
      <c r="R148" s="502">
        <f t="shared" si="159"/>
        <v>0</v>
      </c>
      <c r="S148" s="492">
        <v>0</v>
      </c>
      <c r="T148" s="492">
        <v>0</v>
      </c>
      <c r="U148" s="492">
        <v>0</v>
      </c>
      <c r="V148" s="492">
        <f t="shared" si="160"/>
        <v>0</v>
      </c>
      <c r="W148" s="492">
        <v>0</v>
      </c>
      <c r="X148" s="492">
        <v>0</v>
      </c>
      <c r="Y148" s="492">
        <v>0</v>
      </c>
      <c r="Z148" s="492">
        <f t="shared" si="161"/>
        <v>0</v>
      </c>
      <c r="AA148" s="492">
        <f t="shared" si="162"/>
        <v>0</v>
      </c>
      <c r="AB148" s="74">
        <f t="shared" si="163"/>
        <v>0</v>
      </c>
      <c r="AC148" s="74">
        <f t="shared" si="164"/>
        <v>0</v>
      </c>
      <c r="AD148" s="492">
        <v>0</v>
      </c>
      <c r="AE148" s="492">
        <v>0</v>
      </c>
      <c r="AF148" s="492">
        <f t="shared" si="165"/>
        <v>0</v>
      </c>
      <c r="AG148" s="492">
        <f t="shared" si="166"/>
        <v>0</v>
      </c>
      <c r="AH148" s="493">
        <v>0</v>
      </c>
      <c r="AI148" s="493">
        <v>0</v>
      </c>
      <c r="AJ148" s="493">
        <v>0</v>
      </c>
      <c r="AK148" s="493">
        <v>0</v>
      </c>
      <c r="AL148" s="493">
        <v>0</v>
      </c>
      <c r="AM148" s="493">
        <v>0</v>
      </c>
      <c r="AN148" s="493">
        <v>0</v>
      </c>
      <c r="AO148" s="493">
        <f t="shared" si="174"/>
        <v>0</v>
      </c>
      <c r="AP148" s="493">
        <f t="shared" si="175"/>
        <v>0</v>
      </c>
      <c r="AQ148" s="495">
        <f t="shared" si="167"/>
        <v>0</v>
      </c>
      <c r="AR148" s="501">
        <f t="shared" si="168"/>
        <v>356169</v>
      </c>
      <c r="AS148" s="492">
        <f t="shared" si="169"/>
        <v>247424</v>
      </c>
      <c r="AT148" s="492">
        <f t="shared" si="176"/>
        <v>13000</v>
      </c>
      <c r="AU148" s="492">
        <f t="shared" si="177"/>
        <v>88023</v>
      </c>
      <c r="AV148" s="492">
        <f t="shared" si="177"/>
        <v>4948</v>
      </c>
      <c r="AW148" s="492">
        <f t="shared" si="170"/>
        <v>2774</v>
      </c>
      <c r="AX148" s="493">
        <f t="shared" si="171"/>
        <v>0.79999999999999993</v>
      </c>
      <c r="AY148" s="493">
        <f t="shared" si="178"/>
        <v>0</v>
      </c>
      <c r="AZ148" s="495">
        <f t="shared" si="178"/>
        <v>0.79999999999999993</v>
      </c>
    </row>
    <row r="149" spans="1:52" s="238" customFormat="1" x14ac:dyDescent="0.2">
      <c r="A149" s="166">
        <v>27</v>
      </c>
      <c r="B149" s="20">
        <v>4414</v>
      </c>
      <c r="C149" s="20">
        <v>600074307</v>
      </c>
      <c r="D149" s="20">
        <v>70695831</v>
      </c>
      <c r="E149" s="175" t="s">
        <v>202</v>
      </c>
      <c r="F149" s="20"/>
      <c r="G149" s="165"/>
      <c r="H149" s="199"/>
      <c r="I149" s="553">
        <v>6425875</v>
      </c>
      <c r="J149" s="550">
        <v>4676483</v>
      </c>
      <c r="K149" s="550">
        <v>29250</v>
      </c>
      <c r="L149" s="550">
        <v>1590538</v>
      </c>
      <c r="M149" s="550">
        <v>93530</v>
      </c>
      <c r="N149" s="550">
        <v>36074</v>
      </c>
      <c r="O149" s="551">
        <v>10.870500000000002</v>
      </c>
      <c r="P149" s="551">
        <v>7.9363000000000001</v>
      </c>
      <c r="Q149" s="555">
        <v>2.9342000000000006</v>
      </c>
      <c r="R149" s="553">
        <f t="shared" ref="R149:AZ149" si="179">SUM(R146:R148)</f>
        <v>0</v>
      </c>
      <c r="S149" s="550">
        <f t="shared" si="179"/>
        <v>0</v>
      </c>
      <c r="T149" s="550">
        <f t="shared" si="179"/>
        <v>0</v>
      </c>
      <c r="U149" s="550">
        <f t="shared" si="179"/>
        <v>0</v>
      </c>
      <c r="V149" s="550">
        <f t="shared" si="179"/>
        <v>0</v>
      </c>
      <c r="W149" s="550">
        <f t="shared" si="179"/>
        <v>0</v>
      </c>
      <c r="X149" s="550">
        <f t="shared" si="179"/>
        <v>0</v>
      </c>
      <c r="Y149" s="550">
        <f t="shared" si="179"/>
        <v>0</v>
      </c>
      <c r="Z149" s="550">
        <f t="shared" si="179"/>
        <v>0</v>
      </c>
      <c r="AA149" s="550">
        <f t="shared" si="179"/>
        <v>0</v>
      </c>
      <c r="AB149" s="550">
        <f t="shared" si="179"/>
        <v>0</v>
      </c>
      <c r="AC149" s="550">
        <f t="shared" si="179"/>
        <v>0</v>
      </c>
      <c r="AD149" s="550">
        <f t="shared" si="179"/>
        <v>0</v>
      </c>
      <c r="AE149" s="550">
        <f t="shared" si="179"/>
        <v>0</v>
      </c>
      <c r="AF149" s="550">
        <f t="shared" si="179"/>
        <v>0</v>
      </c>
      <c r="AG149" s="550">
        <f t="shared" si="179"/>
        <v>0</v>
      </c>
      <c r="AH149" s="551">
        <f t="shared" si="179"/>
        <v>0</v>
      </c>
      <c r="AI149" s="551">
        <f t="shared" si="179"/>
        <v>0</v>
      </c>
      <c r="AJ149" s="551">
        <f t="shared" si="179"/>
        <v>0</v>
      </c>
      <c r="AK149" s="551">
        <f t="shared" si="179"/>
        <v>0</v>
      </c>
      <c r="AL149" s="551">
        <f t="shared" si="179"/>
        <v>0</v>
      </c>
      <c r="AM149" s="551">
        <f t="shared" si="179"/>
        <v>0</v>
      </c>
      <c r="AN149" s="551">
        <f t="shared" si="179"/>
        <v>0</v>
      </c>
      <c r="AO149" s="551">
        <f t="shared" si="179"/>
        <v>0</v>
      </c>
      <c r="AP149" s="551">
        <f t="shared" si="179"/>
        <v>0</v>
      </c>
      <c r="AQ149" s="44">
        <f t="shared" si="179"/>
        <v>0</v>
      </c>
      <c r="AR149" s="557">
        <f t="shared" si="179"/>
        <v>6425875</v>
      </c>
      <c r="AS149" s="550">
        <f t="shared" si="179"/>
        <v>4676483</v>
      </c>
      <c r="AT149" s="550">
        <f t="shared" si="179"/>
        <v>29250</v>
      </c>
      <c r="AU149" s="550">
        <f t="shared" si="179"/>
        <v>1590538</v>
      </c>
      <c r="AV149" s="550">
        <f t="shared" si="179"/>
        <v>93530</v>
      </c>
      <c r="AW149" s="550">
        <f t="shared" si="179"/>
        <v>36074</v>
      </c>
      <c r="AX149" s="551">
        <f t="shared" si="179"/>
        <v>10.870500000000002</v>
      </c>
      <c r="AY149" s="551">
        <f t="shared" si="179"/>
        <v>7.9363000000000001</v>
      </c>
      <c r="AZ149" s="44">
        <f t="shared" si="179"/>
        <v>2.9342000000000006</v>
      </c>
    </row>
    <row r="150" spans="1:52" s="238" customFormat="1" x14ac:dyDescent="0.2">
      <c r="A150" s="225">
        <v>28</v>
      </c>
      <c r="B150" s="226">
        <v>4444</v>
      </c>
      <c r="C150" s="226">
        <v>600074731</v>
      </c>
      <c r="D150" s="226">
        <v>48282979</v>
      </c>
      <c r="E150" s="224" t="s">
        <v>203</v>
      </c>
      <c r="F150" s="226">
        <v>3113</v>
      </c>
      <c r="G150" s="176" t="s">
        <v>315</v>
      </c>
      <c r="H150" s="227" t="s">
        <v>278</v>
      </c>
      <c r="I150" s="494">
        <v>14266309</v>
      </c>
      <c r="J150" s="489">
        <v>10245583</v>
      </c>
      <c r="K150" s="489">
        <v>33930</v>
      </c>
      <c r="L150" s="489">
        <v>3474475</v>
      </c>
      <c r="M150" s="489">
        <v>204911</v>
      </c>
      <c r="N150" s="489">
        <v>307410</v>
      </c>
      <c r="O150" s="490">
        <v>18.913900000000002</v>
      </c>
      <c r="P150" s="491">
        <v>14.1363</v>
      </c>
      <c r="Q150" s="500">
        <v>4.7775999999999996</v>
      </c>
      <c r="R150" s="502">
        <f t="shared" si="159"/>
        <v>0</v>
      </c>
      <c r="S150" s="492">
        <v>0</v>
      </c>
      <c r="T150" s="492">
        <v>0</v>
      </c>
      <c r="U150" s="492">
        <v>0</v>
      </c>
      <c r="V150" s="492">
        <f t="shared" si="160"/>
        <v>0</v>
      </c>
      <c r="W150" s="492">
        <v>0</v>
      </c>
      <c r="X150" s="492">
        <v>0</v>
      </c>
      <c r="Y150" s="492">
        <v>0</v>
      </c>
      <c r="Z150" s="492">
        <f t="shared" si="161"/>
        <v>0</v>
      </c>
      <c r="AA150" s="492">
        <f t="shared" si="162"/>
        <v>0</v>
      </c>
      <c r="AB150" s="74">
        <f t="shared" si="163"/>
        <v>0</v>
      </c>
      <c r="AC150" s="74">
        <f t="shared" si="164"/>
        <v>0</v>
      </c>
      <c r="AD150" s="492">
        <v>0</v>
      </c>
      <c r="AE150" s="492">
        <v>0</v>
      </c>
      <c r="AF150" s="492">
        <f t="shared" si="165"/>
        <v>0</v>
      </c>
      <c r="AG150" s="492">
        <f t="shared" si="166"/>
        <v>0</v>
      </c>
      <c r="AH150" s="493">
        <v>0</v>
      </c>
      <c r="AI150" s="493">
        <v>0</v>
      </c>
      <c r="AJ150" s="493">
        <v>0</v>
      </c>
      <c r="AK150" s="493">
        <v>0</v>
      </c>
      <c r="AL150" s="493">
        <v>0</v>
      </c>
      <c r="AM150" s="493">
        <v>0</v>
      </c>
      <c r="AN150" s="493">
        <v>0</v>
      </c>
      <c r="AO150" s="493">
        <f t="shared" ref="AO150:AO155" si="180">AH150+AJ150+AM150+AK150</f>
        <v>0</v>
      </c>
      <c r="AP150" s="493">
        <f t="shared" ref="AP150:AP155" si="181">AI150+AN150+AL150</f>
        <v>0</v>
      </c>
      <c r="AQ150" s="495">
        <f t="shared" si="167"/>
        <v>0</v>
      </c>
      <c r="AR150" s="501">
        <f t="shared" si="168"/>
        <v>14266309</v>
      </c>
      <c r="AS150" s="492">
        <f t="shared" si="169"/>
        <v>10245583</v>
      </c>
      <c r="AT150" s="492">
        <f t="shared" ref="AT150:AT155" si="182">K150+Z150</f>
        <v>33930</v>
      </c>
      <c r="AU150" s="492">
        <f t="shared" ref="AU150:AV155" si="183">L150+AB150</f>
        <v>3474475</v>
      </c>
      <c r="AV150" s="492">
        <f t="shared" si="183"/>
        <v>204911</v>
      </c>
      <c r="AW150" s="492">
        <f t="shared" si="170"/>
        <v>307410</v>
      </c>
      <c r="AX150" s="493">
        <f t="shared" si="171"/>
        <v>18.913900000000002</v>
      </c>
      <c r="AY150" s="493">
        <f t="shared" ref="AY150:AZ155" si="184">P150+AO150</f>
        <v>14.1363</v>
      </c>
      <c r="AZ150" s="495">
        <f t="shared" si="184"/>
        <v>4.7775999999999996</v>
      </c>
    </row>
    <row r="151" spans="1:52" s="238" customFormat="1" x14ac:dyDescent="0.2">
      <c r="A151" s="225">
        <v>28</v>
      </c>
      <c r="B151" s="226">
        <v>4444</v>
      </c>
      <c r="C151" s="226">
        <v>600074731</v>
      </c>
      <c r="D151" s="226">
        <v>48282979</v>
      </c>
      <c r="E151" s="224" t="s">
        <v>203</v>
      </c>
      <c r="F151" s="226">
        <v>3113</v>
      </c>
      <c r="G151" s="176" t="s">
        <v>320</v>
      </c>
      <c r="H151" s="227" t="s">
        <v>279</v>
      </c>
      <c r="I151" s="494">
        <v>3124409</v>
      </c>
      <c r="J151" s="489">
        <v>2300007</v>
      </c>
      <c r="K151" s="489">
        <v>0</v>
      </c>
      <c r="L151" s="489">
        <v>777402</v>
      </c>
      <c r="M151" s="489">
        <v>46000</v>
      </c>
      <c r="N151" s="489">
        <v>1000</v>
      </c>
      <c r="O151" s="490">
        <v>6.64</v>
      </c>
      <c r="P151" s="491">
        <v>6.64</v>
      </c>
      <c r="Q151" s="500">
        <v>0</v>
      </c>
      <c r="R151" s="502">
        <f t="shared" si="159"/>
        <v>0</v>
      </c>
      <c r="S151" s="492">
        <v>0</v>
      </c>
      <c r="T151" s="492">
        <v>0</v>
      </c>
      <c r="U151" s="492">
        <v>0</v>
      </c>
      <c r="V151" s="492">
        <f t="shared" si="160"/>
        <v>0</v>
      </c>
      <c r="W151" s="492">
        <v>0</v>
      </c>
      <c r="X151" s="492">
        <v>0</v>
      </c>
      <c r="Y151" s="492">
        <v>0</v>
      </c>
      <c r="Z151" s="492">
        <f t="shared" si="161"/>
        <v>0</v>
      </c>
      <c r="AA151" s="492">
        <f t="shared" si="162"/>
        <v>0</v>
      </c>
      <c r="AB151" s="74">
        <f t="shared" si="163"/>
        <v>0</v>
      </c>
      <c r="AC151" s="74">
        <f t="shared" si="164"/>
        <v>0</v>
      </c>
      <c r="AD151" s="492">
        <v>500</v>
      </c>
      <c r="AE151" s="492">
        <v>0</v>
      </c>
      <c r="AF151" s="492">
        <f t="shared" si="165"/>
        <v>500</v>
      </c>
      <c r="AG151" s="492">
        <f t="shared" si="166"/>
        <v>500</v>
      </c>
      <c r="AH151" s="493">
        <v>0</v>
      </c>
      <c r="AI151" s="493">
        <v>0</v>
      </c>
      <c r="AJ151" s="493">
        <v>0</v>
      </c>
      <c r="AK151" s="493">
        <v>0</v>
      </c>
      <c r="AL151" s="493">
        <v>0</v>
      </c>
      <c r="AM151" s="493">
        <v>0</v>
      </c>
      <c r="AN151" s="493">
        <v>0</v>
      </c>
      <c r="AO151" s="493">
        <f t="shared" si="180"/>
        <v>0</v>
      </c>
      <c r="AP151" s="493">
        <f t="shared" si="181"/>
        <v>0</v>
      </c>
      <c r="AQ151" s="495">
        <f t="shared" si="167"/>
        <v>0</v>
      </c>
      <c r="AR151" s="501">
        <f t="shared" si="168"/>
        <v>3124909</v>
      </c>
      <c r="AS151" s="492">
        <f t="shared" si="169"/>
        <v>2300007</v>
      </c>
      <c r="AT151" s="492">
        <f t="shared" si="182"/>
        <v>0</v>
      </c>
      <c r="AU151" s="492">
        <f t="shared" si="183"/>
        <v>777402</v>
      </c>
      <c r="AV151" s="492">
        <f t="shared" si="183"/>
        <v>46000</v>
      </c>
      <c r="AW151" s="492">
        <f t="shared" si="170"/>
        <v>1500</v>
      </c>
      <c r="AX151" s="493">
        <f t="shared" si="171"/>
        <v>6.64</v>
      </c>
      <c r="AY151" s="493">
        <f t="shared" si="184"/>
        <v>6.64</v>
      </c>
      <c r="AZ151" s="495">
        <f t="shared" si="184"/>
        <v>0</v>
      </c>
    </row>
    <row r="152" spans="1:52" s="238" customFormat="1" x14ac:dyDescent="0.2">
      <c r="A152" s="225">
        <v>28</v>
      </c>
      <c r="B152" s="226">
        <v>4444</v>
      </c>
      <c r="C152" s="226">
        <v>600074731</v>
      </c>
      <c r="D152" s="226">
        <v>48282979</v>
      </c>
      <c r="E152" s="224" t="s">
        <v>203</v>
      </c>
      <c r="F152" s="226">
        <v>3141</v>
      </c>
      <c r="G152" s="176" t="s">
        <v>316</v>
      </c>
      <c r="H152" s="227" t="s">
        <v>279</v>
      </c>
      <c r="I152" s="494">
        <v>2315387</v>
      </c>
      <c r="J152" s="489">
        <v>1668379</v>
      </c>
      <c r="K152" s="489">
        <v>25350</v>
      </c>
      <c r="L152" s="489">
        <v>572480</v>
      </c>
      <c r="M152" s="489">
        <v>33368</v>
      </c>
      <c r="N152" s="489">
        <v>15810</v>
      </c>
      <c r="O152" s="490">
        <v>5.23</v>
      </c>
      <c r="P152" s="491">
        <v>0</v>
      </c>
      <c r="Q152" s="500">
        <v>5.23</v>
      </c>
      <c r="R152" s="502">
        <f t="shared" si="159"/>
        <v>0</v>
      </c>
      <c r="S152" s="492">
        <v>0</v>
      </c>
      <c r="T152" s="492">
        <v>0</v>
      </c>
      <c r="U152" s="492">
        <v>0</v>
      </c>
      <c r="V152" s="492">
        <f t="shared" si="160"/>
        <v>0</v>
      </c>
      <c r="W152" s="492">
        <v>0</v>
      </c>
      <c r="X152" s="492">
        <v>0</v>
      </c>
      <c r="Y152" s="492">
        <v>0</v>
      </c>
      <c r="Z152" s="492">
        <f t="shared" si="161"/>
        <v>0</v>
      </c>
      <c r="AA152" s="492">
        <f t="shared" si="162"/>
        <v>0</v>
      </c>
      <c r="AB152" s="74">
        <f t="shared" si="163"/>
        <v>0</v>
      </c>
      <c r="AC152" s="74">
        <f t="shared" si="164"/>
        <v>0</v>
      </c>
      <c r="AD152" s="492">
        <v>0</v>
      </c>
      <c r="AE152" s="492">
        <v>0</v>
      </c>
      <c r="AF152" s="492">
        <f t="shared" si="165"/>
        <v>0</v>
      </c>
      <c r="AG152" s="492">
        <f t="shared" si="166"/>
        <v>0</v>
      </c>
      <c r="AH152" s="493">
        <v>0</v>
      </c>
      <c r="AI152" s="493">
        <v>0</v>
      </c>
      <c r="AJ152" s="493">
        <v>0</v>
      </c>
      <c r="AK152" s="493">
        <v>0</v>
      </c>
      <c r="AL152" s="493">
        <v>0</v>
      </c>
      <c r="AM152" s="493">
        <v>0</v>
      </c>
      <c r="AN152" s="493">
        <v>0</v>
      </c>
      <c r="AO152" s="493">
        <f t="shared" si="180"/>
        <v>0</v>
      </c>
      <c r="AP152" s="493">
        <f t="shared" si="181"/>
        <v>0</v>
      </c>
      <c r="AQ152" s="495">
        <f t="shared" si="167"/>
        <v>0</v>
      </c>
      <c r="AR152" s="501">
        <f t="shared" si="168"/>
        <v>2315387</v>
      </c>
      <c r="AS152" s="492">
        <f t="shared" si="169"/>
        <v>1668379</v>
      </c>
      <c r="AT152" s="492">
        <f t="shared" si="182"/>
        <v>25350</v>
      </c>
      <c r="AU152" s="492">
        <f t="shared" si="183"/>
        <v>572480</v>
      </c>
      <c r="AV152" s="492">
        <f t="shared" si="183"/>
        <v>33368</v>
      </c>
      <c r="AW152" s="492">
        <f t="shared" si="170"/>
        <v>15810</v>
      </c>
      <c r="AX152" s="493">
        <f t="shared" si="171"/>
        <v>5.23</v>
      </c>
      <c r="AY152" s="493">
        <f t="shared" si="184"/>
        <v>0</v>
      </c>
      <c r="AZ152" s="495">
        <f t="shared" si="184"/>
        <v>5.23</v>
      </c>
    </row>
    <row r="153" spans="1:52" s="238" customFormat="1" x14ac:dyDescent="0.2">
      <c r="A153" s="225">
        <v>28</v>
      </c>
      <c r="B153" s="226">
        <v>4444</v>
      </c>
      <c r="C153" s="226">
        <v>600074731</v>
      </c>
      <c r="D153" s="226">
        <v>48282979</v>
      </c>
      <c r="E153" s="224" t="s">
        <v>203</v>
      </c>
      <c r="F153" s="226">
        <v>3143</v>
      </c>
      <c r="G153" s="176" t="s">
        <v>629</v>
      </c>
      <c r="H153" s="243" t="s">
        <v>278</v>
      </c>
      <c r="I153" s="494">
        <v>1520402</v>
      </c>
      <c r="J153" s="489">
        <v>1055546</v>
      </c>
      <c r="K153" s="489">
        <v>65000</v>
      </c>
      <c r="L153" s="489">
        <v>378745</v>
      </c>
      <c r="M153" s="489">
        <v>21111</v>
      </c>
      <c r="N153" s="489">
        <v>0</v>
      </c>
      <c r="O153" s="490">
        <v>2.1732999999999998</v>
      </c>
      <c r="P153" s="491">
        <v>2.1732999999999998</v>
      </c>
      <c r="Q153" s="500">
        <v>0</v>
      </c>
      <c r="R153" s="502">
        <f t="shared" si="159"/>
        <v>0</v>
      </c>
      <c r="S153" s="492">
        <v>0</v>
      </c>
      <c r="T153" s="492">
        <v>0</v>
      </c>
      <c r="U153" s="492">
        <v>0</v>
      </c>
      <c r="V153" s="492">
        <f t="shared" si="160"/>
        <v>0</v>
      </c>
      <c r="W153" s="492">
        <v>0</v>
      </c>
      <c r="X153" s="492">
        <v>0</v>
      </c>
      <c r="Y153" s="492">
        <v>0</v>
      </c>
      <c r="Z153" s="492">
        <f t="shared" si="161"/>
        <v>0</v>
      </c>
      <c r="AA153" s="492">
        <f t="shared" si="162"/>
        <v>0</v>
      </c>
      <c r="AB153" s="74">
        <f t="shared" si="163"/>
        <v>0</v>
      </c>
      <c r="AC153" s="74">
        <f t="shared" si="164"/>
        <v>0</v>
      </c>
      <c r="AD153" s="492">
        <v>0</v>
      </c>
      <c r="AE153" s="492">
        <v>0</v>
      </c>
      <c r="AF153" s="492">
        <f t="shared" si="165"/>
        <v>0</v>
      </c>
      <c r="AG153" s="492">
        <f t="shared" si="166"/>
        <v>0</v>
      </c>
      <c r="AH153" s="493">
        <v>0</v>
      </c>
      <c r="AI153" s="493">
        <v>0</v>
      </c>
      <c r="AJ153" s="493">
        <v>0</v>
      </c>
      <c r="AK153" s="493">
        <v>0</v>
      </c>
      <c r="AL153" s="493">
        <v>0</v>
      </c>
      <c r="AM153" s="493">
        <v>0</v>
      </c>
      <c r="AN153" s="493">
        <v>0</v>
      </c>
      <c r="AO153" s="493">
        <f t="shared" si="180"/>
        <v>0</v>
      </c>
      <c r="AP153" s="493">
        <f t="shared" si="181"/>
        <v>0</v>
      </c>
      <c r="AQ153" s="495">
        <f t="shared" si="167"/>
        <v>0</v>
      </c>
      <c r="AR153" s="501">
        <f t="shared" si="168"/>
        <v>1520402</v>
      </c>
      <c r="AS153" s="492">
        <f t="shared" si="169"/>
        <v>1055546</v>
      </c>
      <c r="AT153" s="492">
        <f t="shared" si="182"/>
        <v>65000</v>
      </c>
      <c r="AU153" s="492">
        <f t="shared" si="183"/>
        <v>378745</v>
      </c>
      <c r="AV153" s="492">
        <f t="shared" si="183"/>
        <v>21111</v>
      </c>
      <c r="AW153" s="492">
        <f t="shared" si="170"/>
        <v>0</v>
      </c>
      <c r="AX153" s="493">
        <f t="shared" si="171"/>
        <v>2.1732999999999998</v>
      </c>
      <c r="AY153" s="493">
        <f t="shared" si="184"/>
        <v>2.1732999999999998</v>
      </c>
      <c r="AZ153" s="495">
        <f t="shared" si="184"/>
        <v>0</v>
      </c>
    </row>
    <row r="154" spans="1:52" s="238" customFormat="1" x14ac:dyDescent="0.2">
      <c r="A154" s="225">
        <v>28</v>
      </c>
      <c r="B154" s="226">
        <v>4444</v>
      </c>
      <c r="C154" s="226">
        <v>600074731</v>
      </c>
      <c r="D154" s="226">
        <v>48282979</v>
      </c>
      <c r="E154" s="224" t="s">
        <v>203</v>
      </c>
      <c r="F154" s="226">
        <v>3143</v>
      </c>
      <c r="G154" s="176" t="s">
        <v>630</v>
      </c>
      <c r="H154" s="243" t="s">
        <v>279</v>
      </c>
      <c r="I154" s="494">
        <v>52920</v>
      </c>
      <c r="J154" s="489">
        <v>37423</v>
      </c>
      <c r="K154" s="489">
        <v>0</v>
      </c>
      <c r="L154" s="489">
        <v>12649</v>
      </c>
      <c r="M154" s="489">
        <v>748</v>
      </c>
      <c r="N154" s="489">
        <v>2100</v>
      </c>
      <c r="O154" s="490">
        <v>0.15</v>
      </c>
      <c r="P154" s="491">
        <v>0</v>
      </c>
      <c r="Q154" s="500">
        <v>0.15</v>
      </c>
      <c r="R154" s="502">
        <f t="shared" si="159"/>
        <v>0</v>
      </c>
      <c r="S154" s="492">
        <v>0</v>
      </c>
      <c r="T154" s="492">
        <v>0</v>
      </c>
      <c r="U154" s="492">
        <v>0</v>
      </c>
      <c r="V154" s="492">
        <f t="shared" si="160"/>
        <v>0</v>
      </c>
      <c r="W154" s="492">
        <v>0</v>
      </c>
      <c r="X154" s="492">
        <v>0</v>
      </c>
      <c r="Y154" s="492">
        <v>0</v>
      </c>
      <c r="Z154" s="492">
        <f t="shared" si="161"/>
        <v>0</v>
      </c>
      <c r="AA154" s="492">
        <f t="shared" si="162"/>
        <v>0</v>
      </c>
      <c r="AB154" s="74">
        <f t="shared" si="163"/>
        <v>0</v>
      </c>
      <c r="AC154" s="74">
        <f t="shared" si="164"/>
        <v>0</v>
      </c>
      <c r="AD154" s="492">
        <v>0</v>
      </c>
      <c r="AE154" s="492">
        <v>0</v>
      </c>
      <c r="AF154" s="492">
        <f t="shared" si="165"/>
        <v>0</v>
      </c>
      <c r="AG154" s="492">
        <f t="shared" si="166"/>
        <v>0</v>
      </c>
      <c r="AH154" s="493">
        <v>0</v>
      </c>
      <c r="AI154" s="493">
        <v>0</v>
      </c>
      <c r="AJ154" s="493">
        <v>0</v>
      </c>
      <c r="AK154" s="493">
        <v>0</v>
      </c>
      <c r="AL154" s="493">
        <v>0</v>
      </c>
      <c r="AM154" s="493">
        <v>0</v>
      </c>
      <c r="AN154" s="493">
        <v>0</v>
      </c>
      <c r="AO154" s="493">
        <f t="shared" si="180"/>
        <v>0</v>
      </c>
      <c r="AP154" s="493">
        <f t="shared" si="181"/>
        <v>0</v>
      </c>
      <c r="AQ154" s="495">
        <f t="shared" si="167"/>
        <v>0</v>
      </c>
      <c r="AR154" s="501">
        <f t="shared" si="168"/>
        <v>52920</v>
      </c>
      <c r="AS154" s="492">
        <f t="shared" si="169"/>
        <v>37423</v>
      </c>
      <c r="AT154" s="492">
        <f t="shared" si="182"/>
        <v>0</v>
      </c>
      <c r="AU154" s="492">
        <f t="shared" si="183"/>
        <v>12649</v>
      </c>
      <c r="AV154" s="492">
        <f t="shared" si="183"/>
        <v>748</v>
      </c>
      <c r="AW154" s="492">
        <f t="shared" si="170"/>
        <v>2100</v>
      </c>
      <c r="AX154" s="493">
        <f t="shared" si="171"/>
        <v>0.15</v>
      </c>
      <c r="AY154" s="493">
        <f t="shared" si="184"/>
        <v>0</v>
      </c>
      <c r="AZ154" s="495">
        <f t="shared" si="184"/>
        <v>0.15</v>
      </c>
    </row>
    <row r="155" spans="1:52" s="238" customFormat="1" x14ac:dyDescent="0.2">
      <c r="A155" s="225">
        <v>28</v>
      </c>
      <c r="B155" s="226">
        <v>4444</v>
      </c>
      <c r="C155" s="226">
        <v>600074731</v>
      </c>
      <c r="D155" s="226">
        <v>48282979</v>
      </c>
      <c r="E155" s="224" t="s">
        <v>203</v>
      </c>
      <c r="F155" s="226">
        <v>3143</v>
      </c>
      <c r="G155" s="176" t="s">
        <v>318</v>
      </c>
      <c r="H155" s="243" t="s">
        <v>279</v>
      </c>
      <c r="I155" s="494">
        <v>141983</v>
      </c>
      <c r="J155" s="489">
        <v>104303</v>
      </c>
      <c r="K155" s="489">
        <v>0</v>
      </c>
      <c r="L155" s="489">
        <v>35254</v>
      </c>
      <c r="M155" s="489">
        <v>2086</v>
      </c>
      <c r="N155" s="489">
        <v>340</v>
      </c>
      <c r="O155" s="490">
        <v>0.23</v>
      </c>
      <c r="P155" s="491">
        <v>0.19</v>
      </c>
      <c r="Q155" s="500">
        <v>0.04</v>
      </c>
      <c r="R155" s="502">
        <f t="shared" si="159"/>
        <v>0</v>
      </c>
      <c r="S155" s="492">
        <v>0</v>
      </c>
      <c r="T155" s="492">
        <v>0</v>
      </c>
      <c r="U155" s="492">
        <v>0</v>
      </c>
      <c r="V155" s="492">
        <f t="shared" si="160"/>
        <v>0</v>
      </c>
      <c r="W155" s="492">
        <v>0</v>
      </c>
      <c r="X155" s="492">
        <v>0</v>
      </c>
      <c r="Y155" s="492">
        <v>0</v>
      </c>
      <c r="Z155" s="492">
        <f t="shared" si="161"/>
        <v>0</v>
      </c>
      <c r="AA155" s="492">
        <f t="shared" si="162"/>
        <v>0</v>
      </c>
      <c r="AB155" s="74">
        <f t="shared" si="163"/>
        <v>0</v>
      </c>
      <c r="AC155" s="74">
        <f t="shared" si="164"/>
        <v>0</v>
      </c>
      <c r="AD155" s="492">
        <v>0</v>
      </c>
      <c r="AE155" s="492">
        <v>0</v>
      </c>
      <c r="AF155" s="492">
        <f t="shared" si="165"/>
        <v>0</v>
      </c>
      <c r="AG155" s="492">
        <f t="shared" si="166"/>
        <v>0</v>
      </c>
      <c r="AH155" s="493">
        <v>0</v>
      </c>
      <c r="AI155" s="493">
        <v>0</v>
      </c>
      <c r="AJ155" s="493">
        <v>0</v>
      </c>
      <c r="AK155" s="493">
        <v>0</v>
      </c>
      <c r="AL155" s="493">
        <v>0</v>
      </c>
      <c r="AM155" s="493">
        <v>0</v>
      </c>
      <c r="AN155" s="493">
        <v>0</v>
      </c>
      <c r="AO155" s="493">
        <f t="shared" si="180"/>
        <v>0</v>
      </c>
      <c r="AP155" s="493">
        <f t="shared" si="181"/>
        <v>0</v>
      </c>
      <c r="AQ155" s="495">
        <f t="shared" si="167"/>
        <v>0</v>
      </c>
      <c r="AR155" s="501">
        <f t="shared" si="168"/>
        <v>141983</v>
      </c>
      <c r="AS155" s="492">
        <f t="shared" si="169"/>
        <v>104303</v>
      </c>
      <c r="AT155" s="492">
        <f t="shared" si="182"/>
        <v>0</v>
      </c>
      <c r="AU155" s="492">
        <f t="shared" si="183"/>
        <v>35254</v>
      </c>
      <c r="AV155" s="492">
        <f t="shared" si="183"/>
        <v>2086</v>
      </c>
      <c r="AW155" s="492">
        <f t="shared" si="170"/>
        <v>340</v>
      </c>
      <c r="AX155" s="493">
        <f t="shared" si="171"/>
        <v>0.23</v>
      </c>
      <c r="AY155" s="493">
        <f t="shared" si="184"/>
        <v>0.19</v>
      </c>
      <c r="AZ155" s="495">
        <f t="shared" si="184"/>
        <v>0.04</v>
      </c>
    </row>
    <row r="156" spans="1:52" s="238" customFormat="1" x14ac:dyDescent="0.2">
      <c r="A156" s="166">
        <v>28</v>
      </c>
      <c r="B156" s="20">
        <v>4444</v>
      </c>
      <c r="C156" s="20">
        <v>600074731</v>
      </c>
      <c r="D156" s="20">
        <v>48282979</v>
      </c>
      <c r="E156" s="175" t="s">
        <v>204</v>
      </c>
      <c r="F156" s="20"/>
      <c r="G156" s="165"/>
      <c r="H156" s="199"/>
      <c r="I156" s="553">
        <v>21421410</v>
      </c>
      <c r="J156" s="550">
        <v>15411241</v>
      </c>
      <c r="K156" s="550">
        <v>124280</v>
      </c>
      <c r="L156" s="550">
        <v>5251005</v>
      </c>
      <c r="M156" s="550">
        <v>308224</v>
      </c>
      <c r="N156" s="550">
        <v>326660</v>
      </c>
      <c r="O156" s="551">
        <v>33.337199999999996</v>
      </c>
      <c r="P156" s="551">
        <v>23.139600000000002</v>
      </c>
      <c r="Q156" s="555">
        <v>10.1976</v>
      </c>
      <c r="R156" s="553">
        <f t="shared" ref="R156:AZ156" si="185">SUM(R150:R155)</f>
        <v>0</v>
      </c>
      <c r="S156" s="550">
        <f t="shared" si="185"/>
        <v>0</v>
      </c>
      <c r="T156" s="550">
        <f t="shared" si="185"/>
        <v>0</v>
      </c>
      <c r="U156" s="550">
        <f t="shared" si="185"/>
        <v>0</v>
      </c>
      <c r="V156" s="550">
        <f t="shared" si="185"/>
        <v>0</v>
      </c>
      <c r="W156" s="550">
        <f t="shared" si="185"/>
        <v>0</v>
      </c>
      <c r="X156" s="550">
        <f t="shared" si="185"/>
        <v>0</v>
      </c>
      <c r="Y156" s="550">
        <f t="shared" si="185"/>
        <v>0</v>
      </c>
      <c r="Z156" s="550">
        <f t="shared" si="185"/>
        <v>0</v>
      </c>
      <c r="AA156" s="550">
        <f t="shared" si="185"/>
        <v>0</v>
      </c>
      <c r="AB156" s="550">
        <f t="shared" si="185"/>
        <v>0</v>
      </c>
      <c r="AC156" s="550">
        <f t="shared" si="185"/>
        <v>0</v>
      </c>
      <c r="AD156" s="550">
        <f t="shared" si="185"/>
        <v>500</v>
      </c>
      <c r="AE156" s="550">
        <f t="shared" si="185"/>
        <v>0</v>
      </c>
      <c r="AF156" s="550">
        <f t="shared" si="185"/>
        <v>500</v>
      </c>
      <c r="AG156" s="550">
        <f t="shared" si="185"/>
        <v>500</v>
      </c>
      <c r="AH156" s="551">
        <f t="shared" si="185"/>
        <v>0</v>
      </c>
      <c r="AI156" s="551">
        <f t="shared" si="185"/>
        <v>0</v>
      </c>
      <c r="AJ156" s="551">
        <f t="shared" si="185"/>
        <v>0</v>
      </c>
      <c r="AK156" s="551">
        <f t="shared" si="185"/>
        <v>0</v>
      </c>
      <c r="AL156" s="551">
        <f t="shared" si="185"/>
        <v>0</v>
      </c>
      <c r="AM156" s="551">
        <f t="shared" si="185"/>
        <v>0</v>
      </c>
      <c r="AN156" s="551">
        <f t="shared" si="185"/>
        <v>0</v>
      </c>
      <c r="AO156" s="551">
        <f t="shared" si="185"/>
        <v>0</v>
      </c>
      <c r="AP156" s="551">
        <f t="shared" si="185"/>
        <v>0</v>
      </c>
      <c r="AQ156" s="44">
        <f t="shared" si="185"/>
        <v>0</v>
      </c>
      <c r="AR156" s="557">
        <f t="shared" si="185"/>
        <v>21421910</v>
      </c>
      <c r="AS156" s="550">
        <f t="shared" si="185"/>
        <v>15411241</v>
      </c>
      <c r="AT156" s="550">
        <f t="shared" si="185"/>
        <v>124280</v>
      </c>
      <c r="AU156" s="550">
        <f t="shared" si="185"/>
        <v>5251005</v>
      </c>
      <c r="AV156" s="550">
        <f t="shared" si="185"/>
        <v>308224</v>
      </c>
      <c r="AW156" s="550">
        <f t="shared" si="185"/>
        <v>327160</v>
      </c>
      <c r="AX156" s="551">
        <f t="shared" si="185"/>
        <v>33.337199999999996</v>
      </c>
      <c r="AY156" s="551">
        <f t="shared" si="185"/>
        <v>23.139600000000002</v>
      </c>
      <c r="AZ156" s="44">
        <f t="shared" si="185"/>
        <v>10.1976</v>
      </c>
    </row>
    <row r="157" spans="1:52" s="238" customFormat="1" ht="12.75" customHeight="1" x14ac:dyDescent="0.2">
      <c r="A157" s="225">
        <v>29</v>
      </c>
      <c r="B157" s="226">
        <v>4445</v>
      </c>
      <c r="C157" s="226">
        <v>600075044</v>
      </c>
      <c r="D157" s="226">
        <v>72742631</v>
      </c>
      <c r="E157" s="224" t="s">
        <v>205</v>
      </c>
      <c r="F157" s="226">
        <v>3111</v>
      </c>
      <c r="G157" s="176" t="s">
        <v>312</v>
      </c>
      <c r="H157" s="227" t="s">
        <v>278</v>
      </c>
      <c r="I157" s="494">
        <v>2601780</v>
      </c>
      <c r="J157" s="489">
        <v>1906613</v>
      </c>
      <c r="K157" s="489">
        <v>0</v>
      </c>
      <c r="L157" s="489">
        <v>644435</v>
      </c>
      <c r="M157" s="489">
        <v>38132</v>
      </c>
      <c r="N157" s="489">
        <v>12600</v>
      </c>
      <c r="O157" s="490">
        <v>4.7927999999999997</v>
      </c>
      <c r="P157" s="491">
        <v>3.871</v>
      </c>
      <c r="Q157" s="500">
        <v>0.92179999999999995</v>
      </c>
      <c r="R157" s="502">
        <f t="shared" si="159"/>
        <v>0</v>
      </c>
      <c r="S157" s="492">
        <v>0</v>
      </c>
      <c r="T157" s="492">
        <v>0</v>
      </c>
      <c r="U157" s="492">
        <v>0</v>
      </c>
      <c r="V157" s="492">
        <f t="shared" si="160"/>
        <v>0</v>
      </c>
      <c r="W157" s="492">
        <v>0</v>
      </c>
      <c r="X157" s="492">
        <v>0</v>
      </c>
      <c r="Y157" s="492">
        <v>0</v>
      </c>
      <c r="Z157" s="492">
        <f t="shared" si="161"/>
        <v>0</v>
      </c>
      <c r="AA157" s="492">
        <f t="shared" si="162"/>
        <v>0</v>
      </c>
      <c r="AB157" s="74">
        <f t="shared" si="163"/>
        <v>0</v>
      </c>
      <c r="AC157" s="74">
        <f t="shared" si="164"/>
        <v>0</v>
      </c>
      <c r="AD157" s="492">
        <v>0</v>
      </c>
      <c r="AE157" s="492">
        <v>0</v>
      </c>
      <c r="AF157" s="492">
        <f t="shared" si="165"/>
        <v>0</v>
      </c>
      <c r="AG157" s="492">
        <f t="shared" si="166"/>
        <v>0</v>
      </c>
      <c r="AH157" s="493">
        <v>0</v>
      </c>
      <c r="AI157" s="493">
        <v>0</v>
      </c>
      <c r="AJ157" s="493">
        <v>0</v>
      </c>
      <c r="AK157" s="493">
        <v>0</v>
      </c>
      <c r="AL157" s="493">
        <v>0</v>
      </c>
      <c r="AM157" s="493">
        <v>0</v>
      </c>
      <c r="AN157" s="493">
        <v>0</v>
      </c>
      <c r="AO157" s="493">
        <f t="shared" ref="AO157:AO162" si="186">AH157+AJ157+AM157+AK157</f>
        <v>0</v>
      </c>
      <c r="AP157" s="493">
        <f t="shared" ref="AP157:AP162" si="187">AI157+AN157+AL157</f>
        <v>0</v>
      </c>
      <c r="AQ157" s="495">
        <f t="shared" si="167"/>
        <v>0</v>
      </c>
      <c r="AR157" s="501">
        <f t="shared" si="168"/>
        <v>2601780</v>
      </c>
      <c r="AS157" s="492">
        <f t="shared" si="169"/>
        <v>1906613</v>
      </c>
      <c r="AT157" s="492">
        <f t="shared" ref="AT157:AT162" si="188">K157+Z157</f>
        <v>0</v>
      </c>
      <c r="AU157" s="492">
        <f t="shared" ref="AU157:AV162" si="189">L157+AB157</f>
        <v>644435</v>
      </c>
      <c r="AV157" s="492">
        <f t="shared" si="189"/>
        <v>38132</v>
      </c>
      <c r="AW157" s="492">
        <f t="shared" si="170"/>
        <v>12600</v>
      </c>
      <c r="AX157" s="493">
        <f t="shared" si="171"/>
        <v>4.7927999999999997</v>
      </c>
      <c r="AY157" s="493">
        <f t="shared" ref="AY157:AZ162" si="190">P157+AO157</f>
        <v>3.871</v>
      </c>
      <c r="AZ157" s="495">
        <f t="shared" si="190"/>
        <v>0.92179999999999995</v>
      </c>
    </row>
    <row r="158" spans="1:52" s="238" customFormat="1" ht="12.75" customHeight="1" x14ac:dyDescent="0.2">
      <c r="A158" s="225">
        <v>29</v>
      </c>
      <c r="B158" s="226">
        <v>4445</v>
      </c>
      <c r="C158" s="226">
        <v>600075044</v>
      </c>
      <c r="D158" s="226">
        <v>72742631</v>
      </c>
      <c r="E158" s="224" t="s">
        <v>205</v>
      </c>
      <c r="F158" s="226">
        <v>3117</v>
      </c>
      <c r="G158" s="176" t="s">
        <v>315</v>
      </c>
      <c r="H158" s="227" t="s">
        <v>278</v>
      </c>
      <c r="I158" s="494">
        <v>3615183</v>
      </c>
      <c r="J158" s="489">
        <v>2616806</v>
      </c>
      <c r="K158" s="489">
        <v>0</v>
      </c>
      <c r="L158" s="489">
        <v>884481</v>
      </c>
      <c r="M158" s="489">
        <v>52336</v>
      </c>
      <c r="N158" s="489">
        <v>61560</v>
      </c>
      <c r="O158" s="490">
        <v>5.5868000000000002</v>
      </c>
      <c r="P158" s="491">
        <v>3.2765</v>
      </c>
      <c r="Q158" s="500">
        <v>2.3102999999999998</v>
      </c>
      <c r="R158" s="502">
        <f t="shared" si="159"/>
        <v>0</v>
      </c>
      <c r="S158" s="492">
        <v>0</v>
      </c>
      <c r="T158" s="492">
        <v>0</v>
      </c>
      <c r="U158" s="492">
        <v>0</v>
      </c>
      <c r="V158" s="492">
        <f t="shared" si="160"/>
        <v>0</v>
      </c>
      <c r="W158" s="492">
        <v>0</v>
      </c>
      <c r="X158" s="492">
        <v>0</v>
      </c>
      <c r="Y158" s="492">
        <v>0</v>
      </c>
      <c r="Z158" s="492">
        <f t="shared" si="161"/>
        <v>0</v>
      </c>
      <c r="AA158" s="492">
        <f t="shared" si="162"/>
        <v>0</v>
      </c>
      <c r="AB158" s="74">
        <f t="shared" si="163"/>
        <v>0</v>
      </c>
      <c r="AC158" s="74">
        <f t="shared" si="164"/>
        <v>0</v>
      </c>
      <c r="AD158" s="492">
        <v>0</v>
      </c>
      <c r="AE158" s="492">
        <v>0</v>
      </c>
      <c r="AF158" s="492">
        <f t="shared" si="165"/>
        <v>0</v>
      </c>
      <c r="AG158" s="492">
        <f t="shared" si="166"/>
        <v>0</v>
      </c>
      <c r="AH158" s="493">
        <v>0</v>
      </c>
      <c r="AI158" s="493">
        <v>0</v>
      </c>
      <c r="AJ158" s="493">
        <v>0</v>
      </c>
      <c r="AK158" s="493">
        <v>0</v>
      </c>
      <c r="AL158" s="493">
        <v>0</v>
      </c>
      <c r="AM158" s="493">
        <v>0</v>
      </c>
      <c r="AN158" s="493">
        <v>0</v>
      </c>
      <c r="AO158" s="493">
        <f t="shared" si="186"/>
        <v>0</v>
      </c>
      <c r="AP158" s="493">
        <f t="shared" si="187"/>
        <v>0</v>
      </c>
      <c r="AQ158" s="495">
        <f t="shared" si="167"/>
        <v>0</v>
      </c>
      <c r="AR158" s="501">
        <f t="shared" si="168"/>
        <v>3615183</v>
      </c>
      <c r="AS158" s="492">
        <f t="shared" si="169"/>
        <v>2616806</v>
      </c>
      <c r="AT158" s="492">
        <f t="shared" si="188"/>
        <v>0</v>
      </c>
      <c r="AU158" s="492">
        <f t="shared" si="189"/>
        <v>884481</v>
      </c>
      <c r="AV158" s="492">
        <f t="shared" si="189"/>
        <v>52336</v>
      </c>
      <c r="AW158" s="492">
        <f t="shared" si="170"/>
        <v>61560</v>
      </c>
      <c r="AX158" s="493">
        <f t="shared" si="171"/>
        <v>5.5868000000000002</v>
      </c>
      <c r="AY158" s="493">
        <f t="shared" si="190"/>
        <v>3.2765</v>
      </c>
      <c r="AZ158" s="495">
        <f t="shared" si="190"/>
        <v>2.3102999999999998</v>
      </c>
    </row>
    <row r="159" spans="1:52" s="238" customFormat="1" ht="12.75" customHeight="1" x14ac:dyDescent="0.2">
      <c r="A159" s="225">
        <v>29</v>
      </c>
      <c r="B159" s="226">
        <v>4445</v>
      </c>
      <c r="C159" s="226">
        <v>600075044</v>
      </c>
      <c r="D159" s="226">
        <v>72742631</v>
      </c>
      <c r="E159" s="224" t="s">
        <v>205</v>
      </c>
      <c r="F159" s="226">
        <v>3117</v>
      </c>
      <c r="G159" s="176" t="s">
        <v>313</v>
      </c>
      <c r="H159" s="227" t="s">
        <v>279</v>
      </c>
      <c r="I159" s="494">
        <v>684855</v>
      </c>
      <c r="J159" s="489">
        <v>504312</v>
      </c>
      <c r="K159" s="489">
        <v>0</v>
      </c>
      <c r="L159" s="489">
        <v>170457</v>
      </c>
      <c r="M159" s="489">
        <v>10086</v>
      </c>
      <c r="N159" s="489">
        <v>0</v>
      </c>
      <c r="O159" s="490">
        <v>1.44</v>
      </c>
      <c r="P159" s="491">
        <v>1.44</v>
      </c>
      <c r="Q159" s="500">
        <v>0</v>
      </c>
      <c r="R159" s="502">
        <f t="shared" si="159"/>
        <v>0</v>
      </c>
      <c r="S159" s="492">
        <v>0</v>
      </c>
      <c r="T159" s="492">
        <v>0</v>
      </c>
      <c r="U159" s="492">
        <v>0</v>
      </c>
      <c r="V159" s="492">
        <f t="shared" si="160"/>
        <v>0</v>
      </c>
      <c r="W159" s="492">
        <v>0</v>
      </c>
      <c r="X159" s="492">
        <v>0</v>
      </c>
      <c r="Y159" s="492">
        <v>0</v>
      </c>
      <c r="Z159" s="492">
        <f t="shared" si="161"/>
        <v>0</v>
      </c>
      <c r="AA159" s="492">
        <f t="shared" si="162"/>
        <v>0</v>
      </c>
      <c r="AB159" s="74">
        <f t="shared" si="163"/>
        <v>0</v>
      </c>
      <c r="AC159" s="74">
        <f t="shared" si="164"/>
        <v>0</v>
      </c>
      <c r="AD159" s="492">
        <v>0</v>
      </c>
      <c r="AE159" s="492">
        <v>0</v>
      </c>
      <c r="AF159" s="492">
        <f t="shared" si="165"/>
        <v>0</v>
      </c>
      <c r="AG159" s="492">
        <f t="shared" si="166"/>
        <v>0</v>
      </c>
      <c r="AH159" s="493">
        <v>0</v>
      </c>
      <c r="AI159" s="493">
        <v>0</v>
      </c>
      <c r="AJ159" s="493">
        <v>0</v>
      </c>
      <c r="AK159" s="493">
        <v>0</v>
      </c>
      <c r="AL159" s="493">
        <v>0</v>
      </c>
      <c r="AM159" s="493">
        <v>0</v>
      </c>
      <c r="AN159" s="493">
        <v>0</v>
      </c>
      <c r="AO159" s="493">
        <f t="shared" si="186"/>
        <v>0</v>
      </c>
      <c r="AP159" s="493">
        <f t="shared" si="187"/>
        <v>0</v>
      </c>
      <c r="AQ159" s="495">
        <f t="shared" si="167"/>
        <v>0</v>
      </c>
      <c r="AR159" s="501">
        <f t="shared" si="168"/>
        <v>684855</v>
      </c>
      <c r="AS159" s="492">
        <f t="shared" si="169"/>
        <v>504312</v>
      </c>
      <c r="AT159" s="492">
        <f t="shared" si="188"/>
        <v>0</v>
      </c>
      <c r="AU159" s="492">
        <f t="shared" si="189"/>
        <v>170457</v>
      </c>
      <c r="AV159" s="492">
        <f t="shared" si="189"/>
        <v>10086</v>
      </c>
      <c r="AW159" s="492">
        <f t="shared" si="170"/>
        <v>0</v>
      </c>
      <c r="AX159" s="493">
        <f t="shared" si="171"/>
        <v>1.44</v>
      </c>
      <c r="AY159" s="493">
        <f t="shared" si="190"/>
        <v>1.44</v>
      </c>
      <c r="AZ159" s="495">
        <f t="shared" si="190"/>
        <v>0</v>
      </c>
    </row>
    <row r="160" spans="1:52" s="238" customFormat="1" ht="12.75" customHeight="1" x14ac:dyDescent="0.2">
      <c r="A160" s="225">
        <v>29</v>
      </c>
      <c r="B160" s="226">
        <v>4445</v>
      </c>
      <c r="C160" s="226">
        <v>600075044</v>
      </c>
      <c r="D160" s="226">
        <v>72742631</v>
      </c>
      <c r="E160" s="224" t="s">
        <v>205</v>
      </c>
      <c r="F160" s="226">
        <v>3141</v>
      </c>
      <c r="G160" s="176" t="s">
        <v>316</v>
      </c>
      <c r="H160" s="227" t="s">
        <v>279</v>
      </c>
      <c r="I160" s="494">
        <v>871294</v>
      </c>
      <c r="J160" s="489">
        <v>638868</v>
      </c>
      <c r="K160" s="489">
        <v>0</v>
      </c>
      <c r="L160" s="489">
        <v>215937</v>
      </c>
      <c r="M160" s="489">
        <v>12777</v>
      </c>
      <c r="N160" s="489">
        <v>3712</v>
      </c>
      <c r="O160" s="490">
        <v>2.0099999999999998</v>
      </c>
      <c r="P160" s="491">
        <v>0</v>
      </c>
      <c r="Q160" s="500">
        <v>2.0099999999999998</v>
      </c>
      <c r="R160" s="502">
        <f t="shared" si="159"/>
        <v>0</v>
      </c>
      <c r="S160" s="492">
        <v>0</v>
      </c>
      <c r="T160" s="492">
        <v>0</v>
      </c>
      <c r="U160" s="492">
        <v>0</v>
      </c>
      <c r="V160" s="492">
        <f t="shared" si="160"/>
        <v>0</v>
      </c>
      <c r="W160" s="492">
        <v>0</v>
      </c>
      <c r="X160" s="492">
        <v>0</v>
      </c>
      <c r="Y160" s="492">
        <v>0</v>
      </c>
      <c r="Z160" s="492">
        <f t="shared" si="161"/>
        <v>0</v>
      </c>
      <c r="AA160" s="492">
        <f t="shared" si="162"/>
        <v>0</v>
      </c>
      <c r="AB160" s="74">
        <f t="shared" si="163"/>
        <v>0</v>
      </c>
      <c r="AC160" s="74">
        <f t="shared" si="164"/>
        <v>0</v>
      </c>
      <c r="AD160" s="492">
        <v>0</v>
      </c>
      <c r="AE160" s="492">
        <v>0</v>
      </c>
      <c r="AF160" s="492">
        <f t="shared" si="165"/>
        <v>0</v>
      </c>
      <c r="AG160" s="492">
        <f t="shared" si="166"/>
        <v>0</v>
      </c>
      <c r="AH160" s="493">
        <v>0</v>
      </c>
      <c r="AI160" s="493">
        <v>0</v>
      </c>
      <c r="AJ160" s="493">
        <v>0</v>
      </c>
      <c r="AK160" s="493">
        <v>0</v>
      </c>
      <c r="AL160" s="493">
        <v>0</v>
      </c>
      <c r="AM160" s="493">
        <v>0</v>
      </c>
      <c r="AN160" s="493">
        <v>0</v>
      </c>
      <c r="AO160" s="493">
        <f t="shared" si="186"/>
        <v>0</v>
      </c>
      <c r="AP160" s="493">
        <f t="shared" si="187"/>
        <v>0</v>
      </c>
      <c r="AQ160" s="495">
        <f t="shared" si="167"/>
        <v>0</v>
      </c>
      <c r="AR160" s="501">
        <f t="shared" si="168"/>
        <v>871294</v>
      </c>
      <c r="AS160" s="492">
        <f t="shared" si="169"/>
        <v>638868</v>
      </c>
      <c r="AT160" s="492">
        <f t="shared" si="188"/>
        <v>0</v>
      </c>
      <c r="AU160" s="492">
        <f t="shared" si="189"/>
        <v>215937</v>
      </c>
      <c r="AV160" s="492">
        <f t="shared" si="189"/>
        <v>12777</v>
      </c>
      <c r="AW160" s="492">
        <f t="shared" si="170"/>
        <v>3712</v>
      </c>
      <c r="AX160" s="493">
        <f t="shared" si="171"/>
        <v>2.0099999999999998</v>
      </c>
      <c r="AY160" s="493">
        <f t="shared" si="190"/>
        <v>0</v>
      </c>
      <c r="AZ160" s="495">
        <f t="shared" si="190"/>
        <v>2.0099999999999998</v>
      </c>
    </row>
    <row r="161" spans="1:52" s="238" customFormat="1" ht="12.75" customHeight="1" x14ac:dyDescent="0.2">
      <c r="A161" s="225">
        <v>29</v>
      </c>
      <c r="B161" s="226">
        <v>4445</v>
      </c>
      <c r="C161" s="226">
        <v>600075044</v>
      </c>
      <c r="D161" s="226">
        <v>72742631</v>
      </c>
      <c r="E161" s="219" t="s">
        <v>205</v>
      </c>
      <c r="F161" s="226">
        <v>3143</v>
      </c>
      <c r="G161" s="176" t="s">
        <v>629</v>
      </c>
      <c r="H161" s="243" t="s">
        <v>278</v>
      </c>
      <c r="I161" s="494">
        <v>699166</v>
      </c>
      <c r="J161" s="489">
        <v>514850</v>
      </c>
      <c r="K161" s="489">
        <v>0</v>
      </c>
      <c r="L161" s="489">
        <v>174019</v>
      </c>
      <c r="M161" s="489">
        <v>10297</v>
      </c>
      <c r="N161" s="489">
        <v>0</v>
      </c>
      <c r="O161" s="490">
        <v>1.2857000000000001</v>
      </c>
      <c r="P161" s="491">
        <v>1.2857000000000001</v>
      </c>
      <c r="Q161" s="500">
        <v>0</v>
      </c>
      <c r="R161" s="502">
        <f t="shared" si="159"/>
        <v>0</v>
      </c>
      <c r="S161" s="492">
        <v>0</v>
      </c>
      <c r="T161" s="492">
        <v>0</v>
      </c>
      <c r="U161" s="492">
        <v>0</v>
      </c>
      <c r="V161" s="492">
        <f t="shared" si="160"/>
        <v>0</v>
      </c>
      <c r="W161" s="492">
        <v>0</v>
      </c>
      <c r="X161" s="492">
        <v>0</v>
      </c>
      <c r="Y161" s="492">
        <v>0</v>
      </c>
      <c r="Z161" s="492">
        <f t="shared" si="161"/>
        <v>0</v>
      </c>
      <c r="AA161" s="492">
        <f t="shared" si="162"/>
        <v>0</v>
      </c>
      <c r="AB161" s="74">
        <f t="shared" si="163"/>
        <v>0</v>
      </c>
      <c r="AC161" s="74">
        <f t="shared" si="164"/>
        <v>0</v>
      </c>
      <c r="AD161" s="492">
        <v>0</v>
      </c>
      <c r="AE161" s="492">
        <v>0</v>
      </c>
      <c r="AF161" s="492">
        <f t="shared" si="165"/>
        <v>0</v>
      </c>
      <c r="AG161" s="492">
        <f t="shared" si="166"/>
        <v>0</v>
      </c>
      <c r="AH161" s="493">
        <v>0</v>
      </c>
      <c r="AI161" s="493">
        <v>0</v>
      </c>
      <c r="AJ161" s="493">
        <v>0</v>
      </c>
      <c r="AK161" s="493">
        <v>0</v>
      </c>
      <c r="AL161" s="493">
        <v>0</v>
      </c>
      <c r="AM161" s="493">
        <v>0</v>
      </c>
      <c r="AN161" s="493">
        <v>0</v>
      </c>
      <c r="AO161" s="493">
        <f t="shared" si="186"/>
        <v>0</v>
      </c>
      <c r="AP161" s="493">
        <f t="shared" si="187"/>
        <v>0</v>
      </c>
      <c r="AQ161" s="495">
        <f t="shared" si="167"/>
        <v>0</v>
      </c>
      <c r="AR161" s="501">
        <f t="shared" si="168"/>
        <v>699166</v>
      </c>
      <c r="AS161" s="492">
        <f t="shared" si="169"/>
        <v>514850</v>
      </c>
      <c r="AT161" s="492">
        <f t="shared" si="188"/>
        <v>0</v>
      </c>
      <c r="AU161" s="492">
        <f t="shared" si="189"/>
        <v>174019</v>
      </c>
      <c r="AV161" s="492">
        <f t="shared" si="189"/>
        <v>10297</v>
      </c>
      <c r="AW161" s="492">
        <f t="shared" si="170"/>
        <v>0</v>
      </c>
      <c r="AX161" s="493">
        <f t="shared" si="171"/>
        <v>1.2857000000000001</v>
      </c>
      <c r="AY161" s="493">
        <f t="shared" si="190"/>
        <v>1.2857000000000001</v>
      </c>
      <c r="AZ161" s="495">
        <f t="shared" si="190"/>
        <v>0</v>
      </c>
    </row>
    <row r="162" spans="1:52" s="238" customFormat="1" ht="12.75" customHeight="1" x14ac:dyDescent="0.2">
      <c r="A162" s="225">
        <v>29</v>
      </c>
      <c r="B162" s="226">
        <v>4445</v>
      </c>
      <c r="C162" s="226">
        <v>600075044</v>
      </c>
      <c r="D162" s="226">
        <v>72742631</v>
      </c>
      <c r="E162" s="219" t="s">
        <v>205</v>
      </c>
      <c r="F162" s="226">
        <v>3143</v>
      </c>
      <c r="G162" s="176" t="s">
        <v>630</v>
      </c>
      <c r="H162" s="243" t="s">
        <v>279</v>
      </c>
      <c r="I162" s="494">
        <v>27216</v>
      </c>
      <c r="J162" s="489">
        <v>19246</v>
      </c>
      <c r="K162" s="489">
        <v>0</v>
      </c>
      <c r="L162" s="489">
        <v>6505</v>
      </c>
      <c r="M162" s="489">
        <v>385</v>
      </c>
      <c r="N162" s="489">
        <v>1080</v>
      </c>
      <c r="O162" s="490">
        <v>0.08</v>
      </c>
      <c r="P162" s="491">
        <v>0</v>
      </c>
      <c r="Q162" s="500">
        <v>0.08</v>
      </c>
      <c r="R162" s="502">
        <f t="shared" si="159"/>
        <v>0</v>
      </c>
      <c r="S162" s="492">
        <v>0</v>
      </c>
      <c r="T162" s="492">
        <v>0</v>
      </c>
      <c r="U162" s="492">
        <v>0</v>
      </c>
      <c r="V162" s="492">
        <f t="shared" si="160"/>
        <v>0</v>
      </c>
      <c r="W162" s="492">
        <v>0</v>
      </c>
      <c r="X162" s="492">
        <v>0</v>
      </c>
      <c r="Y162" s="492">
        <v>0</v>
      </c>
      <c r="Z162" s="492">
        <f t="shared" si="161"/>
        <v>0</v>
      </c>
      <c r="AA162" s="492">
        <f t="shared" si="162"/>
        <v>0</v>
      </c>
      <c r="AB162" s="74">
        <f t="shared" si="163"/>
        <v>0</v>
      </c>
      <c r="AC162" s="74">
        <f t="shared" si="164"/>
        <v>0</v>
      </c>
      <c r="AD162" s="492">
        <v>0</v>
      </c>
      <c r="AE162" s="492">
        <v>0</v>
      </c>
      <c r="AF162" s="492">
        <f t="shared" si="165"/>
        <v>0</v>
      </c>
      <c r="AG162" s="492">
        <f t="shared" si="166"/>
        <v>0</v>
      </c>
      <c r="AH162" s="493">
        <v>0</v>
      </c>
      <c r="AI162" s="493">
        <v>0</v>
      </c>
      <c r="AJ162" s="493">
        <v>0</v>
      </c>
      <c r="AK162" s="493">
        <v>0</v>
      </c>
      <c r="AL162" s="493">
        <v>0</v>
      </c>
      <c r="AM162" s="493">
        <v>0</v>
      </c>
      <c r="AN162" s="493">
        <v>0</v>
      </c>
      <c r="AO162" s="493">
        <f t="shared" si="186"/>
        <v>0</v>
      </c>
      <c r="AP162" s="493">
        <f t="shared" si="187"/>
        <v>0</v>
      </c>
      <c r="AQ162" s="495">
        <f t="shared" si="167"/>
        <v>0</v>
      </c>
      <c r="AR162" s="501">
        <f t="shared" si="168"/>
        <v>27216</v>
      </c>
      <c r="AS162" s="492">
        <f t="shared" si="169"/>
        <v>19246</v>
      </c>
      <c r="AT162" s="492">
        <f t="shared" si="188"/>
        <v>0</v>
      </c>
      <c r="AU162" s="492">
        <f t="shared" si="189"/>
        <v>6505</v>
      </c>
      <c r="AV162" s="492">
        <f t="shared" si="189"/>
        <v>385</v>
      </c>
      <c r="AW162" s="492">
        <f t="shared" si="170"/>
        <v>1080</v>
      </c>
      <c r="AX162" s="493">
        <f t="shared" si="171"/>
        <v>0.08</v>
      </c>
      <c r="AY162" s="493">
        <f t="shared" si="190"/>
        <v>0</v>
      </c>
      <c r="AZ162" s="495">
        <f t="shared" si="190"/>
        <v>0.08</v>
      </c>
    </row>
    <row r="163" spans="1:52" s="238" customFormat="1" ht="12.75" customHeight="1" x14ac:dyDescent="0.2">
      <c r="A163" s="166">
        <v>29</v>
      </c>
      <c r="B163" s="20">
        <v>4445</v>
      </c>
      <c r="C163" s="20">
        <v>600075044</v>
      </c>
      <c r="D163" s="20">
        <v>72742631</v>
      </c>
      <c r="E163" s="175" t="s">
        <v>206</v>
      </c>
      <c r="F163" s="20"/>
      <c r="G163" s="165"/>
      <c r="H163" s="199"/>
      <c r="I163" s="553">
        <v>8499494</v>
      </c>
      <c r="J163" s="550">
        <v>6200695</v>
      </c>
      <c r="K163" s="550">
        <v>0</v>
      </c>
      <c r="L163" s="550">
        <v>2095834</v>
      </c>
      <c r="M163" s="550">
        <v>124013</v>
      </c>
      <c r="N163" s="550">
        <v>78952</v>
      </c>
      <c r="O163" s="551">
        <v>15.1953</v>
      </c>
      <c r="P163" s="551">
        <v>9.8732000000000006</v>
      </c>
      <c r="Q163" s="555">
        <v>5.3220999999999998</v>
      </c>
      <c r="R163" s="553">
        <f t="shared" ref="R163:AZ163" si="191">SUM(R157:R162)</f>
        <v>0</v>
      </c>
      <c r="S163" s="550">
        <f t="shared" si="191"/>
        <v>0</v>
      </c>
      <c r="T163" s="550">
        <f t="shared" si="191"/>
        <v>0</v>
      </c>
      <c r="U163" s="550">
        <f t="shared" si="191"/>
        <v>0</v>
      </c>
      <c r="V163" s="550">
        <f t="shared" si="191"/>
        <v>0</v>
      </c>
      <c r="W163" s="550">
        <f t="shared" si="191"/>
        <v>0</v>
      </c>
      <c r="X163" s="550">
        <f t="shared" si="191"/>
        <v>0</v>
      </c>
      <c r="Y163" s="550">
        <f t="shared" si="191"/>
        <v>0</v>
      </c>
      <c r="Z163" s="550">
        <f t="shared" si="191"/>
        <v>0</v>
      </c>
      <c r="AA163" s="550">
        <f t="shared" si="191"/>
        <v>0</v>
      </c>
      <c r="AB163" s="550">
        <f t="shared" si="191"/>
        <v>0</v>
      </c>
      <c r="AC163" s="550">
        <f t="shared" si="191"/>
        <v>0</v>
      </c>
      <c r="AD163" s="550">
        <f t="shared" si="191"/>
        <v>0</v>
      </c>
      <c r="AE163" s="550">
        <f t="shared" si="191"/>
        <v>0</v>
      </c>
      <c r="AF163" s="550">
        <f t="shared" si="191"/>
        <v>0</v>
      </c>
      <c r="AG163" s="550">
        <f t="shared" si="191"/>
        <v>0</v>
      </c>
      <c r="AH163" s="551">
        <f t="shared" si="191"/>
        <v>0</v>
      </c>
      <c r="AI163" s="551">
        <f t="shared" si="191"/>
        <v>0</v>
      </c>
      <c r="AJ163" s="551">
        <f t="shared" si="191"/>
        <v>0</v>
      </c>
      <c r="AK163" s="551">
        <f t="shared" si="191"/>
        <v>0</v>
      </c>
      <c r="AL163" s="551">
        <f t="shared" si="191"/>
        <v>0</v>
      </c>
      <c r="AM163" s="551">
        <f t="shared" si="191"/>
        <v>0</v>
      </c>
      <c r="AN163" s="551">
        <f t="shared" si="191"/>
        <v>0</v>
      </c>
      <c r="AO163" s="551">
        <f t="shared" si="191"/>
        <v>0</v>
      </c>
      <c r="AP163" s="551">
        <f t="shared" si="191"/>
        <v>0</v>
      </c>
      <c r="AQ163" s="44">
        <f t="shared" si="191"/>
        <v>0</v>
      </c>
      <c r="AR163" s="557">
        <f t="shared" si="191"/>
        <v>8499494</v>
      </c>
      <c r="AS163" s="550">
        <f t="shared" si="191"/>
        <v>6200695</v>
      </c>
      <c r="AT163" s="550">
        <f t="shared" si="191"/>
        <v>0</v>
      </c>
      <c r="AU163" s="550">
        <f t="shared" si="191"/>
        <v>2095834</v>
      </c>
      <c r="AV163" s="550">
        <f t="shared" si="191"/>
        <v>124013</v>
      </c>
      <c r="AW163" s="550">
        <f t="shared" si="191"/>
        <v>78952</v>
      </c>
      <c r="AX163" s="551">
        <f t="shared" si="191"/>
        <v>15.1953</v>
      </c>
      <c r="AY163" s="551">
        <f t="shared" si="191"/>
        <v>9.8732000000000006</v>
      </c>
      <c r="AZ163" s="44">
        <f t="shared" si="191"/>
        <v>5.3220999999999998</v>
      </c>
    </row>
    <row r="164" spans="1:52" s="238" customFormat="1" ht="12.75" customHeight="1" x14ac:dyDescent="0.2">
      <c r="A164" s="225">
        <v>30</v>
      </c>
      <c r="B164" s="226">
        <v>4446</v>
      </c>
      <c r="C164" s="226">
        <v>600074587</v>
      </c>
      <c r="D164" s="226">
        <v>70695504</v>
      </c>
      <c r="E164" s="224" t="s">
        <v>207</v>
      </c>
      <c r="F164" s="226">
        <v>3111</v>
      </c>
      <c r="G164" s="176" t="s">
        <v>312</v>
      </c>
      <c r="H164" s="227" t="s">
        <v>278</v>
      </c>
      <c r="I164" s="494">
        <v>1745140</v>
      </c>
      <c r="J164" s="489">
        <v>1275803</v>
      </c>
      <c r="K164" s="489">
        <v>0</v>
      </c>
      <c r="L164" s="489">
        <v>431221</v>
      </c>
      <c r="M164" s="489">
        <v>25516</v>
      </c>
      <c r="N164" s="489">
        <v>12600</v>
      </c>
      <c r="O164" s="490">
        <v>3.1796999999999995</v>
      </c>
      <c r="P164" s="491">
        <v>2.2578999999999998</v>
      </c>
      <c r="Q164" s="500">
        <v>0.92179999999999995</v>
      </c>
      <c r="R164" s="502">
        <f t="shared" si="159"/>
        <v>0</v>
      </c>
      <c r="S164" s="492">
        <v>0</v>
      </c>
      <c r="T164" s="492">
        <v>0</v>
      </c>
      <c r="U164" s="492">
        <v>0</v>
      </c>
      <c r="V164" s="492">
        <f t="shared" si="160"/>
        <v>0</v>
      </c>
      <c r="W164" s="492">
        <v>0</v>
      </c>
      <c r="X164" s="492">
        <v>0</v>
      </c>
      <c r="Y164" s="492">
        <v>0</v>
      </c>
      <c r="Z164" s="492">
        <f t="shared" si="161"/>
        <v>0</v>
      </c>
      <c r="AA164" s="492">
        <f t="shared" si="162"/>
        <v>0</v>
      </c>
      <c r="AB164" s="74">
        <f t="shared" si="163"/>
        <v>0</v>
      </c>
      <c r="AC164" s="74">
        <f t="shared" si="164"/>
        <v>0</v>
      </c>
      <c r="AD164" s="492">
        <v>0</v>
      </c>
      <c r="AE164" s="492">
        <v>0</v>
      </c>
      <c r="AF164" s="492">
        <f t="shared" si="165"/>
        <v>0</v>
      </c>
      <c r="AG164" s="492">
        <f t="shared" si="166"/>
        <v>0</v>
      </c>
      <c r="AH164" s="493">
        <v>0</v>
      </c>
      <c r="AI164" s="493">
        <v>0</v>
      </c>
      <c r="AJ164" s="493">
        <v>0</v>
      </c>
      <c r="AK164" s="493">
        <v>0</v>
      </c>
      <c r="AL164" s="493">
        <v>0</v>
      </c>
      <c r="AM164" s="493">
        <v>0</v>
      </c>
      <c r="AN164" s="493">
        <v>0</v>
      </c>
      <c r="AO164" s="493">
        <f t="shared" ref="AO164:AO169" si="192">AH164+AJ164+AM164+AK164</f>
        <v>0</v>
      </c>
      <c r="AP164" s="493">
        <f t="shared" ref="AP164:AP169" si="193">AI164+AN164+AL164</f>
        <v>0</v>
      </c>
      <c r="AQ164" s="495">
        <f t="shared" si="167"/>
        <v>0</v>
      </c>
      <c r="AR164" s="501">
        <f t="shared" si="168"/>
        <v>1745140</v>
      </c>
      <c r="AS164" s="492">
        <f t="shared" si="169"/>
        <v>1275803</v>
      </c>
      <c r="AT164" s="492">
        <f t="shared" ref="AT164:AT169" si="194">K164+Z164</f>
        <v>0</v>
      </c>
      <c r="AU164" s="492">
        <f t="shared" ref="AU164:AV169" si="195">L164+AB164</f>
        <v>431221</v>
      </c>
      <c r="AV164" s="492">
        <f t="shared" si="195"/>
        <v>25516</v>
      </c>
      <c r="AW164" s="492">
        <f t="shared" si="170"/>
        <v>12600</v>
      </c>
      <c r="AX164" s="493">
        <f t="shared" si="171"/>
        <v>3.1796999999999995</v>
      </c>
      <c r="AY164" s="493">
        <f t="shared" ref="AY164:AZ169" si="196">P164+AO164</f>
        <v>2.2578999999999998</v>
      </c>
      <c r="AZ164" s="495">
        <f t="shared" si="196"/>
        <v>0.92179999999999995</v>
      </c>
    </row>
    <row r="165" spans="1:52" s="238" customFormat="1" ht="12.75" customHeight="1" x14ac:dyDescent="0.2">
      <c r="A165" s="225">
        <v>30</v>
      </c>
      <c r="B165" s="226">
        <v>4446</v>
      </c>
      <c r="C165" s="226">
        <v>600074587</v>
      </c>
      <c r="D165" s="226">
        <v>70695504</v>
      </c>
      <c r="E165" s="224" t="s">
        <v>207</v>
      </c>
      <c r="F165" s="226">
        <v>3117</v>
      </c>
      <c r="G165" s="176" t="s">
        <v>315</v>
      </c>
      <c r="H165" s="227" t="s">
        <v>278</v>
      </c>
      <c r="I165" s="494">
        <v>2737233</v>
      </c>
      <c r="J165" s="489">
        <v>1982896</v>
      </c>
      <c r="K165" s="489">
        <v>0</v>
      </c>
      <c r="L165" s="489">
        <v>670219</v>
      </c>
      <c r="M165" s="489">
        <v>39658</v>
      </c>
      <c r="N165" s="489">
        <v>44460</v>
      </c>
      <c r="O165" s="490">
        <v>4.0374999999999996</v>
      </c>
      <c r="P165" s="491">
        <v>2.742</v>
      </c>
      <c r="Q165" s="500">
        <v>1.2955000000000001</v>
      </c>
      <c r="R165" s="502">
        <f t="shared" si="159"/>
        <v>0</v>
      </c>
      <c r="S165" s="492">
        <v>0</v>
      </c>
      <c r="T165" s="492">
        <v>0</v>
      </c>
      <c r="U165" s="492">
        <v>0</v>
      </c>
      <c r="V165" s="492">
        <f t="shared" si="160"/>
        <v>0</v>
      </c>
      <c r="W165" s="492">
        <v>0</v>
      </c>
      <c r="X165" s="492">
        <v>0</v>
      </c>
      <c r="Y165" s="492">
        <v>0</v>
      </c>
      <c r="Z165" s="492">
        <f t="shared" si="161"/>
        <v>0</v>
      </c>
      <c r="AA165" s="492">
        <f t="shared" si="162"/>
        <v>0</v>
      </c>
      <c r="AB165" s="74">
        <f t="shared" si="163"/>
        <v>0</v>
      </c>
      <c r="AC165" s="74">
        <f t="shared" si="164"/>
        <v>0</v>
      </c>
      <c r="AD165" s="492">
        <v>0</v>
      </c>
      <c r="AE165" s="492">
        <v>0</v>
      </c>
      <c r="AF165" s="492">
        <f t="shared" si="165"/>
        <v>0</v>
      </c>
      <c r="AG165" s="492">
        <f t="shared" si="166"/>
        <v>0</v>
      </c>
      <c r="AH165" s="493">
        <v>0</v>
      </c>
      <c r="AI165" s="493">
        <v>0</v>
      </c>
      <c r="AJ165" s="493">
        <v>0</v>
      </c>
      <c r="AK165" s="493">
        <v>0</v>
      </c>
      <c r="AL165" s="493">
        <v>0</v>
      </c>
      <c r="AM165" s="493">
        <v>0</v>
      </c>
      <c r="AN165" s="493">
        <v>0</v>
      </c>
      <c r="AO165" s="493">
        <f t="shared" si="192"/>
        <v>0</v>
      </c>
      <c r="AP165" s="493">
        <f t="shared" si="193"/>
        <v>0</v>
      </c>
      <c r="AQ165" s="495">
        <f t="shared" si="167"/>
        <v>0</v>
      </c>
      <c r="AR165" s="501">
        <f t="shared" si="168"/>
        <v>2737233</v>
      </c>
      <c r="AS165" s="492">
        <f t="shared" si="169"/>
        <v>1982896</v>
      </c>
      <c r="AT165" s="492">
        <f t="shared" si="194"/>
        <v>0</v>
      </c>
      <c r="AU165" s="492">
        <f t="shared" si="195"/>
        <v>670219</v>
      </c>
      <c r="AV165" s="492">
        <f t="shared" si="195"/>
        <v>39658</v>
      </c>
      <c r="AW165" s="492">
        <f t="shared" si="170"/>
        <v>44460</v>
      </c>
      <c r="AX165" s="493">
        <f t="shared" si="171"/>
        <v>4.0374999999999996</v>
      </c>
      <c r="AY165" s="493">
        <f t="shared" si="196"/>
        <v>2.742</v>
      </c>
      <c r="AZ165" s="495">
        <f t="shared" si="196"/>
        <v>1.2955000000000001</v>
      </c>
    </row>
    <row r="166" spans="1:52" s="238" customFormat="1" ht="12.75" customHeight="1" x14ac:dyDescent="0.2">
      <c r="A166" s="225">
        <v>30</v>
      </c>
      <c r="B166" s="226">
        <v>4446</v>
      </c>
      <c r="C166" s="226">
        <v>600074587</v>
      </c>
      <c r="D166" s="226">
        <v>70695504</v>
      </c>
      <c r="E166" s="224" t="s">
        <v>207</v>
      </c>
      <c r="F166" s="226">
        <v>3117</v>
      </c>
      <c r="G166" s="176" t="s">
        <v>313</v>
      </c>
      <c r="H166" s="227" t="s">
        <v>279</v>
      </c>
      <c r="I166" s="494">
        <v>642964</v>
      </c>
      <c r="J166" s="489">
        <v>473464</v>
      </c>
      <c r="K166" s="489">
        <v>0</v>
      </c>
      <c r="L166" s="489">
        <v>160031</v>
      </c>
      <c r="M166" s="489">
        <v>9469</v>
      </c>
      <c r="N166" s="489">
        <v>0</v>
      </c>
      <c r="O166" s="490">
        <v>1.5</v>
      </c>
      <c r="P166" s="491">
        <v>1.5</v>
      </c>
      <c r="Q166" s="500">
        <v>0</v>
      </c>
      <c r="R166" s="502">
        <f t="shared" si="159"/>
        <v>0</v>
      </c>
      <c r="S166" s="492">
        <v>0</v>
      </c>
      <c r="T166" s="492">
        <v>0</v>
      </c>
      <c r="U166" s="492">
        <v>0</v>
      </c>
      <c r="V166" s="492">
        <f t="shared" si="160"/>
        <v>0</v>
      </c>
      <c r="W166" s="492">
        <v>0</v>
      </c>
      <c r="X166" s="492">
        <v>0</v>
      </c>
      <c r="Y166" s="492">
        <v>0</v>
      </c>
      <c r="Z166" s="492">
        <f t="shared" si="161"/>
        <v>0</v>
      </c>
      <c r="AA166" s="492">
        <f t="shared" si="162"/>
        <v>0</v>
      </c>
      <c r="AB166" s="74">
        <f t="shared" si="163"/>
        <v>0</v>
      </c>
      <c r="AC166" s="74">
        <f t="shared" si="164"/>
        <v>0</v>
      </c>
      <c r="AD166" s="492">
        <v>0</v>
      </c>
      <c r="AE166" s="492">
        <v>0</v>
      </c>
      <c r="AF166" s="492">
        <f t="shared" si="165"/>
        <v>0</v>
      </c>
      <c r="AG166" s="492">
        <f t="shared" si="166"/>
        <v>0</v>
      </c>
      <c r="AH166" s="493">
        <v>0</v>
      </c>
      <c r="AI166" s="493">
        <v>0</v>
      </c>
      <c r="AJ166" s="493">
        <v>0</v>
      </c>
      <c r="AK166" s="493">
        <v>0</v>
      </c>
      <c r="AL166" s="493">
        <v>0</v>
      </c>
      <c r="AM166" s="493">
        <v>0</v>
      </c>
      <c r="AN166" s="493">
        <v>0</v>
      </c>
      <c r="AO166" s="493">
        <f t="shared" si="192"/>
        <v>0</v>
      </c>
      <c r="AP166" s="493">
        <f t="shared" si="193"/>
        <v>0</v>
      </c>
      <c r="AQ166" s="495">
        <f t="shared" si="167"/>
        <v>0</v>
      </c>
      <c r="AR166" s="501">
        <f t="shared" si="168"/>
        <v>642964</v>
      </c>
      <c r="AS166" s="492">
        <f t="shared" si="169"/>
        <v>473464</v>
      </c>
      <c r="AT166" s="492">
        <f t="shared" si="194"/>
        <v>0</v>
      </c>
      <c r="AU166" s="492">
        <f t="shared" si="195"/>
        <v>160031</v>
      </c>
      <c r="AV166" s="492">
        <f t="shared" si="195"/>
        <v>9469</v>
      </c>
      <c r="AW166" s="492">
        <f t="shared" si="170"/>
        <v>0</v>
      </c>
      <c r="AX166" s="493">
        <f t="shared" si="171"/>
        <v>1.5</v>
      </c>
      <c r="AY166" s="493">
        <f t="shared" si="196"/>
        <v>1.5</v>
      </c>
      <c r="AZ166" s="495">
        <f t="shared" si="196"/>
        <v>0</v>
      </c>
    </row>
    <row r="167" spans="1:52" s="238" customFormat="1" ht="12.75" customHeight="1" x14ac:dyDescent="0.2">
      <c r="A167" s="225">
        <v>30</v>
      </c>
      <c r="B167" s="226">
        <v>4446</v>
      </c>
      <c r="C167" s="226">
        <v>600074587</v>
      </c>
      <c r="D167" s="226">
        <v>70695504</v>
      </c>
      <c r="E167" s="224" t="s">
        <v>207</v>
      </c>
      <c r="F167" s="226">
        <v>3141</v>
      </c>
      <c r="G167" s="176" t="s">
        <v>316</v>
      </c>
      <c r="H167" s="227" t="s">
        <v>279</v>
      </c>
      <c r="I167" s="494">
        <v>293936</v>
      </c>
      <c r="J167" s="489">
        <v>215021</v>
      </c>
      <c r="K167" s="489">
        <v>0</v>
      </c>
      <c r="L167" s="489">
        <v>72677</v>
      </c>
      <c r="M167" s="489">
        <v>4300</v>
      </c>
      <c r="N167" s="489">
        <v>1938</v>
      </c>
      <c r="O167" s="490">
        <v>0.68</v>
      </c>
      <c r="P167" s="491">
        <v>0</v>
      </c>
      <c r="Q167" s="500">
        <v>0.68</v>
      </c>
      <c r="R167" s="502">
        <f t="shared" si="159"/>
        <v>0</v>
      </c>
      <c r="S167" s="492">
        <v>0</v>
      </c>
      <c r="T167" s="492">
        <v>0</v>
      </c>
      <c r="U167" s="492">
        <v>0</v>
      </c>
      <c r="V167" s="492">
        <f t="shared" si="160"/>
        <v>0</v>
      </c>
      <c r="W167" s="492">
        <v>0</v>
      </c>
      <c r="X167" s="492">
        <v>0</v>
      </c>
      <c r="Y167" s="492">
        <v>0</v>
      </c>
      <c r="Z167" s="492">
        <f t="shared" si="161"/>
        <v>0</v>
      </c>
      <c r="AA167" s="492">
        <f t="shared" si="162"/>
        <v>0</v>
      </c>
      <c r="AB167" s="74">
        <f t="shared" si="163"/>
        <v>0</v>
      </c>
      <c r="AC167" s="74">
        <f t="shared" si="164"/>
        <v>0</v>
      </c>
      <c r="AD167" s="492">
        <v>0</v>
      </c>
      <c r="AE167" s="492">
        <v>0</v>
      </c>
      <c r="AF167" s="492">
        <f t="shared" si="165"/>
        <v>0</v>
      </c>
      <c r="AG167" s="492">
        <f t="shared" si="166"/>
        <v>0</v>
      </c>
      <c r="AH167" s="493">
        <v>0</v>
      </c>
      <c r="AI167" s="493">
        <v>0</v>
      </c>
      <c r="AJ167" s="493">
        <v>0</v>
      </c>
      <c r="AK167" s="493">
        <v>0</v>
      </c>
      <c r="AL167" s="493">
        <v>0</v>
      </c>
      <c r="AM167" s="493">
        <v>0</v>
      </c>
      <c r="AN167" s="493">
        <v>0</v>
      </c>
      <c r="AO167" s="493">
        <f t="shared" si="192"/>
        <v>0</v>
      </c>
      <c r="AP167" s="493">
        <f t="shared" si="193"/>
        <v>0</v>
      </c>
      <c r="AQ167" s="495">
        <f t="shared" si="167"/>
        <v>0</v>
      </c>
      <c r="AR167" s="501">
        <f t="shared" si="168"/>
        <v>293936</v>
      </c>
      <c r="AS167" s="492">
        <f t="shared" si="169"/>
        <v>215021</v>
      </c>
      <c r="AT167" s="492">
        <f t="shared" si="194"/>
        <v>0</v>
      </c>
      <c r="AU167" s="492">
        <f t="shared" si="195"/>
        <v>72677</v>
      </c>
      <c r="AV167" s="492">
        <f t="shared" si="195"/>
        <v>4300</v>
      </c>
      <c r="AW167" s="492">
        <f t="shared" si="170"/>
        <v>1938</v>
      </c>
      <c r="AX167" s="493">
        <f t="shared" si="171"/>
        <v>0.68</v>
      </c>
      <c r="AY167" s="493">
        <f t="shared" si="196"/>
        <v>0</v>
      </c>
      <c r="AZ167" s="495">
        <f t="shared" si="196"/>
        <v>0.68</v>
      </c>
    </row>
    <row r="168" spans="1:52" s="238" customFormat="1" ht="12.75" customHeight="1" x14ac:dyDescent="0.2">
      <c r="A168" s="225">
        <v>30</v>
      </c>
      <c r="B168" s="226">
        <v>4446</v>
      </c>
      <c r="C168" s="226">
        <v>600074587</v>
      </c>
      <c r="D168" s="226">
        <v>70695504</v>
      </c>
      <c r="E168" s="224" t="s">
        <v>207</v>
      </c>
      <c r="F168" s="226">
        <v>3143</v>
      </c>
      <c r="G168" s="176" t="s">
        <v>629</v>
      </c>
      <c r="H168" s="243" t="s">
        <v>278</v>
      </c>
      <c r="I168" s="494">
        <v>646126</v>
      </c>
      <c r="J168" s="489">
        <v>475792</v>
      </c>
      <c r="K168" s="489">
        <v>0</v>
      </c>
      <c r="L168" s="489">
        <v>160818</v>
      </c>
      <c r="M168" s="489">
        <v>9516</v>
      </c>
      <c r="N168" s="489">
        <v>0</v>
      </c>
      <c r="O168" s="490">
        <v>1.0955999999999999</v>
      </c>
      <c r="P168" s="491">
        <v>1.0955999999999999</v>
      </c>
      <c r="Q168" s="500">
        <v>0</v>
      </c>
      <c r="R168" s="502">
        <f t="shared" si="159"/>
        <v>0</v>
      </c>
      <c r="S168" s="492">
        <v>0</v>
      </c>
      <c r="T168" s="492">
        <v>0</v>
      </c>
      <c r="U168" s="492">
        <v>0</v>
      </c>
      <c r="V168" s="492">
        <f t="shared" si="160"/>
        <v>0</v>
      </c>
      <c r="W168" s="492">
        <v>0</v>
      </c>
      <c r="X168" s="492">
        <v>0</v>
      </c>
      <c r="Y168" s="492">
        <v>0</v>
      </c>
      <c r="Z168" s="492">
        <f t="shared" si="161"/>
        <v>0</v>
      </c>
      <c r="AA168" s="492">
        <f t="shared" si="162"/>
        <v>0</v>
      </c>
      <c r="AB168" s="74">
        <f t="shared" si="163"/>
        <v>0</v>
      </c>
      <c r="AC168" s="74">
        <f t="shared" si="164"/>
        <v>0</v>
      </c>
      <c r="AD168" s="492">
        <v>0</v>
      </c>
      <c r="AE168" s="492">
        <v>0</v>
      </c>
      <c r="AF168" s="492">
        <f t="shared" si="165"/>
        <v>0</v>
      </c>
      <c r="AG168" s="492">
        <f t="shared" si="166"/>
        <v>0</v>
      </c>
      <c r="AH168" s="493">
        <v>0</v>
      </c>
      <c r="AI168" s="493">
        <v>0</v>
      </c>
      <c r="AJ168" s="493">
        <v>0</v>
      </c>
      <c r="AK168" s="493">
        <v>0</v>
      </c>
      <c r="AL168" s="493">
        <v>0</v>
      </c>
      <c r="AM168" s="493">
        <v>0</v>
      </c>
      <c r="AN168" s="493">
        <v>0</v>
      </c>
      <c r="AO168" s="493">
        <f t="shared" si="192"/>
        <v>0</v>
      </c>
      <c r="AP168" s="493">
        <f t="shared" si="193"/>
        <v>0</v>
      </c>
      <c r="AQ168" s="495">
        <f t="shared" si="167"/>
        <v>0</v>
      </c>
      <c r="AR168" s="501">
        <f t="shared" si="168"/>
        <v>646126</v>
      </c>
      <c r="AS168" s="492">
        <f t="shared" si="169"/>
        <v>475792</v>
      </c>
      <c r="AT168" s="492">
        <f t="shared" si="194"/>
        <v>0</v>
      </c>
      <c r="AU168" s="492">
        <f t="shared" si="195"/>
        <v>160818</v>
      </c>
      <c r="AV168" s="492">
        <f t="shared" si="195"/>
        <v>9516</v>
      </c>
      <c r="AW168" s="492">
        <f t="shared" si="170"/>
        <v>0</v>
      </c>
      <c r="AX168" s="493">
        <f t="shared" si="171"/>
        <v>1.0955999999999999</v>
      </c>
      <c r="AY168" s="493">
        <f t="shared" si="196"/>
        <v>1.0955999999999999</v>
      </c>
      <c r="AZ168" s="495">
        <f t="shared" si="196"/>
        <v>0</v>
      </c>
    </row>
    <row r="169" spans="1:52" s="238" customFormat="1" ht="12.75" customHeight="1" x14ac:dyDescent="0.2">
      <c r="A169" s="225">
        <v>30</v>
      </c>
      <c r="B169" s="226">
        <v>4446</v>
      </c>
      <c r="C169" s="226">
        <v>600074587</v>
      </c>
      <c r="D169" s="226">
        <v>70695504</v>
      </c>
      <c r="E169" s="224" t="s">
        <v>207</v>
      </c>
      <c r="F169" s="226">
        <v>3143</v>
      </c>
      <c r="G169" s="176" t="s">
        <v>630</v>
      </c>
      <c r="H169" s="243" t="s">
        <v>279</v>
      </c>
      <c r="I169" s="494">
        <v>16631</v>
      </c>
      <c r="J169" s="489">
        <v>11761</v>
      </c>
      <c r="K169" s="489">
        <v>0</v>
      </c>
      <c r="L169" s="489">
        <v>3975</v>
      </c>
      <c r="M169" s="489">
        <v>235</v>
      </c>
      <c r="N169" s="489">
        <v>660</v>
      </c>
      <c r="O169" s="490">
        <v>0.05</v>
      </c>
      <c r="P169" s="491">
        <v>0</v>
      </c>
      <c r="Q169" s="500">
        <v>0.05</v>
      </c>
      <c r="R169" s="502">
        <f t="shared" si="159"/>
        <v>0</v>
      </c>
      <c r="S169" s="492">
        <v>0</v>
      </c>
      <c r="T169" s="492">
        <v>0</v>
      </c>
      <c r="U169" s="492">
        <v>0</v>
      </c>
      <c r="V169" s="492">
        <f t="shared" si="160"/>
        <v>0</v>
      </c>
      <c r="W169" s="492">
        <v>0</v>
      </c>
      <c r="X169" s="492">
        <v>0</v>
      </c>
      <c r="Y169" s="492">
        <v>0</v>
      </c>
      <c r="Z169" s="492">
        <f t="shared" si="161"/>
        <v>0</v>
      </c>
      <c r="AA169" s="492">
        <f t="shared" si="162"/>
        <v>0</v>
      </c>
      <c r="AB169" s="74">
        <f t="shared" si="163"/>
        <v>0</v>
      </c>
      <c r="AC169" s="74">
        <f t="shared" si="164"/>
        <v>0</v>
      </c>
      <c r="AD169" s="492">
        <v>0</v>
      </c>
      <c r="AE169" s="492">
        <v>0</v>
      </c>
      <c r="AF169" s="492">
        <f t="shared" si="165"/>
        <v>0</v>
      </c>
      <c r="AG169" s="492">
        <f t="shared" si="166"/>
        <v>0</v>
      </c>
      <c r="AH169" s="493">
        <v>0</v>
      </c>
      <c r="AI169" s="493">
        <v>0</v>
      </c>
      <c r="AJ169" s="493">
        <v>0</v>
      </c>
      <c r="AK169" s="493">
        <v>0</v>
      </c>
      <c r="AL169" s="493">
        <v>0</v>
      </c>
      <c r="AM169" s="493">
        <v>0</v>
      </c>
      <c r="AN169" s="493">
        <v>0</v>
      </c>
      <c r="AO169" s="493">
        <f t="shared" si="192"/>
        <v>0</v>
      </c>
      <c r="AP169" s="493">
        <f t="shared" si="193"/>
        <v>0</v>
      </c>
      <c r="AQ169" s="495">
        <f t="shared" si="167"/>
        <v>0</v>
      </c>
      <c r="AR169" s="501">
        <f t="shared" si="168"/>
        <v>16631</v>
      </c>
      <c r="AS169" s="492">
        <f t="shared" si="169"/>
        <v>11761</v>
      </c>
      <c r="AT169" s="492">
        <f t="shared" si="194"/>
        <v>0</v>
      </c>
      <c r="AU169" s="492">
        <f t="shared" si="195"/>
        <v>3975</v>
      </c>
      <c r="AV169" s="492">
        <f t="shared" si="195"/>
        <v>235</v>
      </c>
      <c r="AW169" s="492">
        <f t="shared" si="170"/>
        <v>660</v>
      </c>
      <c r="AX169" s="493">
        <f t="shared" si="171"/>
        <v>0.05</v>
      </c>
      <c r="AY169" s="493">
        <f t="shared" si="196"/>
        <v>0</v>
      </c>
      <c r="AZ169" s="495">
        <f t="shared" si="196"/>
        <v>0.05</v>
      </c>
    </row>
    <row r="170" spans="1:52" s="238" customFormat="1" ht="12.75" customHeight="1" x14ac:dyDescent="0.2">
      <c r="A170" s="166">
        <v>30</v>
      </c>
      <c r="B170" s="20">
        <v>4446</v>
      </c>
      <c r="C170" s="20">
        <v>600074587</v>
      </c>
      <c r="D170" s="20">
        <v>70695504</v>
      </c>
      <c r="E170" s="175" t="s">
        <v>208</v>
      </c>
      <c r="F170" s="20"/>
      <c r="G170" s="165"/>
      <c r="H170" s="199"/>
      <c r="I170" s="553">
        <v>6082030</v>
      </c>
      <c r="J170" s="550">
        <v>4434737</v>
      </c>
      <c r="K170" s="550">
        <v>0</v>
      </c>
      <c r="L170" s="550">
        <v>1498941</v>
      </c>
      <c r="M170" s="550">
        <v>88694</v>
      </c>
      <c r="N170" s="550">
        <v>59658</v>
      </c>
      <c r="O170" s="551">
        <v>10.542799999999998</v>
      </c>
      <c r="P170" s="551">
        <v>7.5955000000000004</v>
      </c>
      <c r="Q170" s="555">
        <v>2.9472999999999998</v>
      </c>
      <c r="R170" s="553">
        <f t="shared" ref="R170:AZ170" si="197">SUM(R164:R169)</f>
        <v>0</v>
      </c>
      <c r="S170" s="550">
        <f t="shared" si="197"/>
        <v>0</v>
      </c>
      <c r="T170" s="550">
        <f t="shared" si="197"/>
        <v>0</v>
      </c>
      <c r="U170" s="550">
        <f t="shared" si="197"/>
        <v>0</v>
      </c>
      <c r="V170" s="550">
        <f t="shared" si="197"/>
        <v>0</v>
      </c>
      <c r="W170" s="550">
        <f t="shared" si="197"/>
        <v>0</v>
      </c>
      <c r="X170" s="550">
        <f t="shared" si="197"/>
        <v>0</v>
      </c>
      <c r="Y170" s="550">
        <f t="shared" si="197"/>
        <v>0</v>
      </c>
      <c r="Z170" s="550">
        <f t="shared" si="197"/>
        <v>0</v>
      </c>
      <c r="AA170" s="550">
        <f t="shared" si="197"/>
        <v>0</v>
      </c>
      <c r="AB170" s="550">
        <f t="shared" si="197"/>
        <v>0</v>
      </c>
      <c r="AC170" s="550">
        <f t="shared" si="197"/>
        <v>0</v>
      </c>
      <c r="AD170" s="550">
        <f t="shared" si="197"/>
        <v>0</v>
      </c>
      <c r="AE170" s="550">
        <f t="shared" si="197"/>
        <v>0</v>
      </c>
      <c r="AF170" s="550">
        <f t="shared" si="197"/>
        <v>0</v>
      </c>
      <c r="AG170" s="550">
        <f t="shared" si="197"/>
        <v>0</v>
      </c>
      <c r="AH170" s="551">
        <f t="shared" si="197"/>
        <v>0</v>
      </c>
      <c r="AI170" s="551">
        <f t="shared" si="197"/>
        <v>0</v>
      </c>
      <c r="AJ170" s="551">
        <f t="shared" si="197"/>
        <v>0</v>
      </c>
      <c r="AK170" s="551">
        <f t="shared" si="197"/>
        <v>0</v>
      </c>
      <c r="AL170" s="551">
        <f t="shared" si="197"/>
        <v>0</v>
      </c>
      <c r="AM170" s="551">
        <f t="shared" si="197"/>
        <v>0</v>
      </c>
      <c r="AN170" s="551">
        <f t="shared" si="197"/>
        <v>0</v>
      </c>
      <c r="AO170" s="551">
        <f t="shared" si="197"/>
        <v>0</v>
      </c>
      <c r="AP170" s="551">
        <f t="shared" si="197"/>
        <v>0</v>
      </c>
      <c r="AQ170" s="44">
        <f t="shared" si="197"/>
        <v>0</v>
      </c>
      <c r="AR170" s="557">
        <f t="shared" si="197"/>
        <v>6082030</v>
      </c>
      <c r="AS170" s="550">
        <f t="shared" si="197"/>
        <v>4434737</v>
      </c>
      <c r="AT170" s="550">
        <f t="shared" si="197"/>
        <v>0</v>
      </c>
      <c r="AU170" s="550">
        <f t="shared" si="197"/>
        <v>1498941</v>
      </c>
      <c r="AV170" s="550">
        <f t="shared" si="197"/>
        <v>88694</v>
      </c>
      <c r="AW170" s="550">
        <f t="shared" si="197"/>
        <v>59658</v>
      </c>
      <c r="AX170" s="551">
        <f t="shared" si="197"/>
        <v>10.542799999999998</v>
      </c>
      <c r="AY170" s="551">
        <f t="shared" si="197"/>
        <v>7.5955000000000004</v>
      </c>
      <c r="AZ170" s="44">
        <f t="shared" si="197"/>
        <v>2.9472999999999998</v>
      </c>
    </row>
    <row r="171" spans="1:52" s="238" customFormat="1" ht="12.75" customHeight="1" x14ac:dyDescent="0.2">
      <c r="A171" s="225">
        <v>31</v>
      </c>
      <c r="B171" s="226">
        <v>4431</v>
      </c>
      <c r="C171" s="226">
        <v>600074820</v>
      </c>
      <c r="D171" s="226">
        <v>70981515</v>
      </c>
      <c r="E171" s="224" t="s">
        <v>209</v>
      </c>
      <c r="F171" s="226">
        <v>3111</v>
      </c>
      <c r="G171" s="176" t="s">
        <v>312</v>
      </c>
      <c r="H171" s="227" t="s">
        <v>278</v>
      </c>
      <c r="I171" s="494">
        <v>3345366</v>
      </c>
      <c r="J171" s="489">
        <v>2442466</v>
      </c>
      <c r="K171" s="489">
        <v>6500</v>
      </c>
      <c r="L171" s="489">
        <v>827751</v>
      </c>
      <c r="M171" s="489">
        <v>48849</v>
      </c>
      <c r="N171" s="489">
        <v>19800</v>
      </c>
      <c r="O171" s="490">
        <v>5.3096999999999994</v>
      </c>
      <c r="P171" s="491">
        <v>4.2878999999999996</v>
      </c>
      <c r="Q171" s="500">
        <v>1.0218</v>
      </c>
      <c r="R171" s="502">
        <f t="shared" si="159"/>
        <v>0</v>
      </c>
      <c r="S171" s="492">
        <v>0</v>
      </c>
      <c r="T171" s="492">
        <v>0</v>
      </c>
      <c r="U171" s="492">
        <v>0</v>
      </c>
      <c r="V171" s="492">
        <f t="shared" si="160"/>
        <v>0</v>
      </c>
      <c r="W171" s="492">
        <v>0</v>
      </c>
      <c r="X171" s="492">
        <v>0</v>
      </c>
      <c r="Y171" s="492">
        <v>0</v>
      </c>
      <c r="Z171" s="492">
        <f t="shared" si="161"/>
        <v>0</v>
      </c>
      <c r="AA171" s="492">
        <f t="shared" si="162"/>
        <v>0</v>
      </c>
      <c r="AB171" s="74">
        <f t="shared" si="163"/>
        <v>0</v>
      </c>
      <c r="AC171" s="74">
        <f t="shared" si="164"/>
        <v>0</v>
      </c>
      <c r="AD171" s="492">
        <v>0</v>
      </c>
      <c r="AE171" s="492">
        <v>0</v>
      </c>
      <c r="AF171" s="492">
        <f t="shared" si="165"/>
        <v>0</v>
      </c>
      <c r="AG171" s="492">
        <f t="shared" si="166"/>
        <v>0</v>
      </c>
      <c r="AH171" s="493">
        <v>0</v>
      </c>
      <c r="AI171" s="493">
        <v>0</v>
      </c>
      <c r="AJ171" s="493">
        <v>0</v>
      </c>
      <c r="AK171" s="493">
        <v>0</v>
      </c>
      <c r="AL171" s="493">
        <v>0</v>
      </c>
      <c r="AM171" s="493">
        <v>0</v>
      </c>
      <c r="AN171" s="493">
        <v>0</v>
      </c>
      <c r="AO171" s="493">
        <f t="shared" ref="AO171:AO176" si="198">AH171+AJ171+AM171+AK171</f>
        <v>0</v>
      </c>
      <c r="AP171" s="493">
        <f t="shared" ref="AP171:AP176" si="199">AI171+AN171+AL171</f>
        <v>0</v>
      </c>
      <c r="AQ171" s="495">
        <f t="shared" si="167"/>
        <v>0</v>
      </c>
      <c r="AR171" s="501">
        <f t="shared" si="168"/>
        <v>3345366</v>
      </c>
      <c r="AS171" s="492">
        <f t="shared" si="169"/>
        <v>2442466</v>
      </c>
      <c r="AT171" s="492">
        <f t="shared" ref="AT171:AT176" si="200">K171+Z171</f>
        <v>6500</v>
      </c>
      <c r="AU171" s="492">
        <f t="shared" ref="AU171:AV176" si="201">L171+AB171</f>
        <v>827751</v>
      </c>
      <c r="AV171" s="492">
        <f t="shared" si="201"/>
        <v>48849</v>
      </c>
      <c r="AW171" s="492">
        <f t="shared" si="170"/>
        <v>19800</v>
      </c>
      <c r="AX171" s="493">
        <f t="shared" si="171"/>
        <v>5.3096999999999994</v>
      </c>
      <c r="AY171" s="493">
        <f t="shared" ref="AY171:AZ176" si="202">P171+AO171</f>
        <v>4.2878999999999996</v>
      </c>
      <c r="AZ171" s="495">
        <f t="shared" si="202"/>
        <v>1.0218</v>
      </c>
    </row>
    <row r="172" spans="1:52" s="238" customFormat="1" ht="12.75" customHeight="1" x14ac:dyDescent="0.2">
      <c r="A172" s="225">
        <v>31</v>
      </c>
      <c r="B172" s="226">
        <v>4431</v>
      </c>
      <c r="C172" s="226">
        <v>600074820</v>
      </c>
      <c r="D172" s="226">
        <v>70981515</v>
      </c>
      <c r="E172" s="224" t="s">
        <v>209</v>
      </c>
      <c r="F172" s="226">
        <v>3117</v>
      </c>
      <c r="G172" s="176" t="s">
        <v>315</v>
      </c>
      <c r="H172" s="227" t="s">
        <v>278</v>
      </c>
      <c r="I172" s="494">
        <v>4146210</v>
      </c>
      <c r="J172" s="489">
        <v>2961659</v>
      </c>
      <c r="K172" s="489">
        <v>30260</v>
      </c>
      <c r="L172" s="489">
        <v>1011268</v>
      </c>
      <c r="M172" s="489">
        <v>59233</v>
      </c>
      <c r="N172" s="489">
        <v>83790</v>
      </c>
      <c r="O172" s="490">
        <v>5.7770999999999999</v>
      </c>
      <c r="P172" s="491">
        <v>3.9466000000000001</v>
      </c>
      <c r="Q172" s="500">
        <v>1.8304999999999998</v>
      </c>
      <c r="R172" s="502">
        <f t="shared" si="159"/>
        <v>0</v>
      </c>
      <c r="S172" s="492">
        <v>0</v>
      </c>
      <c r="T172" s="492">
        <v>0</v>
      </c>
      <c r="U172" s="492">
        <v>0</v>
      </c>
      <c r="V172" s="492">
        <f t="shared" si="160"/>
        <v>0</v>
      </c>
      <c r="W172" s="492">
        <v>0</v>
      </c>
      <c r="X172" s="492">
        <v>0</v>
      </c>
      <c r="Y172" s="492">
        <v>0</v>
      </c>
      <c r="Z172" s="492">
        <f t="shared" si="161"/>
        <v>0</v>
      </c>
      <c r="AA172" s="492">
        <f t="shared" si="162"/>
        <v>0</v>
      </c>
      <c r="AB172" s="74">
        <f t="shared" si="163"/>
        <v>0</v>
      </c>
      <c r="AC172" s="74">
        <f t="shared" si="164"/>
        <v>0</v>
      </c>
      <c r="AD172" s="492">
        <v>0</v>
      </c>
      <c r="AE172" s="492">
        <v>0</v>
      </c>
      <c r="AF172" s="492">
        <f t="shared" si="165"/>
        <v>0</v>
      </c>
      <c r="AG172" s="492">
        <f t="shared" si="166"/>
        <v>0</v>
      </c>
      <c r="AH172" s="493">
        <v>0</v>
      </c>
      <c r="AI172" s="493">
        <v>0</v>
      </c>
      <c r="AJ172" s="493">
        <v>0</v>
      </c>
      <c r="AK172" s="493">
        <v>0</v>
      </c>
      <c r="AL172" s="493">
        <v>0</v>
      </c>
      <c r="AM172" s="493">
        <v>0</v>
      </c>
      <c r="AN172" s="493">
        <v>0</v>
      </c>
      <c r="AO172" s="493">
        <f t="shared" si="198"/>
        <v>0</v>
      </c>
      <c r="AP172" s="493">
        <f t="shared" si="199"/>
        <v>0</v>
      </c>
      <c r="AQ172" s="495">
        <f t="shared" si="167"/>
        <v>0</v>
      </c>
      <c r="AR172" s="501">
        <f t="shared" si="168"/>
        <v>4146210</v>
      </c>
      <c r="AS172" s="492">
        <f t="shared" si="169"/>
        <v>2961659</v>
      </c>
      <c r="AT172" s="492">
        <f t="shared" si="200"/>
        <v>30260</v>
      </c>
      <c r="AU172" s="492">
        <f t="shared" si="201"/>
        <v>1011268</v>
      </c>
      <c r="AV172" s="492">
        <f t="shared" si="201"/>
        <v>59233</v>
      </c>
      <c r="AW172" s="492">
        <f t="shared" si="170"/>
        <v>83790</v>
      </c>
      <c r="AX172" s="493">
        <f t="shared" si="171"/>
        <v>5.7770999999999999</v>
      </c>
      <c r="AY172" s="493">
        <f t="shared" si="202"/>
        <v>3.9466000000000001</v>
      </c>
      <c r="AZ172" s="495">
        <f t="shared" si="202"/>
        <v>1.8304999999999998</v>
      </c>
    </row>
    <row r="173" spans="1:52" s="238" customFormat="1" ht="12.75" customHeight="1" x14ac:dyDescent="0.2">
      <c r="A173" s="225">
        <v>31</v>
      </c>
      <c r="B173" s="226">
        <v>4431</v>
      </c>
      <c r="C173" s="226">
        <v>600074820</v>
      </c>
      <c r="D173" s="226">
        <v>70981515</v>
      </c>
      <c r="E173" s="224" t="s">
        <v>209</v>
      </c>
      <c r="F173" s="226">
        <v>3117</v>
      </c>
      <c r="G173" s="176" t="s">
        <v>313</v>
      </c>
      <c r="H173" s="227" t="s">
        <v>279</v>
      </c>
      <c r="I173" s="494">
        <v>771055</v>
      </c>
      <c r="J173" s="489">
        <v>567787</v>
      </c>
      <c r="K173" s="489">
        <v>0</v>
      </c>
      <c r="L173" s="489">
        <v>191912</v>
      </c>
      <c r="M173" s="489">
        <v>11356</v>
      </c>
      <c r="N173" s="489">
        <v>0</v>
      </c>
      <c r="O173" s="490">
        <v>1.64</v>
      </c>
      <c r="P173" s="491">
        <v>1.64</v>
      </c>
      <c r="Q173" s="500">
        <v>0</v>
      </c>
      <c r="R173" s="502">
        <f t="shared" si="159"/>
        <v>0</v>
      </c>
      <c r="S173" s="492">
        <v>0</v>
      </c>
      <c r="T173" s="492">
        <v>0</v>
      </c>
      <c r="U173" s="492">
        <v>0</v>
      </c>
      <c r="V173" s="492">
        <f t="shared" si="160"/>
        <v>0</v>
      </c>
      <c r="W173" s="492">
        <v>0</v>
      </c>
      <c r="X173" s="492">
        <v>0</v>
      </c>
      <c r="Y173" s="492">
        <v>0</v>
      </c>
      <c r="Z173" s="492">
        <f t="shared" si="161"/>
        <v>0</v>
      </c>
      <c r="AA173" s="492">
        <f t="shared" si="162"/>
        <v>0</v>
      </c>
      <c r="AB173" s="74">
        <f t="shared" si="163"/>
        <v>0</v>
      </c>
      <c r="AC173" s="74">
        <f t="shared" si="164"/>
        <v>0</v>
      </c>
      <c r="AD173" s="492">
        <v>0</v>
      </c>
      <c r="AE173" s="492">
        <v>0</v>
      </c>
      <c r="AF173" s="492">
        <f t="shared" si="165"/>
        <v>0</v>
      </c>
      <c r="AG173" s="492">
        <f t="shared" si="166"/>
        <v>0</v>
      </c>
      <c r="AH173" s="493">
        <v>0</v>
      </c>
      <c r="AI173" s="493">
        <v>0</v>
      </c>
      <c r="AJ173" s="493">
        <v>0</v>
      </c>
      <c r="AK173" s="493">
        <v>0</v>
      </c>
      <c r="AL173" s="493">
        <v>0</v>
      </c>
      <c r="AM173" s="493">
        <v>0</v>
      </c>
      <c r="AN173" s="493">
        <v>0</v>
      </c>
      <c r="AO173" s="493">
        <f t="shared" si="198"/>
        <v>0</v>
      </c>
      <c r="AP173" s="493">
        <f t="shared" si="199"/>
        <v>0</v>
      </c>
      <c r="AQ173" s="495">
        <f t="shared" si="167"/>
        <v>0</v>
      </c>
      <c r="AR173" s="501">
        <f t="shared" si="168"/>
        <v>771055</v>
      </c>
      <c r="AS173" s="492">
        <f t="shared" si="169"/>
        <v>567787</v>
      </c>
      <c r="AT173" s="492">
        <f t="shared" si="200"/>
        <v>0</v>
      </c>
      <c r="AU173" s="492">
        <f t="shared" si="201"/>
        <v>191912</v>
      </c>
      <c r="AV173" s="492">
        <f t="shared" si="201"/>
        <v>11356</v>
      </c>
      <c r="AW173" s="492">
        <f t="shared" si="170"/>
        <v>0</v>
      </c>
      <c r="AX173" s="493">
        <f t="shared" si="171"/>
        <v>1.64</v>
      </c>
      <c r="AY173" s="493">
        <f t="shared" si="202"/>
        <v>1.64</v>
      </c>
      <c r="AZ173" s="495">
        <f t="shared" si="202"/>
        <v>0</v>
      </c>
    </row>
    <row r="174" spans="1:52" s="238" customFormat="1" ht="12.75" customHeight="1" x14ac:dyDescent="0.2">
      <c r="A174" s="225">
        <v>31</v>
      </c>
      <c r="B174" s="226">
        <v>4431</v>
      </c>
      <c r="C174" s="226">
        <v>600074820</v>
      </c>
      <c r="D174" s="226">
        <v>70981515</v>
      </c>
      <c r="E174" s="224" t="s">
        <v>209</v>
      </c>
      <c r="F174" s="226">
        <v>3141</v>
      </c>
      <c r="G174" s="176" t="s">
        <v>316</v>
      </c>
      <c r="H174" s="227" t="s">
        <v>279</v>
      </c>
      <c r="I174" s="494">
        <v>1085872</v>
      </c>
      <c r="J174" s="489">
        <v>783173</v>
      </c>
      <c r="K174" s="489">
        <v>13000</v>
      </c>
      <c r="L174" s="489">
        <v>269106</v>
      </c>
      <c r="M174" s="489">
        <v>15663</v>
      </c>
      <c r="N174" s="489">
        <v>4930</v>
      </c>
      <c r="O174" s="490">
        <v>2.4899999999999998</v>
      </c>
      <c r="P174" s="491">
        <v>0</v>
      </c>
      <c r="Q174" s="500">
        <v>2.4899999999999998</v>
      </c>
      <c r="R174" s="502">
        <f t="shared" si="159"/>
        <v>0</v>
      </c>
      <c r="S174" s="492">
        <v>0</v>
      </c>
      <c r="T174" s="492">
        <v>0</v>
      </c>
      <c r="U174" s="492">
        <v>0</v>
      </c>
      <c r="V174" s="492">
        <f t="shared" si="160"/>
        <v>0</v>
      </c>
      <c r="W174" s="492">
        <v>0</v>
      </c>
      <c r="X174" s="492">
        <v>0</v>
      </c>
      <c r="Y174" s="492">
        <v>0</v>
      </c>
      <c r="Z174" s="492">
        <f t="shared" si="161"/>
        <v>0</v>
      </c>
      <c r="AA174" s="492">
        <f t="shared" si="162"/>
        <v>0</v>
      </c>
      <c r="AB174" s="74">
        <f t="shared" si="163"/>
        <v>0</v>
      </c>
      <c r="AC174" s="74">
        <f t="shared" si="164"/>
        <v>0</v>
      </c>
      <c r="AD174" s="492">
        <v>0</v>
      </c>
      <c r="AE174" s="492">
        <v>0</v>
      </c>
      <c r="AF174" s="492">
        <f t="shared" si="165"/>
        <v>0</v>
      </c>
      <c r="AG174" s="492">
        <f t="shared" si="166"/>
        <v>0</v>
      </c>
      <c r="AH174" s="493">
        <v>0</v>
      </c>
      <c r="AI174" s="493">
        <v>0</v>
      </c>
      <c r="AJ174" s="493">
        <v>0</v>
      </c>
      <c r="AK174" s="493">
        <v>0</v>
      </c>
      <c r="AL174" s="493">
        <v>0</v>
      </c>
      <c r="AM174" s="493">
        <v>0</v>
      </c>
      <c r="AN174" s="493">
        <v>0</v>
      </c>
      <c r="AO174" s="493">
        <f t="shared" si="198"/>
        <v>0</v>
      </c>
      <c r="AP174" s="493">
        <f t="shared" si="199"/>
        <v>0</v>
      </c>
      <c r="AQ174" s="495">
        <f t="shared" si="167"/>
        <v>0</v>
      </c>
      <c r="AR174" s="501">
        <f t="shared" si="168"/>
        <v>1085872</v>
      </c>
      <c r="AS174" s="492">
        <f t="shared" si="169"/>
        <v>783173</v>
      </c>
      <c r="AT174" s="492">
        <f t="shared" si="200"/>
        <v>13000</v>
      </c>
      <c r="AU174" s="492">
        <f t="shared" si="201"/>
        <v>269106</v>
      </c>
      <c r="AV174" s="492">
        <f t="shared" si="201"/>
        <v>15663</v>
      </c>
      <c r="AW174" s="492">
        <f t="shared" si="170"/>
        <v>4930</v>
      </c>
      <c r="AX174" s="493">
        <f t="shared" si="171"/>
        <v>2.4899999999999998</v>
      </c>
      <c r="AY174" s="493">
        <f t="shared" si="202"/>
        <v>0</v>
      </c>
      <c r="AZ174" s="495">
        <f t="shared" si="202"/>
        <v>2.4899999999999998</v>
      </c>
    </row>
    <row r="175" spans="1:52" s="238" customFormat="1" ht="12.75" customHeight="1" x14ac:dyDescent="0.2">
      <c r="A175" s="225">
        <v>31</v>
      </c>
      <c r="B175" s="226">
        <v>4431</v>
      </c>
      <c r="C175" s="226">
        <v>600074820</v>
      </c>
      <c r="D175" s="226">
        <v>70981515</v>
      </c>
      <c r="E175" s="224" t="s">
        <v>209</v>
      </c>
      <c r="F175" s="226">
        <v>3143</v>
      </c>
      <c r="G175" s="176" t="s">
        <v>629</v>
      </c>
      <c r="H175" s="243" t="s">
        <v>278</v>
      </c>
      <c r="I175" s="494">
        <v>679788</v>
      </c>
      <c r="J175" s="489">
        <v>500580</v>
      </c>
      <c r="K175" s="489">
        <v>0</v>
      </c>
      <c r="L175" s="489">
        <v>169196</v>
      </c>
      <c r="M175" s="489">
        <v>10012</v>
      </c>
      <c r="N175" s="489">
        <v>0</v>
      </c>
      <c r="O175" s="490">
        <v>1.1428</v>
      </c>
      <c r="P175" s="491">
        <v>1.1428</v>
      </c>
      <c r="Q175" s="500">
        <v>0</v>
      </c>
      <c r="R175" s="502">
        <f t="shared" si="159"/>
        <v>0</v>
      </c>
      <c r="S175" s="492">
        <v>0</v>
      </c>
      <c r="T175" s="492">
        <v>0</v>
      </c>
      <c r="U175" s="492">
        <v>0</v>
      </c>
      <c r="V175" s="492">
        <f t="shared" si="160"/>
        <v>0</v>
      </c>
      <c r="W175" s="492">
        <v>0</v>
      </c>
      <c r="X175" s="492">
        <v>0</v>
      </c>
      <c r="Y175" s="492">
        <v>0</v>
      </c>
      <c r="Z175" s="492">
        <f t="shared" si="161"/>
        <v>0</v>
      </c>
      <c r="AA175" s="492">
        <f t="shared" si="162"/>
        <v>0</v>
      </c>
      <c r="AB175" s="74">
        <f t="shared" si="163"/>
        <v>0</v>
      </c>
      <c r="AC175" s="74">
        <f t="shared" si="164"/>
        <v>0</v>
      </c>
      <c r="AD175" s="492">
        <v>0</v>
      </c>
      <c r="AE175" s="492">
        <v>0</v>
      </c>
      <c r="AF175" s="492">
        <f t="shared" si="165"/>
        <v>0</v>
      </c>
      <c r="AG175" s="492">
        <f t="shared" si="166"/>
        <v>0</v>
      </c>
      <c r="AH175" s="493">
        <v>0</v>
      </c>
      <c r="AI175" s="493">
        <v>0</v>
      </c>
      <c r="AJ175" s="493">
        <v>0</v>
      </c>
      <c r="AK175" s="493">
        <v>0</v>
      </c>
      <c r="AL175" s="493">
        <v>0</v>
      </c>
      <c r="AM175" s="493">
        <v>0</v>
      </c>
      <c r="AN175" s="493">
        <v>0</v>
      </c>
      <c r="AO175" s="493">
        <f t="shared" si="198"/>
        <v>0</v>
      </c>
      <c r="AP175" s="493">
        <f t="shared" si="199"/>
        <v>0</v>
      </c>
      <c r="AQ175" s="495">
        <f t="shared" si="167"/>
        <v>0</v>
      </c>
      <c r="AR175" s="501">
        <f t="shared" si="168"/>
        <v>679788</v>
      </c>
      <c r="AS175" s="492">
        <f t="shared" si="169"/>
        <v>500580</v>
      </c>
      <c r="AT175" s="492">
        <f t="shared" si="200"/>
        <v>0</v>
      </c>
      <c r="AU175" s="492">
        <f t="shared" si="201"/>
        <v>169196</v>
      </c>
      <c r="AV175" s="492">
        <f t="shared" si="201"/>
        <v>10012</v>
      </c>
      <c r="AW175" s="492">
        <f t="shared" si="170"/>
        <v>0</v>
      </c>
      <c r="AX175" s="493">
        <f t="shared" si="171"/>
        <v>1.1428</v>
      </c>
      <c r="AY175" s="493">
        <f t="shared" si="202"/>
        <v>1.1428</v>
      </c>
      <c r="AZ175" s="495">
        <f t="shared" si="202"/>
        <v>0</v>
      </c>
    </row>
    <row r="176" spans="1:52" s="238" customFormat="1" ht="12.75" customHeight="1" x14ac:dyDescent="0.2">
      <c r="A176" s="225">
        <v>31</v>
      </c>
      <c r="B176" s="226">
        <v>4431</v>
      </c>
      <c r="C176" s="226">
        <v>600074820</v>
      </c>
      <c r="D176" s="226">
        <v>70981515</v>
      </c>
      <c r="E176" s="224" t="s">
        <v>209</v>
      </c>
      <c r="F176" s="226">
        <v>3143</v>
      </c>
      <c r="G176" s="176" t="s">
        <v>630</v>
      </c>
      <c r="H176" s="243" t="s">
        <v>279</v>
      </c>
      <c r="I176" s="494">
        <v>18899</v>
      </c>
      <c r="J176" s="489">
        <v>13365</v>
      </c>
      <c r="K176" s="489">
        <v>0</v>
      </c>
      <c r="L176" s="489">
        <v>4517</v>
      </c>
      <c r="M176" s="489">
        <v>267</v>
      </c>
      <c r="N176" s="489">
        <v>750</v>
      </c>
      <c r="O176" s="490">
        <v>0.05</v>
      </c>
      <c r="P176" s="491">
        <v>0</v>
      </c>
      <c r="Q176" s="500">
        <v>0.05</v>
      </c>
      <c r="R176" s="502">
        <f t="shared" si="159"/>
        <v>0</v>
      </c>
      <c r="S176" s="492">
        <v>0</v>
      </c>
      <c r="T176" s="492">
        <v>0</v>
      </c>
      <c r="U176" s="492">
        <v>0</v>
      </c>
      <c r="V176" s="492">
        <f t="shared" si="160"/>
        <v>0</v>
      </c>
      <c r="W176" s="492">
        <v>0</v>
      </c>
      <c r="X176" s="492">
        <v>0</v>
      </c>
      <c r="Y176" s="492">
        <v>0</v>
      </c>
      <c r="Z176" s="492">
        <f t="shared" si="161"/>
        <v>0</v>
      </c>
      <c r="AA176" s="492">
        <f t="shared" si="162"/>
        <v>0</v>
      </c>
      <c r="AB176" s="74">
        <f t="shared" si="163"/>
        <v>0</v>
      </c>
      <c r="AC176" s="74">
        <f t="shared" si="164"/>
        <v>0</v>
      </c>
      <c r="AD176" s="492">
        <v>0</v>
      </c>
      <c r="AE176" s="492">
        <v>0</v>
      </c>
      <c r="AF176" s="492">
        <f t="shared" si="165"/>
        <v>0</v>
      </c>
      <c r="AG176" s="492">
        <f t="shared" si="166"/>
        <v>0</v>
      </c>
      <c r="AH176" s="493">
        <v>0</v>
      </c>
      <c r="AI176" s="493">
        <v>0</v>
      </c>
      <c r="AJ176" s="493">
        <v>0</v>
      </c>
      <c r="AK176" s="493">
        <v>0</v>
      </c>
      <c r="AL176" s="493">
        <v>0</v>
      </c>
      <c r="AM176" s="493">
        <v>0</v>
      </c>
      <c r="AN176" s="493">
        <v>0</v>
      </c>
      <c r="AO176" s="493">
        <f t="shared" si="198"/>
        <v>0</v>
      </c>
      <c r="AP176" s="493">
        <f t="shared" si="199"/>
        <v>0</v>
      </c>
      <c r="AQ176" s="495">
        <f t="shared" si="167"/>
        <v>0</v>
      </c>
      <c r="AR176" s="501">
        <f t="shared" si="168"/>
        <v>18899</v>
      </c>
      <c r="AS176" s="492">
        <f t="shared" si="169"/>
        <v>13365</v>
      </c>
      <c r="AT176" s="492">
        <f t="shared" si="200"/>
        <v>0</v>
      </c>
      <c r="AU176" s="492">
        <f t="shared" si="201"/>
        <v>4517</v>
      </c>
      <c r="AV176" s="492">
        <f t="shared" si="201"/>
        <v>267</v>
      </c>
      <c r="AW176" s="492">
        <f t="shared" si="170"/>
        <v>750</v>
      </c>
      <c r="AX176" s="493">
        <f t="shared" si="171"/>
        <v>0.05</v>
      </c>
      <c r="AY176" s="493">
        <f t="shared" si="202"/>
        <v>0</v>
      </c>
      <c r="AZ176" s="495">
        <f t="shared" si="202"/>
        <v>0.05</v>
      </c>
    </row>
    <row r="177" spans="1:52" s="238" customFormat="1" ht="12.75" customHeight="1" x14ac:dyDescent="0.2">
      <c r="A177" s="166">
        <v>31</v>
      </c>
      <c r="B177" s="20">
        <v>4431</v>
      </c>
      <c r="C177" s="20">
        <v>600074820</v>
      </c>
      <c r="D177" s="20">
        <v>70981515</v>
      </c>
      <c r="E177" s="175" t="s">
        <v>210</v>
      </c>
      <c r="F177" s="20"/>
      <c r="G177" s="165"/>
      <c r="H177" s="199"/>
      <c r="I177" s="552">
        <v>10047190</v>
      </c>
      <c r="J177" s="548">
        <v>7269030</v>
      </c>
      <c r="K177" s="548">
        <v>49760</v>
      </c>
      <c r="L177" s="548">
        <v>2473750</v>
      </c>
      <c r="M177" s="548">
        <v>145380</v>
      </c>
      <c r="N177" s="548">
        <v>109270</v>
      </c>
      <c r="O177" s="549">
        <v>16.409600000000001</v>
      </c>
      <c r="P177" s="549">
        <v>11.017300000000001</v>
      </c>
      <c r="Q177" s="554">
        <v>5.3922999999999996</v>
      </c>
      <c r="R177" s="552">
        <f t="shared" ref="R177:AZ177" si="203">SUM(R171:R176)</f>
        <v>0</v>
      </c>
      <c r="S177" s="548">
        <f t="shared" si="203"/>
        <v>0</v>
      </c>
      <c r="T177" s="548">
        <f t="shared" si="203"/>
        <v>0</v>
      </c>
      <c r="U177" s="548">
        <f t="shared" si="203"/>
        <v>0</v>
      </c>
      <c r="V177" s="548">
        <f t="shared" si="203"/>
        <v>0</v>
      </c>
      <c r="W177" s="548">
        <f t="shared" si="203"/>
        <v>0</v>
      </c>
      <c r="X177" s="548">
        <f t="shared" si="203"/>
        <v>0</v>
      </c>
      <c r="Y177" s="548">
        <f t="shared" si="203"/>
        <v>0</v>
      </c>
      <c r="Z177" s="548">
        <f t="shared" si="203"/>
        <v>0</v>
      </c>
      <c r="AA177" s="548">
        <f t="shared" si="203"/>
        <v>0</v>
      </c>
      <c r="AB177" s="548">
        <f t="shared" si="203"/>
        <v>0</v>
      </c>
      <c r="AC177" s="548">
        <f t="shared" si="203"/>
        <v>0</v>
      </c>
      <c r="AD177" s="548">
        <f t="shared" si="203"/>
        <v>0</v>
      </c>
      <c r="AE177" s="548">
        <f t="shared" si="203"/>
        <v>0</v>
      </c>
      <c r="AF177" s="548">
        <f t="shared" si="203"/>
        <v>0</v>
      </c>
      <c r="AG177" s="548">
        <f t="shared" si="203"/>
        <v>0</v>
      </c>
      <c r="AH177" s="549">
        <f t="shared" si="203"/>
        <v>0</v>
      </c>
      <c r="AI177" s="549">
        <f t="shared" si="203"/>
        <v>0</v>
      </c>
      <c r="AJ177" s="549">
        <f t="shared" si="203"/>
        <v>0</v>
      </c>
      <c r="AK177" s="549">
        <f t="shared" si="203"/>
        <v>0</v>
      </c>
      <c r="AL177" s="549">
        <f t="shared" si="203"/>
        <v>0</v>
      </c>
      <c r="AM177" s="549">
        <f t="shared" si="203"/>
        <v>0</v>
      </c>
      <c r="AN177" s="549">
        <f t="shared" si="203"/>
        <v>0</v>
      </c>
      <c r="AO177" s="549">
        <f t="shared" si="203"/>
        <v>0</v>
      </c>
      <c r="AP177" s="549">
        <f t="shared" si="203"/>
        <v>0</v>
      </c>
      <c r="AQ177" s="45">
        <f t="shared" si="203"/>
        <v>0</v>
      </c>
      <c r="AR177" s="556">
        <f t="shared" si="203"/>
        <v>10047190</v>
      </c>
      <c r="AS177" s="548">
        <f t="shared" si="203"/>
        <v>7269030</v>
      </c>
      <c r="AT177" s="548">
        <f t="shared" si="203"/>
        <v>49760</v>
      </c>
      <c r="AU177" s="548">
        <f t="shared" si="203"/>
        <v>2473750</v>
      </c>
      <c r="AV177" s="548">
        <f t="shared" si="203"/>
        <v>145380</v>
      </c>
      <c r="AW177" s="548">
        <f t="shared" si="203"/>
        <v>109270</v>
      </c>
      <c r="AX177" s="549">
        <f t="shared" si="203"/>
        <v>16.409600000000001</v>
      </c>
      <c r="AY177" s="549">
        <f t="shared" si="203"/>
        <v>11.017300000000001</v>
      </c>
      <c r="AZ177" s="45">
        <f t="shared" si="203"/>
        <v>5.3922999999999996</v>
      </c>
    </row>
    <row r="178" spans="1:52" s="238" customFormat="1" ht="12.75" customHeight="1" x14ac:dyDescent="0.2">
      <c r="A178" s="225">
        <v>32</v>
      </c>
      <c r="B178" s="226">
        <v>4416</v>
      </c>
      <c r="C178" s="226">
        <v>600074153</v>
      </c>
      <c r="D178" s="226">
        <v>71013105</v>
      </c>
      <c r="E178" s="224" t="s">
        <v>211</v>
      </c>
      <c r="F178" s="226">
        <v>3111</v>
      </c>
      <c r="G178" s="176" t="s">
        <v>312</v>
      </c>
      <c r="H178" s="227" t="s">
        <v>278</v>
      </c>
      <c r="I178" s="494">
        <v>3545826</v>
      </c>
      <c r="J178" s="489">
        <v>2596484</v>
      </c>
      <c r="K178" s="489">
        <v>0</v>
      </c>
      <c r="L178" s="489">
        <v>877612</v>
      </c>
      <c r="M178" s="489">
        <v>51930</v>
      </c>
      <c r="N178" s="489">
        <v>19800</v>
      </c>
      <c r="O178" s="490">
        <v>5.8494000000000002</v>
      </c>
      <c r="P178" s="491">
        <v>4.3596000000000004</v>
      </c>
      <c r="Q178" s="500">
        <v>1.4898</v>
      </c>
      <c r="R178" s="502">
        <f t="shared" si="159"/>
        <v>0</v>
      </c>
      <c r="S178" s="492">
        <v>0</v>
      </c>
      <c r="T178" s="492">
        <v>0</v>
      </c>
      <c r="U178" s="492">
        <v>0</v>
      </c>
      <c r="V178" s="492">
        <f t="shared" si="160"/>
        <v>0</v>
      </c>
      <c r="W178" s="492">
        <v>0</v>
      </c>
      <c r="X178" s="492">
        <v>0</v>
      </c>
      <c r="Y178" s="492">
        <v>0</v>
      </c>
      <c r="Z178" s="492">
        <f t="shared" si="161"/>
        <v>0</v>
      </c>
      <c r="AA178" s="492">
        <f t="shared" si="162"/>
        <v>0</v>
      </c>
      <c r="AB178" s="74">
        <f t="shared" si="163"/>
        <v>0</v>
      </c>
      <c r="AC178" s="74">
        <f t="shared" si="164"/>
        <v>0</v>
      </c>
      <c r="AD178" s="492">
        <v>0</v>
      </c>
      <c r="AE178" s="492">
        <v>0</v>
      </c>
      <c r="AF178" s="492">
        <f t="shared" si="165"/>
        <v>0</v>
      </c>
      <c r="AG178" s="492">
        <f t="shared" si="166"/>
        <v>0</v>
      </c>
      <c r="AH178" s="493">
        <v>0</v>
      </c>
      <c r="AI178" s="493">
        <v>0</v>
      </c>
      <c r="AJ178" s="493">
        <v>0</v>
      </c>
      <c r="AK178" s="493">
        <v>0</v>
      </c>
      <c r="AL178" s="493">
        <v>0</v>
      </c>
      <c r="AM178" s="493">
        <v>0</v>
      </c>
      <c r="AN178" s="493">
        <v>0</v>
      </c>
      <c r="AO178" s="493">
        <f t="shared" ref="AO178:AO182" si="204">AH178+AJ178+AM178+AK178</f>
        <v>0</v>
      </c>
      <c r="AP178" s="493">
        <f t="shared" ref="AP178:AP182" si="205">AI178+AN178+AL178</f>
        <v>0</v>
      </c>
      <c r="AQ178" s="495">
        <f t="shared" si="167"/>
        <v>0</v>
      </c>
      <c r="AR178" s="501">
        <f t="shared" si="168"/>
        <v>3545826</v>
      </c>
      <c r="AS178" s="492">
        <f t="shared" si="169"/>
        <v>2596484</v>
      </c>
      <c r="AT178" s="492">
        <f t="shared" ref="AT178:AT182" si="206">K178+Z178</f>
        <v>0</v>
      </c>
      <c r="AU178" s="492">
        <f t="shared" ref="AU178:AV182" si="207">L178+AB178</f>
        <v>877612</v>
      </c>
      <c r="AV178" s="492">
        <f t="shared" si="207"/>
        <v>51930</v>
      </c>
      <c r="AW178" s="492">
        <f t="shared" si="170"/>
        <v>19800</v>
      </c>
      <c r="AX178" s="493">
        <f t="shared" si="171"/>
        <v>5.8494000000000002</v>
      </c>
      <c r="AY178" s="493">
        <f t="shared" ref="AY178:AZ182" si="208">P178+AO178</f>
        <v>4.3596000000000004</v>
      </c>
      <c r="AZ178" s="495">
        <f t="shared" si="208"/>
        <v>1.4898</v>
      </c>
    </row>
    <row r="179" spans="1:52" s="238" customFormat="1" ht="12.75" customHeight="1" x14ac:dyDescent="0.2">
      <c r="A179" s="225">
        <v>32</v>
      </c>
      <c r="B179" s="226">
        <v>4416</v>
      </c>
      <c r="C179" s="226">
        <v>600074153</v>
      </c>
      <c r="D179" s="226">
        <v>71013105</v>
      </c>
      <c r="E179" s="224" t="s">
        <v>211</v>
      </c>
      <c r="F179" s="226">
        <v>3111</v>
      </c>
      <c r="G179" s="176" t="s">
        <v>313</v>
      </c>
      <c r="H179" s="227" t="s">
        <v>279</v>
      </c>
      <c r="I179" s="494">
        <v>940941</v>
      </c>
      <c r="J179" s="489">
        <v>692887</v>
      </c>
      <c r="K179" s="489">
        <v>0</v>
      </c>
      <c r="L179" s="489">
        <v>234196</v>
      </c>
      <c r="M179" s="489">
        <v>13858</v>
      </c>
      <c r="N179" s="489">
        <v>0</v>
      </c>
      <c r="O179" s="490">
        <v>2</v>
      </c>
      <c r="P179" s="491">
        <v>2</v>
      </c>
      <c r="Q179" s="500">
        <v>0</v>
      </c>
      <c r="R179" s="502">
        <f t="shared" si="159"/>
        <v>0</v>
      </c>
      <c r="S179" s="492">
        <v>0</v>
      </c>
      <c r="T179" s="492">
        <v>0</v>
      </c>
      <c r="U179" s="492">
        <v>0</v>
      </c>
      <c r="V179" s="492">
        <f t="shared" si="160"/>
        <v>0</v>
      </c>
      <c r="W179" s="492">
        <v>0</v>
      </c>
      <c r="X179" s="492">
        <v>0</v>
      </c>
      <c r="Y179" s="492">
        <v>0</v>
      </c>
      <c r="Z179" s="492">
        <f t="shared" si="161"/>
        <v>0</v>
      </c>
      <c r="AA179" s="492">
        <f t="shared" si="162"/>
        <v>0</v>
      </c>
      <c r="AB179" s="74">
        <f t="shared" si="163"/>
        <v>0</v>
      </c>
      <c r="AC179" s="74">
        <f t="shared" si="164"/>
        <v>0</v>
      </c>
      <c r="AD179" s="492">
        <v>0</v>
      </c>
      <c r="AE179" s="492">
        <v>0</v>
      </c>
      <c r="AF179" s="492">
        <f t="shared" si="165"/>
        <v>0</v>
      </c>
      <c r="AG179" s="492">
        <f t="shared" si="166"/>
        <v>0</v>
      </c>
      <c r="AH179" s="493">
        <v>0</v>
      </c>
      <c r="AI179" s="493">
        <v>0</v>
      </c>
      <c r="AJ179" s="493">
        <v>0</v>
      </c>
      <c r="AK179" s="493">
        <v>0</v>
      </c>
      <c r="AL179" s="493">
        <v>0</v>
      </c>
      <c r="AM179" s="493">
        <v>0</v>
      </c>
      <c r="AN179" s="493">
        <v>0</v>
      </c>
      <c r="AO179" s="493">
        <f t="shared" si="204"/>
        <v>0</v>
      </c>
      <c r="AP179" s="493">
        <f t="shared" si="205"/>
        <v>0</v>
      </c>
      <c r="AQ179" s="495">
        <f t="shared" si="167"/>
        <v>0</v>
      </c>
      <c r="AR179" s="501">
        <f t="shared" si="168"/>
        <v>940941</v>
      </c>
      <c r="AS179" s="492">
        <f t="shared" si="169"/>
        <v>692887</v>
      </c>
      <c r="AT179" s="492">
        <f t="shared" si="206"/>
        <v>0</v>
      </c>
      <c r="AU179" s="492">
        <f t="shared" si="207"/>
        <v>234196</v>
      </c>
      <c r="AV179" s="492">
        <f t="shared" si="207"/>
        <v>13858</v>
      </c>
      <c r="AW179" s="492">
        <f t="shared" si="170"/>
        <v>0</v>
      </c>
      <c r="AX179" s="493">
        <f t="shared" si="171"/>
        <v>2</v>
      </c>
      <c r="AY179" s="493">
        <f t="shared" si="208"/>
        <v>2</v>
      </c>
      <c r="AZ179" s="495">
        <f t="shared" si="208"/>
        <v>0</v>
      </c>
    </row>
    <row r="180" spans="1:52" s="238" customFormat="1" ht="12.75" customHeight="1" x14ac:dyDescent="0.2">
      <c r="A180" s="225">
        <v>32</v>
      </c>
      <c r="B180" s="226">
        <v>4416</v>
      </c>
      <c r="C180" s="226">
        <v>600074153</v>
      </c>
      <c r="D180" s="226">
        <v>71013105</v>
      </c>
      <c r="E180" s="219" t="s">
        <v>211</v>
      </c>
      <c r="F180" s="226">
        <v>3141</v>
      </c>
      <c r="G180" s="176" t="s">
        <v>316</v>
      </c>
      <c r="H180" s="227" t="s">
        <v>279</v>
      </c>
      <c r="I180" s="494">
        <v>641893</v>
      </c>
      <c r="J180" s="489">
        <v>470753</v>
      </c>
      <c r="K180" s="489">
        <v>0</v>
      </c>
      <c r="L180" s="489">
        <v>159115</v>
      </c>
      <c r="M180" s="489">
        <v>9415</v>
      </c>
      <c r="N180" s="489">
        <v>2610</v>
      </c>
      <c r="O180" s="490">
        <v>1.48</v>
      </c>
      <c r="P180" s="491">
        <v>0</v>
      </c>
      <c r="Q180" s="500">
        <v>1.48</v>
      </c>
      <c r="R180" s="502">
        <f t="shared" si="159"/>
        <v>0</v>
      </c>
      <c r="S180" s="492">
        <v>0</v>
      </c>
      <c r="T180" s="492">
        <v>0</v>
      </c>
      <c r="U180" s="492">
        <v>0</v>
      </c>
      <c r="V180" s="492">
        <f t="shared" si="160"/>
        <v>0</v>
      </c>
      <c r="W180" s="492">
        <v>0</v>
      </c>
      <c r="X180" s="492">
        <v>0</v>
      </c>
      <c r="Y180" s="492">
        <v>0</v>
      </c>
      <c r="Z180" s="492">
        <f t="shared" si="161"/>
        <v>0</v>
      </c>
      <c r="AA180" s="492">
        <f t="shared" si="162"/>
        <v>0</v>
      </c>
      <c r="AB180" s="74">
        <f t="shared" si="163"/>
        <v>0</v>
      </c>
      <c r="AC180" s="74">
        <f t="shared" si="164"/>
        <v>0</v>
      </c>
      <c r="AD180" s="492">
        <v>0</v>
      </c>
      <c r="AE180" s="492">
        <v>0</v>
      </c>
      <c r="AF180" s="492">
        <f t="shared" si="165"/>
        <v>0</v>
      </c>
      <c r="AG180" s="492">
        <f t="shared" si="166"/>
        <v>0</v>
      </c>
      <c r="AH180" s="493">
        <v>0</v>
      </c>
      <c r="AI180" s="493">
        <v>0</v>
      </c>
      <c r="AJ180" s="493">
        <v>0</v>
      </c>
      <c r="AK180" s="493">
        <v>0</v>
      </c>
      <c r="AL180" s="493">
        <v>0</v>
      </c>
      <c r="AM180" s="493">
        <v>0</v>
      </c>
      <c r="AN180" s="493">
        <v>0</v>
      </c>
      <c r="AO180" s="493">
        <f t="shared" si="204"/>
        <v>0</v>
      </c>
      <c r="AP180" s="493">
        <f t="shared" si="205"/>
        <v>0</v>
      </c>
      <c r="AQ180" s="495">
        <f t="shared" si="167"/>
        <v>0</v>
      </c>
      <c r="AR180" s="501">
        <f t="shared" si="168"/>
        <v>641893</v>
      </c>
      <c r="AS180" s="492">
        <f t="shared" si="169"/>
        <v>470753</v>
      </c>
      <c r="AT180" s="492">
        <f t="shared" si="206"/>
        <v>0</v>
      </c>
      <c r="AU180" s="492">
        <f t="shared" si="207"/>
        <v>159115</v>
      </c>
      <c r="AV180" s="492">
        <f t="shared" si="207"/>
        <v>9415</v>
      </c>
      <c r="AW180" s="492">
        <f t="shared" si="170"/>
        <v>2610</v>
      </c>
      <c r="AX180" s="493">
        <f t="shared" si="171"/>
        <v>1.48</v>
      </c>
      <c r="AY180" s="493">
        <f t="shared" si="208"/>
        <v>0</v>
      </c>
      <c r="AZ180" s="495">
        <f t="shared" si="208"/>
        <v>1.48</v>
      </c>
    </row>
    <row r="181" spans="1:52" s="238" customFormat="1" ht="12.75" customHeight="1" x14ac:dyDescent="0.2">
      <c r="A181" s="225">
        <v>32</v>
      </c>
      <c r="B181" s="226">
        <v>4416</v>
      </c>
      <c r="C181" s="226">
        <v>600074153</v>
      </c>
      <c r="D181" s="226">
        <v>71013105</v>
      </c>
      <c r="E181" s="224" t="s">
        <v>211</v>
      </c>
      <c r="F181" s="226">
        <v>3143</v>
      </c>
      <c r="G181" s="176" t="s">
        <v>629</v>
      </c>
      <c r="H181" s="243" t="s">
        <v>278</v>
      </c>
      <c r="I181" s="494">
        <v>992999</v>
      </c>
      <c r="J181" s="489">
        <v>731222</v>
      </c>
      <c r="K181" s="489">
        <v>0</v>
      </c>
      <c r="L181" s="489">
        <v>247153</v>
      </c>
      <c r="M181" s="489">
        <v>14624</v>
      </c>
      <c r="N181" s="489">
        <v>0</v>
      </c>
      <c r="O181" s="490">
        <v>1.7666999999999999</v>
      </c>
      <c r="P181" s="491">
        <v>1.7666999999999999</v>
      </c>
      <c r="Q181" s="500">
        <v>0</v>
      </c>
      <c r="R181" s="502">
        <f t="shared" si="159"/>
        <v>0</v>
      </c>
      <c r="S181" s="492">
        <v>0</v>
      </c>
      <c r="T181" s="492">
        <v>0</v>
      </c>
      <c r="U181" s="492">
        <v>0</v>
      </c>
      <c r="V181" s="492">
        <f t="shared" si="160"/>
        <v>0</v>
      </c>
      <c r="W181" s="492">
        <v>0</v>
      </c>
      <c r="X181" s="492">
        <v>0</v>
      </c>
      <c r="Y181" s="492">
        <v>0</v>
      </c>
      <c r="Z181" s="492">
        <f t="shared" si="161"/>
        <v>0</v>
      </c>
      <c r="AA181" s="492">
        <f t="shared" si="162"/>
        <v>0</v>
      </c>
      <c r="AB181" s="74">
        <f t="shared" si="163"/>
        <v>0</v>
      </c>
      <c r="AC181" s="74">
        <f t="shared" si="164"/>
        <v>0</v>
      </c>
      <c r="AD181" s="492">
        <v>0</v>
      </c>
      <c r="AE181" s="492">
        <v>0</v>
      </c>
      <c r="AF181" s="492">
        <f t="shared" si="165"/>
        <v>0</v>
      </c>
      <c r="AG181" s="492">
        <f t="shared" si="166"/>
        <v>0</v>
      </c>
      <c r="AH181" s="493">
        <v>0</v>
      </c>
      <c r="AI181" s="493">
        <v>0</v>
      </c>
      <c r="AJ181" s="493">
        <v>0</v>
      </c>
      <c r="AK181" s="493">
        <v>0</v>
      </c>
      <c r="AL181" s="493">
        <v>0</v>
      </c>
      <c r="AM181" s="493">
        <v>0</v>
      </c>
      <c r="AN181" s="493">
        <v>0</v>
      </c>
      <c r="AO181" s="493">
        <f t="shared" si="204"/>
        <v>0</v>
      </c>
      <c r="AP181" s="493">
        <f t="shared" si="205"/>
        <v>0</v>
      </c>
      <c r="AQ181" s="495">
        <f t="shared" si="167"/>
        <v>0</v>
      </c>
      <c r="AR181" s="501">
        <f t="shared" si="168"/>
        <v>992999</v>
      </c>
      <c r="AS181" s="492">
        <f t="shared" si="169"/>
        <v>731222</v>
      </c>
      <c r="AT181" s="492">
        <f t="shared" si="206"/>
        <v>0</v>
      </c>
      <c r="AU181" s="492">
        <f t="shared" si="207"/>
        <v>247153</v>
      </c>
      <c r="AV181" s="492">
        <f t="shared" si="207"/>
        <v>14624</v>
      </c>
      <c r="AW181" s="492">
        <f t="shared" si="170"/>
        <v>0</v>
      </c>
      <c r="AX181" s="493">
        <f t="shared" si="171"/>
        <v>1.7666999999999999</v>
      </c>
      <c r="AY181" s="493">
        <f t="shared" si="208"/>
        <v>1.7666999999999999</v>
      </c>
      <c r="AZ181" s="495">
        <f t="shared" si="208"/>
        <v>0</v>
      </c>
    </row>
    <row r="182" spans="1:52" s="238" customFormat="1" ht="12.75" customHeight="1" x14ac:dyDescent="0.2">
      <c r="A182" s="225">
        <v>32</v>
      </c>
      <c r="B182" s="226">
        <v>4416</v>
      </c>
      <c r="C182" s="226">
        <v>600074153</v>
      </c>
      <c r="D182" s="226">
        <v>71013105</v>
      </c>
      <c r="E182" s="224" t="s">
        <v>211</v>
      </c>
      <c r="F182" s="226">
        <v>3143</v>
      </c>
      <c r="G182" s="176" t="s">
        <v>630</v>
      </c>
      <c r="H182" s="243" t="s">
        <v>279</v>
      </c>
      <c r="I182" s="494">
        <v>30240</v>
      </c>
      <c r="J182" s="489">
        <v>21384</v>
      </c>
      <c r="K182" s="489">
        <v>0</v>
      </c>
      <c r="L182" s="489">
        <v>7228</v>
      </c>
      <c r="M182" s="489">
        <v>428</v>
      </c>
      <c r="N182" s="489">
        <v>1200</v>
      </c>
      <c r="O182" s="490">
        <v>0.08</v>
      </c>
      <c r="P182" s="491">
        <v>0</v>
      </c>
      <c r="Q182" s="500">
        <v>0.08</v>
      </c>
      <c r="R182" s="502">
        <f t="shared" si="159"/>
        <v>0</v>
      </c>
      <c r="S182" s="492">
        <v>0</v>
      </c>
      <c r="T182" s="492">
        <v>0</v>
      </c>
      <c r="U182" s="492">
        <v>0</v>
      </c>
      <c r="V182" s="492">
        <f t="shared" si="160"/>
        <v>0</v>
      </c>
      <c r="W182" s="492">
        <v>0</v>
      </c>
      <c r="X182" s="492">
        <v>0</v>
      </c>
      <c r="Y182" s="492">
        <v>0</v>
      </c>
      <c r="Z182" s="492">
        <f t="shared" si="161"/>
        <v>0</v>
      </c>
      <c r="AA182" s="492">
        <f t="shared" si="162"/>
        <v>0</v>
      </c>
      <c r="AB182" s="74">
        <f t="shared" si="163"/>
        <v>0</v>
      </c>
      <c r="AC182" s="74">
        <f t="shared" si="164"/>
        <v>0</v>
      </c>
      <c r="AD182" s="492">
        <v>0</v>
      </c>
      <c r="AE182" s="492">
        <v>0</v>
      </c>
      <c r="AF182" s="492">
        <f t="shared" si="165"/>
        <v>0</v>
      </c>
      <c r="AG182" s="492">
        <f t="shared" si="166"/>
        <v>0</v>
      </c>
      <c r="AH182" s="493">
        <v>0</v>
      </c>
      <c r="AI182" s="493">
        <v>0</v>
      </c>
      <c r="AJ182" s="493">
        <v>0</v>
      </c>
      <c r="AK182" s="493">
        <v>0</v>
      </c>
      <c r="AL182" s="493">
        <v>0</v>
      </c>
      <c r="AM182" s="493">
        <v>0</v>
      </c>
      <c r="AN182" s="493">
        <v>0</v>
      </c>
      <c r="AO182" s="493">
        <f t="shared" si="204"/>
        <v>0</v>
      </c>
      <c r="AP182" s="493">
        <f t="shared" si="205"/>
        <v>0</v>
      </c>
      <c r="AQ182" s="495">
        <f t="shared" si="167"/>
        <v>0</v>
      </c>
      <c r="AR182" s="501">
        <f t="shared" si="168"/>
        <v>30240</v>
      </c>
      <c r="AS182" s="492">
        <f t="shared" si="169"/>
        <v>21384</v>
      </c>
      <c r="AT182" s="492">
        <f t="shared" si="206"/>
        <v>0</v>
      </c>
      <c r="AU182" s="492">
        <f t="shared" si="207"/>
        <v>7228</v>
      </c>
      <c r="AV182" s="492">
        <f t="shared" si="207"/>
        <v>428</v>
      </c>
      <c r="AW182" s="492">
        <f t="shared" si="170"/>
        <v>1200</v>
      </c>
      <c r="AX182" s="493">
        <f t="shared" si="171"/>
        <v>0.08</v>
      </c>
      <c r="AY182" s="493">
        <f t="shared" si="208"/>
        <v>0</v>
      </c>
      <c r="AZ182" s="495">
        <f t="shared" si="208"/>
        <v>0.08</v>
      </c>
    </row>
    <row r="183" spans="1:52" s="238" customFormat="1" ht="12.75" customHeight="1" x14ac:dyDescent="0.2">
      <c r="A183" s="166">
        <v>32</v>
      </c>
      <c r="B183" s="20">
        <v>4416</v>
      </c>
      <c r="C183" s="20">
        <v>600074153</v>
      </c>
      <c r="D183" s="20">
        <v>71013105</v>
      </c>
      <c r="E183" s="175" t="s">
        <v>212</v>
      </c>
      <c r="F183" s="20"/>
      <c r="G183" s="165"/>
      <c r="H183" s="199"/>
      <c r="I183" s="553">
        <v>6151899</v>
      </c>
      <c r="J183" s="550">
        <v>4512730</v>
      </c>
      <c r="K183" s="550">
        <v>0</v>
      </c>
      <c r="L183" s="550">
        <v>1525304</v>
      </c>
      <c r="M183" s="550">
        <v>90255</v>
      </c>
      <c r="N183" s="550">
        <v>23610</v>
      </c>
      <c r="O183" s="551">
        <v>11.1761</v>
      </c>
      <c r="P183" s="551">
        <v>8.1263000000000005</v>
      </c>
      <c r="Q183" s="555">
        <v>3.0498000000000003</v>
      </c>
      <c r="R183" s="553">
        <f t="shared" ref="R183:AZ183" si="209">SUM(R178:R182)</f>
        <v>0</v>
      </c>
      <c r="S183" s="550">
        <f t="shared" si="209"/>
        <v>0</v>
      </c>
      <c r="T183" s="550">
        <f t="shared" si="209"/>
        <v>0</v>
      </c>
      <c r="U183" s="550">
        <f t="shared" si="209"/>
        <v>0</v>
      </c>
      <c r="V183" s="550">
        <f t="shared" si="209"/>
        <v>0</v>
      </c>
      <c r="W183" s="550">
        <f t="shared" si="209"/>
        <v>0</v>
      </c>
      <c r="X183" s="550">
        <f t="shared" si="209"/>
        <v>0</v>
      </c>
      <c r="Y183" s="550">
        <f t="shared" si="209"/>
        <v>0</v>
      </c>
      <c r="Z183" s="550">
        <f t="shared" si="209"/>
        <v>0</v>
      </c>
      <c r="AA183" s="550">
        <f t="shared" si="209"/>
        <v>0</v>
      </c>
      <c r="AB183" s="550">
        <f t="shared" si="209"/>
        <v>0</v>
      </c>
      <c r="AC183" s="550">
        <f t="shared" si="209"/>
        <v>0</v>
      </c>
      <c r="AD183" s="550">
        <f t="shared" si="209"/>
        <v>0</v>
      </c>
      <c r="AE183" s="550">
        <f t="shared" si="209"/>
        <v>0</v>
      </c>
      <c r="AF183" s="550">
        <f t="shared" si="209"/>
        <v>0</v>
      </c>
      <c r="AG183" s="550">
        <f t="shared" si="209"/>
        <v>0</v>
      </c>
      <c r="AH183" s="551">
        <f t="shared" si="209"/>
        <v>0</v>
      </c>
      <c r="AI183" s="551">
        <f t="shared" si="209"/>
        <v>0</v>
      </c>
      <c r="AJ183" s="551">
        <f t="shared" si="209"/>
        <v>0</v>
      </c>
      <c r="AK183" s="551">
        <f t="shared" si="209"/>
        <v>0</v>
      </c>
      <c r="AL183" s="551">
        <f t="shared" si="209"/>
        <v>0</v>
      </c>
      <c r="AM183" s="551">
        <f t="shared" si="209"/>
        <v>0</v>
      </c>
      <c r="AN183" s="551">
        <f t="shared" si="209"/>
        <v>0</v>
      </c>
      <c r="AO183" s="551">
        <f t="shared" si="209"/>
        <v>0</v>
      </c>
      <c r="AP183" s="551">
        <f t="shared" si="209"/>
        <v>0</v>
      </c>
      <c r="AQ183" s="44">
        <f t="shared" si="209"/>
        <v>0</v>
      </c>
      <c r="AR183" s="557">
        <f t="shared" si="209"/>
        <v>6151899</v>
      </c>
      <c r="AS183" s="550">
        <f t="shared" si="209"/>
        <v>4512730</v>
      </c>
      <c r="AT183" s="550">
        <f t="shared" si="209"/>
        <v>0</v>
      </c>
      <c r="AU183" s="550">
        <f t="shared" si="209"/>
        <v>1525304</v>
      </c>
      <c r="AV183" s="550">
        <f t="shared" si="209"/>
        <v>90255</v>
      </c>
      <c r="AW183" s="550">
        <f t="shared" si="209"/>
        <v>23610</v>
      </c>
      <c r="AX183" s="551">
        <f t="shared" si="209"/>
        <v>11.1761</v>
      </c>
      <c r="AY183" s="551">
        <f t="shared" si="209"/>
        <v>8.1263000000000005</v>
      </c>
      <c r="AZ183" s="44">
        <f t="shared" si="209"/>
        <v>3.0498000000000003</v>
      </c>
    </row>
    <row r="184" spans="1:52" s="238" customFormat="1" ht="12.75" customHeight="1" x14ac:dyDescent="0.2">
      <c r="A184" s="225">
        <v>33</v>
      </c>
      <c r="B184" s="226">
        <v>4447</v>
      </c>
      <c r="C184" s="226">
        <v>600074749</v>
      </c>
      <c r="D184" s="226">
        <v>70695962</v>
      </c>
      <c r="E184" s="224" t="s">
        <v>213</v>
      </c>
      <c r="F184" s="226">
        <v>3113</v>
      </c>
      <c r="G184" s="176" t="s">
        <v>315</v>
      </c>
      <c r="H184" s="227" t="s">
        <v>278</v>
      </c>
      <c r="I184" s="494">
        <v>12511103</v>
      </c>
      <c r="J184" s="489">
        <v>9055960</v>
      </c>
      <c r="K184" s="489">
        <v>0</v>
      </c>
      <c r="L184" s="489">
        <v>3060914</v>
      </c>
      <c r="M184" s="489">
        <v>181119</v>
      </c>
      <c r="N184" s="489">
        <v>213110</v>
      </c>
      <c r="O184" s="490">
        <v>16.3856</v>
      </c>
      <c r="P184" s="491">
        <v>12.2273</v>
      </c>
      <c r="Q184" s="500">
        <v>4.1582999999999997</v>
      </c>
      <c r="R184" s="502">
        <f t="shared" si="159"/>
        <v>0</v>
      </c>
      <c r="S184" s="492">
        <v>0</v>
      </c>
      <c r="T184" s="492">
        <v>0</v>
      </c>
      <c r="U184" s="492">
        <v>0</v>
      </c>
      <c r="V184" s="492">
        <f t="shared" si="160"/>
        <v>0</v>
      </c>
      <c r="W184" s="492">
        <v>0</v>
      </c>
      <c r="X184" s="492">
        <v>0</v>
      </c>
      <c r="Y184" s="492">
        <v>0</v>
      </c>
      <c r="Z184" s="492">
        <f t="shared" si="161"/>
        <v>0</v>
      </c>
      <c r="AA184" s="492">
        <f t="shared" si="162"/>
        <v>0</v>
      </c>
      <c r="AB184" s="74">
        <f t="shared" si="163"/>
        <v>0</v>
      </c>
      <c r="AC184" s="74">
        <f t="shared" si="164"/>
        <v>0</v>
      </c>
      <c r="AD184" s="492">
        <v>0</v>
      </c>
      <c r="AE184" s="492">
        <v>0</v>
      </c>
      <c r="AF184" s="492">
        <f t="shared" si="165"/>
        <v>0</v>
      </c>
      <c r="AG184" s="492">
        <f t="shared" si="166"/>
        <v>0</v>
      </c>
      <c r="AH184" s="493">
        <v>0</v>
      </c>
      <c r="AI184" s="493">
        <v>0</v>
      </c>
      <c r="AJ184" s="493">
        <v>0</v>
      </c>
      <c r="AK184" s="493">
        <v>0</v>
      </c>
      <c r="AL184" s="493">
        <v>0</v>
      </c>
      <c r="AM184" s="493">
        <v>0</v>
      </c>
      <c r="AN184" s="493">
        <v>0</v>
      </c>
      <c r="AO184" s="493">
        <f t="shared" ref="AO184:AO186" si="210">AH184+AJ184+AM184+AK184</f>
        <v>0</v>
      </c>
      <c r="AP184" s="493">
        <f t="shared" ref="AP184:AP186" si="211">AI184+AN184+AL184</f>
        <v>0</v>
      </c>
      <c r="AQ184" s="495">
        <f t="shared" si="167"/>
        <v>0</v>
      </c>
      <c r="AR184" s="501">
        <f t="shared" si="168"/>
        <v>12511103</v>
      </c>
      <c r="AS184" s="492">
        <f t="shared" si="169"/>
        <v>9055960</v>
      </c>
      <c r="AT184" s="492">
        <f t="shared" ref="AT184:AT186" si="212">K184+Z184</f>
        <v>0</v>
      </c>
      <c r="AU184" s="492">
        <f t="shared" ref="AU184:AV186" si="213">L184+AB184</f>
        <v>3060914</v>
      </c>
      <c r="AV184" s="492">
        <f t="shared" si="213"/>
        <v>181119</v>
      </c>
      <c r="AW184" s="492">
        <f t="shared" si="170"/>
        <v>213110</v>
      </c>
      <c r="AX184" s="493">
        <f t="shared" si="171"/>
        <v>16.3856</v>
      </c>
      <c r="AY184" s="493">
        <f t="shared" ref="AY184:AZ186" si="214">P184+AO184</f>
        <v>12.2273</v>
      </c>
      <c r="AZ184" s="495">
        <f t="shared" si="214"/>
        <v>4.1582999999999997</v>
      </c>
    </row>
    <row r="185" spans="1:52" s="238" customFormat="1" ht="12.75" customHeight="1" x14ac:dyDescent="0.2">
      <c r="A185" s="225">
        <v>33</v>
      </c>
      <c r="B185" s="226">
        <v>4447</v>
      </c>
      <c r="C185" s="226">
        <v>600074749</v>
      </c>
      <c r="D185" s="226">
        <v>70695962</v>
      </c>
      <c r="E185" s="224" t="s">
        <v>213</v>
      </c>
      <c r="F185" s="226">
        <v>3113</v>
      </c>
      <c r="G185" s="176" t="s">
        <v>313</v>
      </c>
      <c r="H185" s="227" t="s">
        <v>279</v>
      </c>
      <c r="I185" s="494">
        <v>1376221</v>
      </c>
      <c r="J185" s="489">
        <v>1010472</v>
      </c>
      <c r="K185" s="489">
        <v>0</v>
      </c>
      <c r="L185" s="489">
        <v>341540</v>
      </c>
      <c r="M185" s="489">
        <v>20209</v>
      </c>
      <c r="N185" s="489">
        <v>4000</v>
      </c>
      <c r="O185" s="490">
        <v>2.92</v>
      </c>
      <c r="P185" s="491">
        <v>2.92</v>
      </c>
      <c r="Q185" s="500">
        <v>0</v>
      </c>
      <c r="R185" s="502">
        <f t="shared" si="159"/>
        <v>0</v>
      </c>
      <c r="S185" s="492">
        <v>0</v>
      </c>
      <c r="T185" s="492">
        <v>0</v>
      </c>
      <c r="U185" s="492">
        <v>0</v>
      </c>
      <c r="V185" s="492">
        <f t="shared" si="160"/>
        <v>0</v>
      </c>
      <c r="W185" s="492">
        <v>0</v>
      </c>
      <c r="X185" s="492">
        <v>0</v>
      </c>
      <c r="Y185" s="492">
        <v>0</v>
      </c>
      <c r="Z185" s="492">
        <f t="shared" si="161"/>
        <v>0</v>
      </c>
      <c r="AA185" s="492">
        <f t="shared" si="162"/>
        <v>0</v>
      </c>
      <c r="AB185" s="74">
        <f t="shared" si="163"/>
        <v>0</v>
      </c>
      <c r="AC185" s="74">
        <f t="shared" si="164"/>
        <v>0</v>
      </c>
      <c r="AD185" s="492">
        <v>0</v>
      </c>
      <c r="AE185" s="492">
        <v>0</v>
      </c>
      <c r="AF185" s="492">
        <f t="shared" si="165"/>
        <v>0</v>
      </c>
      <c r="AG185" s="492">
        <f t="shared" si="166"/>
        <v>0</v>
      </c>
      <c r="AH185" s="493">
        <v>0</v>
      </c>
      <c r="AI185" s="493">
        <v>0</v>
      </c>
      <c r="AJ185" s="493">
        <v>0</v>
      </c>
      <c r="AK185" s="493">
        <v>0</v>
      </c>
      <c r="AL185" s="493">
        <v>0</v>
      </c>
      <c r="AM185" s="493">
        <v>0</v>
      </c>
      <c r="AN185" s="493">
        <v>0</v>
      </c>
      <c r="AO185" s="493">
        <f t="shared" si="210"/>
        <v>0</v>
      </c>
      <c r="AP185" s="493">
        <f t="shared" si="211"/>
        <v>0</v>
      </c>
      <c r="AQ185" s="495">
        <f t="shared" si="167"/>
        <v>0</v>
      </c>
      <c r="AR185" s="501">
        <f t="shared" si="168"/>
        <v>1376221</v>
      </c>
      <c r="AS185" s="492">
        <f t="shared" si="169"/>
        <v>1010472</v>
      </c>
      <c r="AT185" s="492">
        <f t="shared" si="212"/>
        <v>0</v>
      </c>
      <c r="AU185" s="492">
        <f t="shared" si="213"/>
        <v>341540</v>
      </c>
      <c r="AV185" s="492">
        <f t="shared" si="213"/>
        <v>20209</v>
      </c>
      <c r="AW185" s="492">
        <f t="shared" si="170"/>
        <v>4000</v>
      </c>
      <c r="AX185" s="493">
        <f t="shared" si="171"/>
        <v>2.92</v>
      </c>
      <c r="AY185" s="493">
        <f t="shared" si="214"/>
        <v>2.92</v>
      </c>
      <c r="AZ185" s="495">
        <f t="shared" si="214"/>
        <v>0</v>
      </c>
    </row>
    <row r="186" spans="1:52" s="238" customFormat="1" ht="12.75" customHeight="1" x14ac:dyDescent="0.2">
      <c r="A186" s="225">
        <v>33</v>
      </c>
      <c r="B186" s="226">
        <v>4447</v>
      </c>
      <c r="C186" s="226">
        <v>600074749</v>
      </c>
      <c r="D186" s="226">
        <v>70695962</v>
      </c>
      <c r="E186" s="224" t="s">
        <v>213</v>
      </c>
      <c r="F186" s="226">
        <v>3141</v>
      </c>
      <c r="G186" s="176" t="s">
        <v>316</v>
      </c>
      <c r="H186" s="227" t="s">
        <v>279</v>
      </c>
      <c r="I186" s="494">
        <v>876237</v>
      </c>
      <c r="J186" s="489">
        <v>641013</v>
      </c>
      <c r="K186" s="489">
        <v>0</v>
      </c>
      <c r="L186" s="489">
        <v>216662</v>
      </c>
      <c r="M186" s="489">
        <v>12820</v>
      </c>
      <c r="N186" s="489">
        <v>5742</v>
      </c>
      <c r="O186" s="490">
        <v>2.02</v>
      </c>
      <c r="P186" s="491">
        <v>0</v>
      </c>
      <c r="Q186" s="500">
        <v>2.02</v>
      </c>
      <c r="R186" s="502">
        <f t="shared" si="159"/>
        <v>0</v>
      </c>
      <c r="S186" s="492">
        <v>0</v>
      </c>
      <c r="T186" s="492">
        <v>0</v>
      </c>
      <c r="U186" s="492">
        <v>0</v>
      </c>
      <c r="V186" s="492">
        <f t="shared" si="160"/>
        <v>0</v>
      </c>
      <c r="W186" s="492">
        <v>0</v>
      </c>
      <c r="X186" s="492">
        <v>0</v>
      </c>
      <c r="Y186" s="492">
        <v>0</v>
      </c>
      <c r="Z186" s="492">
        <f t="shared" si="161"/>
        <v>0</v>
      </c>
      <c r="AA186" s="492">
        <f t="shared" si="162"/>
        <v>0</v>
      </c>
      <c r="AB186" s="74">
        <f t="shared" si="163"/>
        <v>0</v>
      </c>
      <c r="AC186" s="74">
        <f t="shared" si="164"/>
        <v>0</v>
      </c>
      <c r="AD186" s="492">
        <v>0</v>
      </c>
      <c r="AE186" s="492">
        <v>0</v>
      </c>
      <c r="AF186" s="492">
        <f t="shared" si="165"/>
        <v>0</v>
      </c>
      <c r="AG186" s="492">
        <f t="shared" si="166"/>
        <v>0</v>
      </c>
      <c r="AH186" s="493">
        <v>0</v>
      </c>
      <c r="AI186" s="493">
        <v>0</v>
      </c>
      <c r="AJ186" s="493">
        <v>0</v>
      </c>
      <c r="AK186" s="493">
        <v>0</v>
      </c>
      <c r="AL186" s="493">
        <v>0</v>
      </c>
      <c r="AM186" s="493">
        <v>0</v>
      </c>
      <c r="AN186" s="493">
        <v>0</v>
      </c>
      <c r="AO186" s="493">
        <f t="shared" si="210"/>
        <v>0</v>
      </c>
      <c r="AP186" s="493">
        <f t="shared" si="211"/>
        <v>0</v>
      </c>
      <c r="AQ186" s="495">
        <f t="shared" si="167"/>
        <v>0</v>
      </c>
      <c r="AR186" s="501">
        <f t="shared" si="168"/>
        <v>876237</v>
      </c>
      <c r="AS186" s="492">
        <f t="shared" si="169"/>
        <v>641013</v>
      </c>
      <c r="AT186" s="492">
        <f t="shared" si="212"/>
        <v>0</v>
      </c>
      <c r="AU186" s="492">
        <f t="shared" si="213"/>
        <v>216662</v>
      </c>
      <c r="AV186" s="492">
        <f t="shared" si="213"/>
        <v>12820</v>
      </c>
      <c r="AW186" s="492">
        <f t="shared" si="170"/>
        <v>5742</v>
      </c>
      <c r="AX186" s="493">
        <f t="shared" si="171"/>
        <v>2.02</v>
      </c>
      <c r="AY186" s="493">
        <f t="shared" si="214"/>
        <v>0</v>
      </c>
      <c r="AZ186" s="495">
        <f t="shared" si="214"/>
        <v>2.02</v>
      </c>
    </row>
    <row r="187" spans="1:52" s="238" customFormat="1" ht="12.75" customHeight="1" x14ac:dyDescent="0.2">
      <c r="A187" s="166">
        <v>33</v>
      </c>
      <c r="B187" s="20">
        <v>4447</v>
      </c>
      <c r="C187" s="20">
        <v>600074749</v>
      </c>
      <c r="D187" s="20">
        <v>70695962</v>
      </c>
      <c r="E187" s="175" t="s">
        <v>214</v>
      </c>
      <c r="F187" s="20"/>
      <c r="G187" s="165"/>
      <c r="H187" s="199"/>
      <c r="I187" s="553">
        <v>14763561</v>
      </c>
      <c r="J187" s="550">
        <v>10707445</v>
      </c>
      <c r="K187" s="550">
        <v>0</v>
      </c>
      <c r="L187" s="550">
        <v>3619116</v>
      </c>
      <c r="M187" s="550">
        <v>214148</v>
      </c>
      <c r="N187" s="550">
        <v>222852</v>
      </c>
      <c r="O187" s="551">
        <v>21.325599999999998</v>
      </c>
      <c r="P187" s="551">
        <v>15.1473</v>
      </c>
      <c r="Q187" s="555">
        <v>6.1783000000000001</v>
      </c>
      <c r="R187" s="553">
        <f t="shared" ref="R187:AZ187" si="215">SUM(R184:R186)</f>
        <v>0</v>
      </c>
      <c r="S187" s="550">
        <f t="shared" si="215"/>
        <v>0</v>
      </c>
      <c r="T187" s="550">
        <f t="shared" si="215"/>
        <v>0</v>
      </c>
      <c r="U187" s="550">
        <f t="shared" si="215"/>
        <v>0</v>
      </c>
      <c r="V187" s="550">
        <f t="shared" si="215"/>
        <v>0</v>
      </c>
      <c r="W187" s="550">
        <f t="shared" si="215"/>
        <v>0</v>
      </c>
      <c r="X187" s="550">
        <f t="shared" si="215"/>
        <v>0</v>
      </c>
      <c r="Y187" s="550">
        <f t="shared" si="215"/>
        <v>0</v>
      </c>
      <c r="Z187" s="550">
        <f t="shared" si="215"/>
        <v>0</v>
      </c>
      <c r="AA187" s="550">
        <f t="shared" si="215"/>
        <v>0</v>
      </c>
      <c r="AB187" s="550">
        <f t="shared" si="215"/>
        <v>0</v>
      </c>
      <c r="AC187" s="550">
        <f t="shared" si="215"/>
        <v>0</v>
      </c>
      <c r="AD187" s="550">
        <f t="shared" si="215"/>
        <v>0</v>
      </c>
      <c r="AE187" s="550">
        <f t="shared" si="215"/>
        <v>0</v>
      </c>
      <c r="AF187" s="550">
        <f t="shared" si="215"/>
        <v>0</v>
      </c>
      <c r="AG187" s="550">
        <f t="shared" si="215"/>
        <v>0</v>
      </c>
      <c r="AH187" s="551">
        <f t="shared" si="215"/>
        <v>0</v>
      </c>
      <c r="AI187" s="551">
        <f t="shared" si="215"/>
        <v>0</v>
      </c>
      <c r="AJ187" s="551">
        <f t="shared" si="215"/>
        <v>0</v>
      </c>
      <c r="AK187" s="551">
        <f t="shared" si="215"/>
        <v>0</v>
      </c>
      <c r="AL187" s="551">
        <f t="shared" si="215"/>
        <v>0</v>
      </c>
      <c r="AM187" s="551">
        <f t="shared" si="215"/>
        <v>0</v>
      </c>
      <c r="AN187" s="551">
        <f t="shared" si="215"/>
        <v>0</v>
      </c>
      <c r="AO187" s="551">
        <f t="shared" si="215"/>
        <v>0</v>
      </c>
      <c r="AP187" s="551">
        <f t="shared" si="215"/>
        <v>0</v>
      </c>
      <c r="AQ187" s="44">
        <f t="shared" si="215"/>
        <v>0</v>
      </c>
      <c r="AR187" s="557">
        <f t="shared" si="215"/>
        <v>14763561</v>
      </c>
      <c r="AS187" s="550">
        <f t="shared" si="215"/>
        <v>10707445</v>
      </c>
      <c r="AT187" s="550">
        <f t="shared" si="215"/>
        <v>0</v>
      </c>
      <c r="AU187" s="550">
        <f t="shared" si="215"/>
        <v>3619116</v>
      </c>
      <c r="AV187" s="550">
        <f t="shared" si="215"/>
        <v>214148</v>
      </c>
      <c r="AW187" s="550">
        <f t="shared" si="215"/>
        <v>222852</v>
      </c>
      <c r="AX187" s="551">
        <f t="shared" si="215"/>
        <v>21.325599999999998</v>
      </c>
      <c r="AY187" s="551">
        <f t="shared" si="215"/>
        <v>15.1473</v>
      </c>
      <c r="AZ187" s="44">
        <f t="shared" si="215"/>
        <v>6.1783000000000001</v>
      </c>
    </row>
    <row r="188" spans="1:52" s="238" customFormat="1" ht="12.75" customHeight="1" x14ac:dyDescent="0.2">
      <c r="A188" s="225">
        <v>34</v>
      </c>
      <c r="B188" s="226">
        <v>4449</v>
      </c>
      <c r="C188" s="226">
        <v>650037090</v>
      </c>
      <c r="D188" s="226">
        <v>72744171</v>
      </c>
      <c r="E188" s="224" t="s">
        <v>215</v>
      </c>
      <c r="F188" s="226">
        <v>3111</v>
      </c>
      <c r="G188" s="176" t="s">
        <v>312</v>
      </c>
      <c r="H188" s="227" t="s">
        <v>278</v>
      </c>
      <c r="I188" s="494">
        <v>2734795</v>
      </c>
      <c r="J188" s="489">
        <v>2003899</v>
      </c>
      <c r="K188" s="489">
        <v>0</v>
      </c>
      <c r="L188" s="489">
        <v>677318</v>
      </c>
      <c r="M188" s="489">
        <v>40078</v>
      </c>
      <c r="N188" s="489">
        <v>13500</v>
      </c>
      <c r="O188" s="490">
        <v>4.9218000000000002</v>
      </c>
      <c r="P188" s="491">
        <v>4</v>
      </c>
      <c r="Q188" s="500">
        <v>0.92179999999999995</v>
      </c>
      <c r="R188" s="502">
        <f t="shared" si="159"/>
        <v>0</v>
      </c>
      <c r="S188" s="492">
        <v>0</v>
      </c>
      <c r="T188" s="492">
        <v>0</v>
      </c>
      <c r="U188" s="492">
        <v>0</v>
      </c>
      <c r="V188" s="492">
        <f t="shared" si="160"/>
        <v>0</v>
      </c>
      <c r="W188" s="492">
        <v>0</v>
      </c>
      <c r="X188" s="492">
        <v>0</v>
      </c>
      <c r="Y188" s="492">
        <v>0</v>
      </c>
      <c r="Z188" s="492">
        <f t="shared" si="161"/>
        <v>0</v>
      </c>
      <c r="AA188" s="492">
        <f t="shared" si="162"/>
        <v>0</v>
      </c>
      <c r="AB188" s="74">
        <f t="shared" si="163"/>
        <v>0</v>
      </c>
      <c r="AC188" s="74">
        <f t="shared" si="164"/>
        <v>0</v>
      </c>
      <c r="AD188" s="492">
        <v>0</v>
      </c>
      <c r="AE188" s="492">
        <v>0</v>
      </c>
      <c r="AF188" s="492">
        <f t="shared" si="165"/>
        <v>0</v>
      </c>
      <c r="AG188" s="492">
        <f t="shared" si="166"/>
        <v>0</v>
      </c>
      <c r="AH188" s="493">
        <v>0</v>
      </c>
      <c r="AI188" s="493">
        <v>0</v>
      </c>
      <c r="AJ188" s="493">
        <v>0</v>
      </c>
      <c r="AK188" s="493">
        <v>0</v>
      </c>
      <c r="AL188" s="493">
        <v>0</v>
      </c>
      <c r="AM188" s="493">
        <v>0</v>
      </c>
      <c r="AN188" s="493">
        <v>0</v>
      </c>
      <c r="AO188" s="493">
        <f t="shared" ref="AO188:AO193" si="216">AH188+AJ188+AM188+AK188</f>
        <v>0</v>
      </c>
      <c r="AP188" s="493">
        <f t="shared" ref="AP188:AP193" si="217">AI188+AN188+AL188</f>
        <v>0</v>
      </c>
      <c r="AQ188" s="495">
        <f t="shared" si="167"/>
        <v>0</v>
      </c>
      <c r="AR188" s="501">
        <f t="shared" si="168"/>
        <v>2734795</v>
      </c>
      <c r="AS188" s="492">
        <f t="shared" si="169"/>
        <v>2003899</v>
      </c>
      <c r="AT188" s="492">
        <f t="shared" ref="AT188:AT193" si="218">K188+Z188</f>
        <v>0</v>
      </c>
      <c r="AU188" s="492">
        <f t="shared" ref="AU188:AV193" si="219">L188+AB188</f>
        <v>677318</v>
      </c>
      <c r="AV188" s="492">
        <f t="shared" si="219"/>
        <v>40078</v>
      </c>
      <c r="AW188" s="492">
        <f t="shared" si="170"/>
        <v>13500</v>
      </c>
      <c r="AX188" s="493">
        <f t="shared" si="171"/>
        <v>4.9218000000000002</v>
      </c>
      <c r="AY188" s="493">
        <f t="shared" ref="AY188:AZ193" si="220">P188+AO188</f>
        <v>4</v>
      </c>
      <c r="AZ188" s="495">
        <f t="shared" si="220"/>
        <v>0.92179999999999995</v>
      </c>
    </row>
    <row r="189" spans="1:52" s="238" customFormat="1" ht="12.75" customHeight="1" x14ac:dyDescent="0.2">
      <c r="A189" s="225">
        <v>34</v>
      </c>
      <c r="B189" s="226">
        <v>4449</v>
      </c>
      <c r="C189" s="226">
        <v>650037090</v>
      </c>
      <c r="D189" s="226">
        <v>72744171</v>
      </c>
      <c r="E189" s="224" t="s">
        <v>215</v>
      </c>
      <c r="F189" s="226">
        <v>3113</v>
      </c>
      <c r="G189" s="176" t="s">
        <v>315</v>
      </c>
      <c r="H189" s="227" t="s">
        <v>278</v>
      </c>
      <c r="I189" s="494">
        <v>12353498</v>
      </c>
      <c r="J189" s="489">
        <v>8900567</v>
      </c>
      <c r="K189" s="489">
        <v>26000</v>
      </c>
      <c r="L189" s="489">
        <v>3017180</v>
      </c>
      <c r="M189" s="489">
        <v>178011</v>
      </c>
      <c r="N189" s="489">
        <v>231740</v>
      </c>
      <c r="O189" s="490">
        <v>17.440199999999997</v>
      </c>
      <c r="P189" s="491">
        <v>11.96</v>
      </c>
      <c r="Q189" s="500">
        <v>5.4801999999999991</v>
      </c>
      <c r="R189" s="502">
        <f t="shared" si="159"/>
        <v>0</v>
      </c>
      <c r="S189" s="492">
        <v>0</v>
      </c>
      <c r="T189" s="492">
        <v>0</v>
      </c>
      <c r="U189" s="492">
        <v>0</v>
      </c>
      <c r="V189" s="492">
        <f t="shared" si="160"/>
        <v>0</v>
      </c>
      <c r="W189" s="492">
        <v>0</v>
      </c>
      <c r="X189" s="492">
        <v>0</v>
      </c>
      <c r="Y189" s="492">
        <v>0</v>
      </c>
      <c r="Z189" s="492">
        <f t="shared" si="161"/>
        <v>0</v>
      </c>
      <c r="AA189" s="492">
        <f t="shared" si="162"/>
        <v>0</v>
      </c>
      <c r="AB189" s="74">
        <f t="shared" si="163"/>
        <v>0</v>
      </c>
      <c r="AC189" s="74">
        <f t="shared" si="164"/>
        <v>0</v>
      </c>
      <c r="AD189" s="492">
        <v>0</v>
      </c>
      <c r="AE189" s="492">
        <v>0</v>
      </c>
      <c r="AF189" s="492">
        <f t="shared" si="165"/>
        <v>0</v>
      </c>
      <c r="AG189" s="492">
        <f t="shared" si="166"/>
        <v>0</v>
      </c>
      <c r="AH189" s="493">
        <v>0</v>
      </c>
      <c r="AI189" s="493">
        <v>0</v>
      </c>
      <c r="AJ189" s="493">
        <v>0</v>
      </c>
      <c r="AK189" s="493">
        <v>0</v>
      </c>
      <c r="AL189" s="493">
        <v>0</v>
      </c>
      <c r="AM189" s="493">
        <v>0</v>
      </c>
      <c r="AN189" s="493">
        <v>0</v>
      </c>
      <c r="AO189" s="493">
        <f t="shared" si="216"/>
        <v>0</v>
      </c>
      <c r="AP189" s="493">
        <f t="shared" si="217"/>
        <v>0</v>
      </c>
      <c r="AQ189" s="495">
        <f t="shared" si="167"/>
        <v>0</v>
      </c>
      <c r="AR189" s="501">
        <f t="shared" si="168"/>
        <v>12353498</v>
      </c>
      <c r="AS189" s="492">
        <f t="shared" si="169"/>
        <v>8900567</v>
      </c>
      <c r="AT189" s="492">
        <f t="shared" si="218"/>
        <v>26000</v>
      </c>
      <c r="AU189" s="492">
        <f t="shared" si="219"/>
        <v>3017180</v>
      </c>
      <c r="AV189" s="492">
        <f t="shared" si="219"/>
        <v>178011</v>
      </c>
      <c r="AW189" s="492">
        <f t="shared" si="170"/>
        <v>231740</v>
      </c>
      <c r="AX189" s="493">
        <f t="shared" si="171"/>
        <v>17.440199999999997</v>
      </c>
      <c r="AY189" s="493">
        <f t="shared" si="220"/>
        <v>11.96</v>
      </c>
      <c r="AZ189" s="495">
        <f t="shared" si="220"/>
        <v>5.4801999999999991</v>
      </c>
    </row>
    <row r="190" spans="1:52" s="238" customFormat="1" ht="12.75" customHeight="1" x14ac:dyDescent="0.2">
      <c r="A190" s="225">
        <v>34</v>
      </c>
      <c r="B190" s="226">
        <v>4449</v>
      </c>
      <c r="C190" s="226">
        <v>650037090</v>
      </c>
      <c r="D190" s="226">
        <v>72744171</v>
      </c>
      <c r="E190" s="224" t="s">
        <v>215</v>
      </c>
      <c r="F190" s="226">
        <v>3113</v>
      </c>
      <c r="G190" s="176" t="s">
        <v>313</v>
      </c>
      <c r="H190" s="227" t="s">
        <v>279</v>
      </c>
      <c r="I190" s="494">
        <v>1492566</v>
      </c>
      <c r="J190" s="489">
        <v>1094305</v>
      </c>
      <c r="K190" s="489">
        <v>0</v>
      </c>
      <c r="L190" s="489">
        <v>369875</v>
      </c>
      <c r="M190" s="489">
        <v>21886</v>
      </c>
      <c r="N190" s="489">
        <v>6500</v>
      </c>
      <c r="O190" s="490">
        <v>3.11</v>
      </c>
      <c r="P190" s="491">
        <v>3.11</v>
      </c>
      <c r="Q190" s="500">
        <v>0</v>
      </c>
      <c r="R190" s="502">
        <f t="shared" si="159"/>
        <v>0</v>
      </c>
      <c r="S190" s="492">
        <v>0</v>
      </c>
      <c r="T190" s="492">
        <v>0</v>
      </c>
      <c r="U190" s="492">
        <v>0</v>
      </c>
      <c r="V190" s="492">
        <f t="shared" si="160"/>
        <v>0</v>
      </c>
      <c r="W190" s="492">
        <v>0</v>
      </c>
      <c r="X190" s="492">
        <v>0</v>
      </c>
      <c r="Y190" s="492">
        <v>0</v>
      </c>
      <c r="Z190" s="492">
        <f t="shared" si="161"/>
        <v>0</v>
      </c>
      <c r="AA190" s="492">
        <f t="shared" si="162"/>
        <v>0</v>
      </c>
      <c r="AB190" s="74">
        <f t="shared" si="163"/>
        <v>0</v>
      </c>
      <c r="AC190" s="74">
        <f t="shared" si="164"/>
        <v>0</v>
      </c>
      <c r="AD190" s="492">
        <v>0</v>
      </c>
      <c r="AE190" s="492">
        <v>0</v>
      </c>
      <c r="AF190" s="492">
        <f t="shared" si="165"/>
        <v>0</v>
      </c>
      <c r="AG190" s="492">
        <f t="shared" si="166"/>
        <v>0</v>
      </c>
      <c r="AH190" s="493">
        <v>0</v>
      </c>
      <c r="AI190" s="493">
        <v>0</v>
      </c>
      <c r="AJ190" s="493">
        <v>0</v>
      </c>
      <c r="AK190" s="493">
        <v>0</v>
      </c>
      <c r="AL190" s="493">
        <v>0</v>
      </c>
      <c r="AM190" s="493">
        <v>0</v>
      </c>
      <c r="AN190" s="493">
        <v>0</v>
      </c>
      <c r="AO190" s="493">
        <f t="shared" si="216"/>
        <v>0</v>
      </c>
      <c r="AP190" s="493">
        <f t="shared" si="217"/>
        <v>0</v>
      </c>
      <c r="AQ190" s="495">
        <f t="shared" si="167"/>
        <v>0</v>
      </c>
      <c r="AR190" s="501">
        <f t="shared" si="168"/>
        <v>1492566</v>
      </c>
      <c r="AS190" s="492">
        <f t="shared" si="169"/>
        <v>1094305</v>
      </c>
      <c r="AT190" s="492">
        <f t="shared" si="218"/>
        <v>0</v>
      </c>
      <c r="AU190" s="492">
        <f t="shared" si="219"/>
        <v>369875</v>
      </c>
      <c r="AV190" s="492">
        <f t="shared" si="219"/>
        <v>21886</v>
      </c>
      <c r="AW190" s="492">
        <f t="shared" si="170"/>
        <v>6500</v>
      </c>
      <c r="AX190" s="493">
        <f t="shared" si="171"/>
        <v>3.11</v>
      </c>
      <c r="AY190" s="493">
        <f t="shared" si="220"/>
        <v>3.11</v>
      </c>
      <c r="AZ190" s="495">
        <f t="shared" si="220"/>
        <v>0</v>
      </c>
    </row>
    <row r="191" spans="1:52" s="238" customFormat="1" ht="12.75" customHeight="1" x14ac:dyDescent="0.2">
      <c r="A191" s="225">
        <v>34</v>
      </c>
      <c r="B191" s="226">
        <v>4449</v>
      </c>
      <c r="C191" s="226">
        <v>650037090</v>
      </c>
      <c r="D191" s="226">
        <v>72744171</v>
      </c>
      <c r="E191" s="224" t="s">
        <v>215</v>
      </c>
      <c r="F191" s="226">
        <v>3141</v>
      </c>
      <c r="G191" s="176" t="s">
        <v>316</v>
      </c>
      <c r="H191" s="227" t="s">
        <v>279</v>
      </c>
      <c r="I191" s="494">
        <v>1193471</v>
      </c>
      <c r="J191" s="489">
        <v>874360</v>
      </c>
      <c r="K191" s="489">
        <v>0</v>
      </c>
      <c r="L191" s="489">
        <v>295534</v>
      </c>
      <c r="M191" s="489">
        <v>17487</v>
      </c>
      <c r="N191" s="489">
        <v>6090</v>
      </c>
      <c r="O191" s="490">
        <v>2.75</v>
      </c>
      <c r="P191" s="491">
        <v>0</v>
      </c>
      <c r="Q191" s="500">
        <v>2.75</v>
      </c>
      <c r="R191" s="502">
        <f t="shared" si="159"/>
        <v>0</v>
      </c>
      <c r="S191" s="492">
        <v>0</v>
      </c>
      <c r="T191" s="492">
        <v>0</v>
      </c>
      <c r="U191" s="492">
        <v>0</v>
      </c>
      <c r="V191" s="492">
        <f t="shared" si="160"/>
        <v>0</v>
      </c>
      <c r="W191" s="492">
        <v>0</v>
      </c>
      <c r="X191" s="492">
        <v>0</v>
      </c>
      <c r="Y191" s="492">
        <v>0</v>
      </c>
      <c r="Z191" s="492">
        <f t="shared" si="161"/>
        <v>0</v>
      </c>
      <c r="AA191" s="492">
        <f t="shared" si="162"/>
        <v>0</v>
      </c>
      <c r="AB191" s="74">
        <f t="shared" si="163"/>
        <v>0</v>
      </c>
      <c r="AC191" s="74">
        <f t="shared" si="164"/>
        <v>0</v>
      </c>
      <c r="AD191" s="492">
        <v>0</v>
      </c>
      <c r="AE191" s="492">
        <v>0</v>
      </c>
      <c r="AF191" s="492">
        <f t="shared" si="165"/>
        <v>0</v>
      </c>
      <c r="AG191" s="492">
        <f t="shared" si="166"/>
        <v>0</v>
      </c>
      <c r="AH191" s="493">
        <v>0</v>
      </c>
      <c r="AI191" s="493">
        <v>0</v>
      </c>
      <c r="AJ191" s="493">
        <v>0</v>
      </c>
      <c r="AK191" s="493">
        <v>0</v>
      </c>
      <c r="AL191" s="493">
        <v>0</v>
      </c>
      <c r="AM191" s="493">
        <v>0</v>
      </c>
      <c r="AN191" s="493">
        <v>0</v>
      </c>
      <c r="AO191" s="493">
        <f t="shared" si="216"/>
        <v>0</v>
      </c>
      <c r="AP191" s="493">
        <f t="shared" si="217"/>
        <v>0</v>
      </c>
      <c r="AQ191" s="495">
        <f t="shared" si="167"/>
        <v>0</v>
      </c>
      <c r="AR191" s="501">
        <f t="shared" si="168"/>
        <v>1193471</v>
      </c>
      <c r="AS191" s="492">
        <f t="shared" si="169"/>
        <v>874360</v>
      </c>
      <c r="AT191" s="492">
        <f t="shared" si="218"/>
        <v>0</v>
      </c>
      <c r="AU191" s="492">
        <f t="shared" si="219"/>
        <v>295534</v>
      </c>
      <c r="AV191" s="492">
        <f t="shared" si="219"/>
        <v>17487</v>
      </c>
      <c r="AW191" s="492">
        <f t="shared" si="170"/>
        <v>6090</v>
      </c>
      <c r="AX191" s="493">
        <f t="shared" si="171"/>
        <v>2.75</v>
      </c>
      <c r="AY191" s="493">
        <f t="shared" si="220"/>
        <v>0</v>
      </c>
      <c r="AZ191" s="495">
        <f t="shared" si="220"/>
        <v>2.75</v>
      </c>
    </row>
    <row r="192" spans="1:52" s="238" customFormat="1" ht="12.75" customHeight="1" x14ac:dyDescent="0.2">
      <c r="A192" s="225">
        <v>34</v>
      </c>
      <c r="B192" s="226">
        <v>4449</v>
      </c>
      <c r="C192" s="226">
        <v>650037090</v>
      </c>
      <c r="D192" s="226">
        <v>72744171</v>
      </c>
      <c r="E192" s="224" t="s">
        <v>215</v>
      </c>
      <c r="F192" s="226">
        <v>3143</v>
      </c>
      <c r="G192" s="176" t="s">
        <v>629</v>
      </c>
      <c r="H192" s="243" t="s">
        <v>278</v>
      </c>
      <c r="I192" s="494">
        <v>1244399</v>
      </c>
      <c r="J192" s="489">
        <v>916347</v>
      </c>
      <c r="K192" s="489">
        <v>0</v>
      </c>
      <c r="L192" s="489">
        <v>309725</v>
      </c>
      <c r="M192" s="489">
        <v>18327</v>
      </c>
      <c r="N192" s="489">
        <v>0</v>
      </c>
      <c r="O192" s="490">
        <v>2</v>
      </c>
      <c r="P192" s="491">
        <v>2</v>
      </c>
      <c r="Q192" s="500">
        <v>0</v>
      </c>
      <c r="R192" s="502">
        <f t="shared" si="159"/>
        <v>0</v>
      </c>
      <c r="S192" s="492">
        <v>0</v>
      </c>
      <c r="T192" s="492">
        <v>0</v>
      </c>
      <c r="U192" s="492">
        <v>0</v>
      </c>
      <c r="V192" s="492">
        <f t="shared" si="160"/>
        <v>0</v>
      </c>
      <c r="W192" s="492">
        <v>0</v>
      </c>
      <c r="X192" s="492">
        <v>0</v>
      </c>
      <c r="Y192" s="492">
        <v>0</v>
      </c>
      <c r="Z192" s="492">
        <f t="shared" si="161"/>
        <v>0</v>
      </c>
      <c r="AA192" s="492">
        <f t="shared" si="162"/>
        <v>0</v>
      </c>
      <c r="AB192" s="74">
        <f t="shared" si="163"/>
        <v>0</v>
      </c>
      <c r="AC192" s="74">
        <f t="shared" si="164"/>
        <v>0</v>
      </c>
      <c r="AD192" s="492">
        <v>0</v>
      </c>
      <c r="AE192" s="492">
        <v>0</v>
      </c>
      <c r="AF192" s="492">
        <f t="shared" si="165"/>
        <v>0</v>
      </c>
      <c r="AG192" s="492">
        <f t="shared" si="166"/>
        <v>0</v>
      </c>
      <c r="AH192" s="493">
        <v>0</v>
      </c>
      <c r="AI192" s="493">
        <v>0</v>
      </c>
      <c r="AJ192" s="493">
        <v>0</v>
      </c>
      <c r="AK192" s="493">
        <v>0</v>
      </c>
      <c r="AL192" s="493">
        <v>0</v>
      </c>
      <c r="AM192" s="493">
        <v>0</v>
      </c>
      <c r="AN192" s="493">
        <v>0</v>
      </c>
      <c r="AO192" s="493">
        <f t="shared" si="216"/>
        <v>0</v>
      </c>
      <c r="AP192" s="493">
        <f t="shared" si="217"/>
        <v>0</v>
      </c>
      <c r="AQ192" s="495">
        <f t="shared" si="167"/>
        <v>0</v>
      </c>
      <c r="AR192" s="501">
        <f t="shared" si="168"/>
        <v>1244399</v>
      </c>
      <c r="AS192" s="492">
        <f t="shared" si="169"/>
        <v>916347</v>
      </c>
      <c r="AT192" s="492">
        <f t="shared" si="218"/>
        <v>0</v>
      </c>
      <c r="AU192" s="492">
        <f t="shared" si="219"/>
        <v>309725</v>
      </c>
      <c r="AV192" s="492">
        <f t="shared" si="219"/>
        <v>18327</v>
      </c>
      <c r="AW192" s="492">
        <f t="shared" si="170"/>
        <v>0</v>
      </c>
      <c r="AX192" s="493">
        <f t="shared" si="171"/>
        <v>2</v>
      </c>
      <c r="AY192" s="493">
        <f t="shared" si="220"/>
        <v>2</v>
      </c>
      <c r="AZ192" s="495">
        <f t="shared" si="220"/>
        <v>0</v>
      </c>
    </row>
    <row r="193" spans="1:52" s="238" customFormat="1" ht="12.75" customHeight="1" x14ac:dyDescent="0.2">
      <c r="A193" s="225">
        <v>34</v>
      </c>
      <c r="B193" s="226">
        <v>4449</v>
      </c>
      <c r="C193" s="226">
        <v>650037090</v>
      </c>
      <c r="D193" s="226">
        <v>72744171</v>
      </c>
      <c r="E193" s="224" t="s">
        <v>215</v>
      </c>
      <c r="F193" s="226">
        <v>3143</v>
      </c>
      <c r="G193" s="176" t="s">
        <v>630</v>
      </c>
      <c r="H193" s="243" t="s">
        <v>279</v>
      </c>
      <c r="I193" s="494">
        <v>34019</v>
      </c>
      <c r="J193" s="489">
        <v>24057</v>
      </c>
      <c r="K193" s="489">
        <v>0</v>
      </c>
      <c r="L193" s="489">
        <v>8131</v>
      </c>
      <c r="M193" s="489">
        <v>481</v>
      </c>
      <c r="N193" s="489">
        <v>1350</v>
      </c>
      <c r="O193" s="490">
        <v>0.09</v>
      </c>
      <c r="P193" s="491">
        <v>0</v>
      </c>
      <c r="Q193" s="500">
        <v>0.09</v>
      </c>
      <c r="R193" s="502">
        <f t="shared" si="159"/>
        <v>0</v>
      </c>
      <c r="S193" s="492">
        <v>0</v>
      </c>
      <c r="T193" s="492">
        <v>0</v>
      </c>
      <c r="U193" s="492">
        <v>0</v>
      </c>
      <c r="V193" s="492">
        <f t="shared" si="160"/>
        <v>0</v>
      </c>
      <c r="W193" s="492">
        <v>0</v>
      </c>
      <c r="X193" s="492">
        <v>0</v>
      </c>
      <c r="Y193" s="492">
        <v>0</v>
      </c>
      <c r="Z193" s="492">
        <f t="shared" si="161"/>
        <v>0</v>
      </c>
      <c r="AA193" s="492">
        <f t="shared" si="162"/>
        <v>0</v>
      </c>
      <c r="AB193" s="74">
        <f t="shared" si="163"/>
        <v>0</v>
      </c>
      <c r="AC193" s="74">
        <f t="shared" si="164"/>
        <v>0</v>
      </c>
      <c r="AD193" s="492">
        <v>0</v>
      </c>
      <c r="AE193" s="492">
        <v>0</v>
      </c>
      <c r="AF193" s="492">
        <f t="shared" si="165"/>
        <v>0</v>
      </c>
      <c r="AG193" s="492">
        <f t="shared" si="166"/>
        <v>0</v>
      </c>
      <c r="AH193" s="493">
        <v>0</v>
      </c>
      <c r="AI193" s="493">
        <v>0</v>
      </c>
      <c r="AJ193" s="493">
        <v>0</v>
      </c>
      <c r="AK193" s="493">
        <v>0</v>
      </c>
      <c r="AL193" s="493">
        <v>0</v>
      </c>
      <c r="AM193" s="493">
        <v>0</v>
      </c>
      <c r="AN193" s="493">
        <v>0</v>
      </c>
      <c r="AO193" s="493">
        <f t="shared" si="216"/>
        <v>0</v>
      </c>
      <c r="AP193" s="493">
        <f t="shared" si="217"/>
        <v>0</v>
      </c>
      <c r="AQ193" s="495">
        <f t="shared" si="167"/>
        <v>0</v>
      </c>
      <c r="AR193" s="501">
        <f t="shared" si="168"/>
        <v>34019</v>
      </c>
      <c r="AS193" s="492">
        <f t="shared" si="169"/>
        <v>24057</v>
      </c>
      <c r="AT193" s="492">
        <f t="shared" si="218"/>
        <v>0</v>
      </c>
      <c r="AU193" s="492">
        <f t="shared" si="219"/>
        <v>8131</v>
      </c>
      <c r="AV193" s="492">
        <f t="shared" si="219"/>
        <v>481</v>
      </c>
      <c r="AW193" s="492">
        <f t="shared" si="170"/>
        <v>1350</v>
      </c>
      <c r="AX193" s="493">
        <f t="shared" si="171"/>
        <v>0.09</v>
      </c>
      <c r="AY193" s="493">
        <f t="shared" si="220"/>
        <v>0</v>
      </c>
      <c r="AZ193" s="495">
        <f t="shared" si="220"/>
        <v>0.09</v>
      </c>
    </row>
    <row r="194" spans="1:52" s="238" customFormat="1" ht="12.75" customHeight="1" x14ac:dyDescent="0.2">
      <c r="A194" s="166">
        <v>34</v>
      </c>
      <c r="B194" s="20">
        <v>4449</v>
      </c>
      <c r="C194" s="20">
        <v>650037090</v>
      </c>
      <c r="D194" s="20">
        <v>72744171</v>
      </c>
      <c r="E194" s="175" t="s">
        <v>216</v>
      </c>
      <c r="F194" s="20"/>
      <c r="G194" s="165"/>
      <c r="H194" s="199"/>
      <c r="I194" s="553">
        <v>19052748</v>
      </c>
      <c r="J194" s="550">
        <v>13813535</v>
      </c>
      <c r="K194" s="550">
        <v>26000</v>
      </c>
      <c r="L194" s="550">
        <v>4677763</v>
      </c>
      <c r="M194" s="550">
        <v>276270</v>
      </c>
      <c r="N194" s="550">
        <v>259180</v>
      </c>
      <c r="O194" s="551">
        <v>30.311999999999998</v>
      </c>
      <c r="P194" s="551">
        <v>21.07</v>
      </c>
      <c r="Q194" s="555">
        <v>9.2419999999999991</v>
      </c>
      <c r="R194" s="553">
        <f t="shared" ref="R194:AZ194" si="221">SUM(R188:R193)</f>
        <v>0</v>
      </c>
      <c r="S194" s="550">
        <f t="shared" si="221"/>
        <v>0</v>
      </c>
      <c r="T194" s="550">
        <f t="shared" si="221"/>
        <v>0</v>
      </c>
      <c r="U194" s="550">
        <f t="shared" si="221"/>
        <v>0</v>
      </c>
      <c r="V194" s="550">
        <f t="shared" si="221"/>
        <v>0</v>
      </c>
      <c r="W194" s="550">
        <f t="shared" si="221"/>
        <v>0</v>
      </c>
      <c r="X194" s="550">
        <f t="shared" si="221"/>
        <v>0</v>
      </c>
      <c r="Y194" s="550">
        <f t="shared" si="221"/>
        <v>0</v>
      </c>
      <c r="Z194" s="550">
        <f t="shared" si="221"/>
        <v>0</v>
      </c>
      <c r="AA194" s="550">
        <f t="shared" si="221"/>
        <v>0</v>
      </c>
      <c r="AB194" s="550">
        <f t="shared" si="221"/>
        <v>0</v>
      </c>
      <c r="AC194" s="550">
        <f t="shared" si="221"/>
        <v>0</v>
      </c>
      <c r="AD194" s="550">
        <f t="shared" si="221"/>
        <v>0</v>
      </c>
      <c r="AE194" s="550">
        <f t="shared" si="221"/>
        <v>0</v>
      </c>
      <c r="AF194" s="550">
        <f t="shared" si="221"/>
        <v>0</v>
      </c>
      <c r="AG194" s="550">
        <f t="shared" si="221"/>
        <v>0</v>
      </c>
      <c r="AH194" s="551">
        <f t="shared" si="221"/>
        <v>0</v>
      </c>
      <c r="AI194" s="551">
        <f t="shared" si="221"/>
        <v>0</v>
      </c>
      <c r="AJ194" s="551">
        <f t="shared" si="221"/>
        <v>0</v>
      </c>
      <c r="AK194" s="551">
        <f t="shared" si="221"/>
        <v>0</v>
      </c>
      <c r="AL194" s="551">
        <f t="shared" si="221"/>
        <v>0</v>
      </c>
      <c r="AM194" s="551">
        <f t="shared" si="221"/>
        <v>0</v>
      </c>
      <c r="AN194" s="551">
        <f t="shared" si="221"/>
        <v>0</v>
      </c>
      <c r="AO194" s="551">
        <f t="shared" si="221"/>
        <v>0</v>
      </c>
      <c r="AP194" s="551">
        <f t="shared" si="221"/>
        <v>0</v>
      </c>
      <c r="AQ194" s="44">
        <f t="shared" si="221"/>
        <v>0</v>
      </c>
      <c r="AR194" s="557">
        <f t="shared" si="221"/>
        <v>19052748</v>
      </c>
      <c r="AS194" s="550">
        <f t="shared" si="221"/>
        <v>13813535</v>
      </c>
      <c r="AT194" s="550">
        <f t="shared" si="221"/>
        <v>26000</v>
      </c>
      <c r="AU194" s="550">
        <f t="shared" si="221"/>
        <v>4677763</v>
      </c>
      <c r="AV194" s="550">
        <f t="shared" si="221"/>
        <v>276270</v>
      </c>
      <c r="AW194" s="550">
        <f t="shared" si="221"/>
        <v>259180</v>
      </c>
      <c r="AX194" s="551">
        <f t="shared" si="221"/>
        <v>30.311999999999998</v>
      </c>
      <c r="AY194" s="551">
        <f t="shared" si="221"/>
        <v>21.07</v>
      </c>
      <c r="AZ194" s="44">
        <f t="shared" si="221"/>
        <v>9.2419999999999991</v>
      </c>
    </row>
    <row r="195" spans="1:52" s="238" customFormat="1" ht="12.75" customHeight="1" x14ac:dyDescent="0.2">
      <c r="A195" s="225">
        <v>35</v>
      </c>
      <c r="B195" s="226">
        <v>4401</v>
      </c>
      <c r="C195" s="226">
        <v>600074196</v>
      </c>
      <c r="D195" s="226">
        <v>71011129</v>
      </c>
      <c r="E195" s="224" t="s">
        <v>217</v>
      </c>
      <c r="F195" s="226">
        <v>3111</v>
      </c>
      <c r="G195" s="176" t="s">
        <v>312</v>
      </c>
      <c r="H195" s="227" t="s">
        <v>278</v>
      </c>
      <c r="I195" s="494">
        <v>3380146</v>
      </c>
      <c r="J195" s="489">
        <v>2416512</v>
      </c>
      <c r="K195" s="489">
        <v>58500</v>
      </c>
      <c r="L195" s="489">
        <v>836554</v>
      </c>
      <c r="M195" s="489">
        <v>48330</v>
      </c>
      <c r="N195" s="489">
        <v>20250</v>
      </c>
      <c r="O195" s="490">
        <v>5.2298</v>
      </c>
      <c r="P195" s="491">
        <v>4</v>
      </c>
      <c r="Q195" s="500">
        <v>1.2297999999999998</v>
      </c>
      <c r="R195" s="502">
        <f t="shared" si="159"/>
        <v>0</v>
      </c>
      <c r="S195" s="492">
        <v>0</v>
      </c>
      <c r="T195" s="492">
        <v>0</v>
      </c>
      <c r="U195" s="492">
        <v>0</v>
      </c>
      <c r="V195" s="492">
        <f t="shared" si="160"/>
        <v>0</v>
      </c>
      <c r="W195" s="492">
        <v>0</v>
      </c>
      <c r="X195" s="492">
        <v>0</v>
      </c>
      <c r="Y195" s="492">
        <v>0</v>
      </c>
      <c r="Z195" s="492">
        <f t="shared" si="161"/>
        <v>0</v>
      </c>
      <c r="AA195" s="492">
        <f t="shared" si="162"/>
        <v>0</v>
      </c>
      <c r="AB195" s="74">
        <f t="shared" si="163"/>
        <v>0</v>
      </c>
      <c r="AC195" s="74">
        <f t="shared" si="164"/>
        <v>0</v>
      </c>
      <c r="AD195" s="492">
        <v>0</v>
      </c>
      <c r="AE195" s="492">
        <v>0</v>
      </c>
      <c r="AF195" s="492">
        <f t="shared" si="165"/>
        <v>0</v>
      </c>
      <c r="AG195" s="492">
        <f t="shared" si="166"/>
        <v>0</v>
      </c>
      <c r="AH195" s="493">
        <v>0</v>
      </c>
      <c r="AI195" s="493">
        <v>0</v>
      </c>
      <c r="AJ195" s="493">
        <v>0</v>
      </c>
      <c r="AK195" s="493">
        <v>0</v>
      </c>
      <c r="AL195" s="493">
        <v>0</v>
      </c>
      <c r="AM195" s="493">
        <v>0</v>
      </c>
      <c r="AN195" s="493">
        <v>0</v>
      </c>
      <c r="AO195" s="493">
        <f t="shared" ref="AO195:AO197" si="222">AH195+AJ195+AM195+AK195</f>
        <v>0</v>
      </c>
      <c r="AP195" s="493">
        <f t="shared" ref="AP195:AP197" si="223">AI195+AN195+AL195</f>
        <v>0</v>
      </c>
      <c r="AQ195" s="495">
        <f t="shared" si="167"/>
        <v>0</v>
      </c>
      <c r="AR195" s="501">
        <f t="shared" si="168"/>
        <v>3380146</v>
      </c>
      <c r="AS195" s="492">
        <f t="shared" si="169"/>
        <v>2416512</v>
      </c>
      <c r="AT195" s="492">
        <f t="shared" ref="AT195:AT197" si="224">K195+Z195</f>
        <v>58500</v>
      </c>
      <c r="AU195" s="492">
        <f t="shared" ref="AU195:AV197" si="225">L195+AB195</f>
        <v>836554</v>
      </c>
      <c r="AV195" s="492">
        <f t="shared" si="225"/>
        <v>48330</v>
      </c>
      <c r="AW195" s="492">
        <f t="shared" si="170"/>
        <v>20250</v>
      </c>
      <c r="AX195" s="493">
        <f t="shared" si="171"/>
        <v>5.2298</v>
      </c>
      <c r="AY195" s="493">
        <f t="shared" ref="AY195:AZ197" si="226">P195+AO195</f>
        <v>4</v>
      </c>
      <c r="AZ195" s="495">
        <f t="shared" si="226"/>
        <v>1.2297999999999998</v>
      </c>
    </row>
    <row r="196" spans="1:52" s="238" customFormat="1" ht="12.75" customHeight="1" x14ac:dyDescent="0.2">
      <c r="A196" s="225">
        <v>35</v>
      </c>
      <c r="B196" s="226">
        <v>4401</v>
      </c>
      <c r="C196" s="226">
        <v>600074196</v>
      </c>
      <c r="D196" s="226">
        <v>71011129</v>
      </c>
      <c r="E196" s="224" t="s">
        <v>217</v>
      </c>
      <c r="F196" s="226">
        <v>3111</v>
      </c>
      <c r="G196" s="176" t="s">
        <v>313</v>
      </c>
      <c r="H196" s="227" t="s">
        <v>279</v>
      </c>
      <c r="I196" s="494">
        <v>352854</v>
      </c>
      <c r="J196" s="489">
        <v>259833</v>
      </c>
      <c r="K196" s="489">
        <v>0</v>
      </c>
      <c r="L196" s="489">
        <v>87824</v>
      </c>
      <c r="M196" s="489">
        <v>5197</v>
      </c>
      <c r="N196" s="489">
        <v>0</v>
      </c>
      <c r="O196" s="490">
        <v>0.75</v>
      </c>
      <c r="P196" s="491">
        <v>0.75</v>
      </c>
      <c r="Q196" s="500">
        <v>0</v>
      </c>
      <c r="R196" s="502">
        <f t="shared" si="159"/>
        <v>0</v>
      </c>
      <c r="S196" s="492">
        <v>0</v>
      </c>
      <c r="T196" s="492">
        <v>0</v>
      </c>
      <c r="U196" s="492">
        <v>0</v>
      </c>
      <c r="V196" s="492">
        <f t="shared" si="160"/>
        <v>0</v>
      </c>
      <c r="W196" s="492">
        <v>0</v>
      </c>
      <c r="X196" s="492">
        <v>0</v>
      </c>
      <c r="Y196" s="492">
        <v>0</v>
      </c>
      <c r="Z196" s="492">
        <f t="shared" si="161"/>
        <v>0</v>
      </c>
      <c r="AA196" s="492">
        <f t="shared" si="162"/>
        <v>0</v>
      </c>
      <c r="AB196" s="74">
        <f t="shared" si="163"/>
        <v>0</v>
      </c>
      <c r="AC196" s="74">
        <f t="shared" si="164"/>
        <v>0</v>
      </c>
      <c r="AD196" s="492">
        <v>0</v>
      </c>
      <c r="AE196" s="492">
        <v>0</v>
      </c>
      <c r="AF196" s="492">
        <f t="shared" si="165"/>
        <v>0</v>
      </c>
      <c r="AG196" s="492">
        <f t="shared" si="166"/>
        <v>0</v>
      </c>
      <c r="AH196" s="493">
        <v>0</v>
      </c>
      <c r="AI196" s="493">
        <v>0</v>
      </c>
      <c r="AJ196" s="493">
        <v>0</v>
      </c>
      <c r="AK196" s="493">
        <v>0</v>
      </c>
      <c r="AL196" s="493">
        <v>0</v>
      </c>
      <c r="AM196" s="493">
        <v>0</v>
      </c>
      <c r="AN196" s="493">
        <v>0</v>
      </c>
      <c r="AO196" s="493">
        <f t="shared" si="222"/>
        <v>0</v>
      </c>
      <c r="AP196" s="493">
        <f t="shared" si="223"/>
        <v>0</v>
      </c>
      <c r="AQ196" s="495">
        <f t="shared" si="167"/>
        <v>0</v>
      </c>
      <c r="AR196" s="501">
        <f t="shared" si="168"/>
        <v>352854</v>
      </c>
      <c r="AS196" s="492">
        <f t="shared" si="169"/>
        <v>259833</v>
      </c>
      <c r="AT196" s="492">
        <f t="shared" si="224"/>
        <v>0</v>
      </c>
      <c r="AU196" s="492">
        <f t="shared" si="225"/>
        <v>87824</v>
      </c>
      <c r="AV196" s="492">
        <f t="shared" si="225"/>
        <v>5197</v>
      </c>
      <c r="AW196" s="492">
        <f t="shared" si="170"/>
        <v>0</v>
      </c>
      <c r="AX196" s="493">
        <f t="shared" si="171"/>
        <v>0.75</v>
      </c>
      <c r="AY196" s="493">
        <f t="shared" si="226"/>
        <v>0.75</v>
      </c>
      <c r="AZ196" s="495">
        <f t="shared" si="226"/>
        <v>0</v>
      </c>
    </row>
    <row r="197" spans="1:52" s="238" customFormat="1" ht="12.75" customHeight="1" x14ac:dyDescent="0.2">
      <c r="A197" s="225">
        <v>35</v>
      </c>
      <c r="B197" s="226">
        <v>4401</v>
      </c>
      <c r="C197" s="226">
        <v>600074196</v>
      </c>
      <c r="D197" s="226">
        <v>71011129</v>
      </c>
      <c r="E197" s="219" t="s">
        <v>217</v>
      </c>
      <c r="F197" s="226">
        <v>3141</v>
      </c>
      <c r="G197" s="176" t="s">
        <v>316</v>
      </c>
      <c r="H197" s="227" t="s">
        <v>279</v>
      </c>
      <c r="I197" s="494">
        <v>256533</v>
      </c>
      <c r="J197" s="489">
        <v>187646</v>
      </c>
      <c r="K197" s="489">
        <v>0</v>
      </c>
      <c r="L197" s="489">
        <v>63424</v>
      </c>
      <c r="M197" s="489">
        <v>3753</v>
      </c>
      <c r="N197" s="489">
        <v>1710</v>
      </c>
      <c r="O197" s="490">
        <v>0.59</v>
      </c>
      <c r="P197" s="491">
        <v>0</v>
      </c>
      <c r="Q197" s="500">
        <v>0.59</v>
      </c>
      <c r="R197" s="502">
        <f t="shared" si="159"/>
        <v>0</v>
      </c>
      <c r="S197" s="492">
        <v>0</v>
      </c>
      <c r="T197" s="492">
        <v>0</v>
      </c>
      <c r="U197" s="492">
        <v>0</v>
      </c>
      <c r="V197" s="492">
        <f t="shared" si="160"/>
        <v>0</v>
      </c>
      <c r="W197" s="492">
        <v>0</v>
      </c>
      <c r="X197" s="492">
        <v>0</v>
      </c>
      <c r="Y197" s="492">
        <v>0</v>
      </c>
      <c r="Z197" s="492">
        <f t="shared" si="161"/>
        <v>0</v>
      </c>
      <c r="AA197" s="492">
        <f t="shared" si="162"/>
        <v>0</v>
      </c>
      <c r="AB197" s="74">
        <f t="shared" si="163"/>
        <v>0</v>
      </c>
      <c r="AC197" s="74">
        <f t="shared" si="164"/>
        <v>0</v>
      </c>
      <c r="AD197" s="492">
        <v>0</v>
      </c>
      <c r="AE197" s="492">
        <v>0</v>
      </c>
      <c r="AF197" s="492">
        <f t="shared" si="165"/>
        <v>0</v>
      </c>
      <c r="AG197" s="492">
        <f t="shared" si="166"/>
        <v>0</v>
      </c>
      <c r="AH197" s="493">
        <v>0</v>
      </c>
      <c r="AI197" s="493">
        <v>0</v>
      </c>
      <c r="AJ197" s="493">
        <v>0</v>
      </c>
      <c r="AK197" s="493">
        <v>0</v>
      </c>
      <c r="AL197" s="493">
        <v>0</v>
      </c>
      <c r="AM197" s="493">
        <v>0</v>
      </c>
      <c r="AN197" s="493">
        <v>0</v>
      </c>
      <c r="AO197" s="493">
        <f t="shared" si="222"/>
        <v>0</v>
      </c>
      <c r="AP197" s="493">
        <f t="shared" si="223"/>
        <v>0</v>
      </c>
      <c r="AQ197" s="495">
        <f t="shared" si="167"/>
        <v>0</v>
      </c>
      <c r="AR197" s="501">
        <f t="shared" si="168"/>
        <v>256533</v>
      </c>
      <c r="AS197" s="492">
        <f t="shared" si="169"/>
        <v>187646</v>
      </c>
      <c r="AT197" s="492">
        <f t="shared" si="224"/>
        <v>0</v>
      </c>
      <c r="AU197" s="492">
        <f t="shared" si="225"/>
        <v>63424</v>
      </c>
      <c r="AV197" s="492">
        <f t="shared" si="225"/>
        <v>3753</v>
      </c>
      <c r="AW197" s="492">
        <f t="shared" si="170"/>
        <v>1710</v>
      </c>
      <c r="AX197" s="493">
        <f t="shared" si="171"/>
        <v>0.59</v>
      </c>
      <c r="AY197" s="493">
        <f t="shared" si="226"/>
        <v>0</v>
      </c>
      <c r="AZ197" s="495">
        <f t="shared" si="226"/>
        <v>0.59</v>
      </c>
    </row>
    <row r="198" spans="1:52" s="238" customFormat="1" ht="12.75" customHeight="1" x14ac:dyDescent="0.2">
      <c r="A198" s="166">
        <v>35</v>
      </c>
      <c r="B198" s="20">
        <v>4401</v>
      </c>
      <c r="C198" s="20">
        <v>600074196</v>
      </c>
      <c r="D198" s="20">
        <v>71011129</v>
      </c>
      <c r="E198" s="175" t="s">
        <v>218</v>
      </c>
      <c r="F198" s="20"/>
      <c r="G198" s="165"/>
      <c r="H198" s="199"/>
      <c r="I198" s="553">
        <v>3989533</v>
      </c>
      <c r="J198" s="550">
        <v>2863991</v>
      </c>
      <c r="K198" s="550">
        <v>58500</v>
      </c>
      <c r="L198" s="550">
        <v>987802</v>
      </c>
      <c r="M198" s="550">
        <v>57280</v>
      </c>
      <c r="N198" s="550">
        <v>21960</v>
      </c>
      <c r="O198" s="551">
        <v>6.5697999999999999</v>
      </c>
      <c r="P198" s="551">
        <v>4.75</v>
      </c>
      <c r="Q198" s="555">
        <v>1.8197999999999999</v>
      </c>
      <c r="R198" s="553">
        <f t="shared" ref="R198:AZ198" si="227">SUM(R195:R197)</f>
        <v>0</v>
      </c>
      <c r="S198" s="550">
        <f t="shared" si="227"/>
        <v>0</v>
      </c>
      <c r="T198" s="550">
        <f t="shared" si="227"/>
        <v>0</v>
      </c>
      <c r="U198" s="550">
        <f t="shared" si="227"/>
        <v>0</v>
      </c>
      <c r="V198" s="550">
        <f t="shared" si="227"/>
        <v>0</v>
      </c>
      <c r="W198" s="550">
        <f t="shared" si="227"/>
        <v>0</v>
      </c>
      <c r="X198" s="550">
        <f t="shared" si="227"/>
        <v>0</v>
      </c>
      <c r="Y198" s="550">
        <f t="shared" si="227"/>
        <v>0</v>
      </c>
      <c r="Z198" s="550">
        <f t="shared" si="227"/>
        <v>0</v>
      </c>
      <c r="AA198" s="550">
        <f t="shared" si="227"/>
        <v>0</v>
      </c>
      <c r="AB198" s="550">
        <f t="shared" si="227"/>
        <v>0</v>
      </c>
      <c r="AC198" s="550">
        <f t="shared" si="227"/>
        <v>0</v>
      </c>
      <c r="AD198" s="550">
        <f t="shared" si="227"/>
        <v>0</v>
      </c>
      <c r="AE198" s="550">
        <f t="shared" si="227"/>
        <v>0</v>
      </c>
      <c r="AF198" s="550">
        <f t="shared" si="227"/>
        <v>0</v>
      </c>
      <c r="AG198" s="550">
        <f t="shared" si="227"/>
        <v>0</v>
      </c>
      <c r="AH198" s="551">
        <f t="shared" si="227"/>
        <v>0</v>
      </c>
      <c r="AI198" s="551">
        <f t="shared" si="227"/>
        <v>0</v>
      </c>
      <c r="AJ198" s="551">
        <f t="shared" si="227"/>
        <v>0</v>
      </c>
      <c r="AK198" s="551">
        <f t="shared" si="227"/>
        <v>0</v>
      </c>
      <c r="AL198" s="551">
        <f t="shared" si="227"/>
        <v>0</v>
      </c>
      <c r="AM198" s="551">
        <f t="shared" si="227"/>
        <v>0</v>
      </c>
      <c r="AN198" s="551">
        <f t="shared" si="227"/>
        <v>0</v>
      </c>
      <c r="AO198" s="551">
        <f t="shared" si="227"/>
        <v>0</v>
      </c>
      <c r="AP198" s="551">
        <f t="shared" si="227"/>
        <v>0</v>
      </c>
      <c r="AQ198" s="44">
        <f t="shared" si="227"/>
        <v>0</v>
      </c>
      <c r="AR198" s="557">
        <f t="shared" si="227"/>
        <v>3989533</v>
      </c>
      <c r="AS198" s="550">
        <f t="shared" si="227"/>
        <v>2863991</v>
      </c>
      <c r="AT198" s="550">
        <f t="shared" si="227"/>
        <v>58500</v>
      </c>
      <c r="AU198" s="550">
        <f t="shared" si="227"/>
        <v>987802</v>
      </c>
      <c r="AV198" s="550">
        <f t="shared" si="227"/>
        <v>57280</v>
      </c>
      <c r="AW198" s="550">
        <f t="shared" si="227"/>
        <v>21960</v>
      </c>
      <c r="AX198" s="551">
        <f t="shared" si="227"/>
        <v>6.5697999999999999</v>
      </c>
      <c r="AY198" s="551">
        <f t="shared" si="227"/>
        <v>4.75</v>
      </c>
      <c r="AZ198" s="44">
        <f t="shared" si="227"/>
        <v>1.8197999999999999</v>
      </c>
    </row>
    <row r="199" spans="1:52" s="238" customFormat="1" ht="12.75" customHeight="1" x14ac:dyDescent="0.2">
      <c r="A199" s="225">
        <v>36</v>
      </c>
      <c r="B199" s="226">
        <v>4453</v>
      </c>
      <c r="C199" s="226">
        <v>600074790</v>
      </c>
      <c r="D199" s="226">
        <v>71011111</v>
      </c>
      <c r="E199" s="224" t="s">
        <v>219</v>
      </c>
      <c r="F199" s="226">
        <v>3113</v>
      </c>
      <c r="G199" s="176" t="s">
        <v>315</v>
      </c>
      <c r="H199" s="227" t="s">
        <v>278</v>
      </c>
      <c r="I199" s="494">
        <v>11925219</v>
      </c>
      <c r="J199" s="489">
        <v>8590352</v>
      </c>
      <c r="K199" s="489">
        <v>19500</v>
      </c>
      <c r="L199" s="489">
        <v>2910130</v>
      </c>
      <c r="M199" s="489">
        <v>171807</v>
      </c>
      <c r="N199" s="489">
        <v>233430</v>
      </c>
      <c r="O199" s="490">
        <v>16.2118</v>
      </c>
      <c r="P199" s="491">
        <v>11.7073</v>
      </c>
      <c r="Q199" s="500">
        <v>4.5045000000000002</v>
      </c>
      <c r="R199" s="502">
        <f t="shared" si="159"/>
        <v>0</v>
      </c>
      <c r="S199" s="492">
        <v>0</v>
      </c>
      <c r="T199" s="492">
        <v>0</v>
      </c>
      <c r="U199" s="492">
        <v>0</v>
      </c>
      <c r="V199" s="492">
        <f t="shared" si="160"/>
        <v>0</v>
      </c>
      <c r="W199" s="492">
        <v>0</v>
      </c>
      <c r="X199" s="492">
        <v>0</v>
      </c>
      <c r="Y199" s="492">
        <v>0</v>
      </c>
      <c r="Z199" s="492">
        <f t="shared" si="161"/>
        <v>0</v>
      </c>
      <c r="AA199" s="492">
        <f t="shared" si="162"/>
        <v>0</v>
      </c>
      <c r="AB199" s="74">
        <f t="shared" si="163"/>
        <v>0</v>
      </c>
      <c r="AC199" s="74">
        <f t="shared" si="164"/>
        <v>0</v>
      </c>
      <c r="AD199" s="492">
        <v>0</v>
      </c>
      <c r="AE199" s="492">
        <v>0</v>
      </c>
      <c r="AF199" s="492">
        <f t="shared" si="165"/>
        <v>0</v>
      </c>
      <c r="AG199" s="492">
        <f t="shared" si="166"/>
        <v>0</v>
      </c>
      <c r="AH199" s="493">
        <v>0</v>
      </c>
      <c r="AI199" s="493">
        <v>0</v>
      </c>
      <c r="AJ199" s="493">
        <v>0</v>
      </c>
      <c r="AK199" s="493">
        <v>0</v>
      </c>
      <c r="AL199" s="493">
        <v>0</v>
      </c>
      <c r="AM199" s="493">
        <v>0</v>
      </c>
      <c r="AN199" s="493">
        <v>0</v>
      </c>
      <c r="AO199" s="493">
        <f t="shared" ref="AO199:AO203" si="228">AH199+AJ199+AM199+AK199</f>
        <v>0</v>
      </c>
      <c r="AP199" s="493">
        <f t="shared" ref="AP199:AP203" si="229">AI199+AN199+AL199</f>
        <v>0</v>
      </c>
      <c r="AQ199" s="495">
        <f t="shared" si="167"/>
        <v>0</v>
      </c>
      <c r="AR199" s="501">
        <f t="shared" si="168"/>
        <v>11925219</v>
      </c>
      <c r="AS199" s="492">
        <f t="shared" si="169"/>
        <v>8590352</v>
      </c>
      <c r="AT199" s="492">
        <f t="shared" ref="AT199:AT203" si="230">K199+Z199</f>
        <v>19500</v>
      </c>
      <c r="AU199" s="492">
        <f t="shared" ref="AU199:AV203" si="231">L199+AB199</f>
        <v>2910130</v>
      </c>
      <c r="AV199" s="492">
        <f t="shared" si="231"/>
        <v>171807</v>
      </c>
      <c r="AW199" s="492">
        <f t="shared" si="170"/>
        <v>233430</v>
      </c>
      <c r="AX199" s="493">
        <f t="shared" si="171"/>
        <v>16.2118</v>
      </c>
      <c r="AY199" s="493">
        <f t="shared" ref="AY199:AZ203" si="232">P199+AO199</f>
        <v>11.7073</v>
      </c>
      <c r="AZ199" s="495">
        <f t="shared" si="232"/>
        <v>4.5045000000000002</v>
      </c>
    </row>
    <row r="200" spans="1:52" s="238" customFormat="1" ht="12.75" customHeight="1" x14ac:dyDescent="0.2">
      <c r="A200" s="225">
        <v>36</v>
      </c>
      <c r="B200" s="226">
        <v>4453</v>
      </c>
      <c r="C200" s="226">
        <v>600074790</v>
      </c>
      <c r="D200" s="226">
        <v>71011111</v>
      </c>
      <c r="E200" s="224" t="s">
        <v>219</v>
      </c>
      <c r="F200" s="226">
        <v>3113</v>
      </c>
      <c r="G200" s="176" t="s">
        <v>313</v>
      </c>
      <c r="H200" s="227" t="s">
        <v>279</v>
      </c>
      <c r="I200" s="494">
        <v>418201</v>
      </c>
      <c r="J200" s="489">
        <v>307954</v>
      </c>
      <c r="K200" s="489">
        <v>0</v>
      </c>
      <c r="L200" s="489">
        <v>104088</v>
      </c>
      <c r="M200" s="489">
        <v>6159</v>
      </c>
      <c r="N200" s="489">
        <v>0</v>
      </c>
      <c r="O200" s="490">
        <v>0.89</v>
      </c>
      <c r="P200" s="491">
        <v>0.89</v>
      </c>
      <c r="Q200" s="500">
        <v>0</v>
      </c>
      <c r="R200" s="502">
        <f t="shared" si="159"/>
        <v>0</v>
      </c>
      <c r="S200" s="492">
        <v>0</v>
      </c>
      <c r="T200" s="492">
        <v>0</v>
      </c>
      <c r="U200" s="492">
        <v>0</v>
      </c>
      <c r="V200" s="492">
        <f t="shared" si="160"/>
        <v>0</v>
      </c>
      <c r="W200" s="492">
        <v>0</v>
      </c>
      <c r="X200" s="492">
        <v>0</v>
      </c>
      <c r="Y200" s="492">
        <v>0</v>
      </c>
      <c r="Z200" s="492">
        <f t="shared" si="161"/>
        <v>0</v>
      </c>
      <c r="AA200" s="492">
        <f t="shared" si="162"/>
        <v>0</v>
      </c>
      <c r="AB200" s="74">
        <f t="shared" si="163"/>
        <v>0</v>
      </c>
      <c r="AC200" s="74">
        <f t="shared" si="164"/>
        <v>0</v>
      </c>
      <c r="AD200" s="492">
        <v>0</v>
      </c>
      <c r="AE200" s="492">
        <v>0</v>
      </c>
      <c r="AF200" s="492">
        <f t="shared" si="165"/>
        <v>0</v>
      </c>
      <c r="AG200" s="492">
        <f t="shared" si="166"/>
        <v>0</v>
      </c>
      <c r="AH200" s="493">
        <v>0</v>
      </c>
      <c r="AI200" s="493">
        <v>0</v>
      </c>
      <c r="AJ200" s="493">
        <v>0</v>
      </c>
      <c r="AK200" s="493">
        <v>0</v>
      </c>
      <c r="AL200" s="493">
        <v>0</v>
      </c>
      <c r="AM200" s="493">
        <v>0</v>
      </c>
      <c r="AN200" s="493">
        <v>0</v>
      </c>
      <c r="AO200" s="493">
        <f t="shared" si="228"/>
        <v>0</v>
      </c>
      <c r="AP200" s="493">
        <f t="shared" si="229"/>
        <v>0</v>
      </c>
      <c r="AQ200" s="495">
        <f t="shared" si="167"/>
        <v>0</v>
      </c>
      <c r="AR200" s="501">
        <f t="shared" si="168"/>
        <v>418201</v>
      </c>
      <c r="AS200" s="492">
        <f t="shared" si="169"/>
        <v>307954</v>
      </c>
      <c r="AT200" s="492">
        <f t="shared" si="230"/>
        <v>0</v>
      </c>
      <c r="AU200" s="492">
        <f t="shared" si="231"/>
        <v>104088</v>
      </c>
      <c r="AV200" s="492">
        <f t="shared" si="231"/>
        <v>6159</v>
      </c>
      <c r="AW200" s="492">
        <f t="shared" si="170"/>
        <v>0</v>
      </c>
      <c r="AX200" s="493">
        <f t="shared" si="171"/>
        <v>0.89</v>
      </c>
      <c r="AY200" s="493">
        <f t="shared" si="232"/>
        <v>0.89</v>
      </c>
      <c r="AZ200" s="495">
        <f t="shared" si="232"/>
        <v>0</v>
      </c>
    </row>
    <row r="201" spans="1:52" s="238" customFormat="1" ht="12.75" customHeight="1" x14ac:dyDescent="0.2">
      <c r="A201" s="225">
        <v>36</v>
      </c>
      <c r="B201" s="226">
        <v>4453</v>
      </c>
      <c r="C201" s="226">
        <v>600074790</v>
      </c>
      <c r="D201" s="226">
        <v>71011111</v>
      </c>
      <c r="E201" s="224" t="s">
        <v>219</v>
      </c>
      <c r="F201" s="226">
        <v>3141</v>
      </c>
      <c r="G201" s="176" t="s">
        <v>316</v>
      </c>
      <c r="H201" s="227" t="s">
        <v>279</v>
      </c>
      <c r="I201" s="494">
        <v>1386742</v>
      </c>
      <c r="J201" s="489">
        <v>1014866</v>
      </c>
      <c r="K201" s="489">
        <v>0</v>
      </c>
      <c r="L201" s="489">
        <v>343025</v>
      </c>
      <c r="M201" s="489">
        <v>20297</v>
      </c>
      <c r="N201" s="489">
        <v>8554</v>
      </c>
      <c r="O201" s="490">
        <v>3.2</v>
      </c>
      <c r="P201" s="491">
        <v>0</v>
      </c>
      <c r="Q201" s="500">
        <v>3.2</v>
      </c>
      <c r="R201" s="502">
        <f t="shared" si="159"/>
        <v>0</v>
      </c>
      <c r="S201" s="492">
        <v>0</v>
      </c>
      <c r="T201" s="492">
        <v>0</v>
      </c>
      <c r="U201" s="492">
        <v>0</v>
      </c>
      <c r="V201" s="492">
        <f t="shared" si="160"/>
        <v>0</v>
      </c>
      <c r="W201" s="492">
        <v>0</v>
      </c>
      <c r="X201" s="492">
        <v>0</v>
      </c>
      <c r="Y201" s="492">
        <v>0</v>
      </c>
      <c r="Z201" s="492">
        <f t="shared" si="161"/>
        <v>0</v>
      </c>
      <c r="AA201" s="492">
        <f t="shared" si="162"/>
        <v>0</v>
      </c>
      <c r="AB201" s="74">
        <f t="shared" si="163"/>
        <v>0</v>
      </c>
      <c r="AC201" s="74">
        <f t="shared" si="164"/>
        <v>0</v>
      </c>
      <c r="AD201" s="492">
        <v>0</v>
      </c>
      <c r="AE201" s="492">
        <v>0</v>
      </c>
      <c r="AF201" s="492">
        <f t="shared" si="165"/>
        <v>0</v>
      </c>
      <c r="AG201" s="492">
        <f t="shared" si="166"/>
        <v>0</v>
      </c>
      <c r="AH201" s="493">
        <v>0</v>
      </c>
      <c r="AI201" s="493">
        <v>0</v>
      </c>
      <c r="AJ201" s="493">
        <v>0</v>
      </c>
      <c r="AK201" s="493">
        <v>0</v>
      </c>
      <c r="AL201" s="493">
        <v>0</v>
      </c>
      <c r="AM201" s="493">
        <v>0</v>
      </c>
      <c r="AN201" s="493">
        <v>0</v>
      </c>
      <c r="AO201" s="493">
        <f t="shared" si="228"/>
        <v>0</v>
      </c>
      <c r="AP201" s="493">
        <f t="shared" si="229"/>
        <v>0</v>
      </c>
      <c r="AQ201" s="495">
        <f t="shared" si="167"/>
        <v>0</v>
      </c>
      <c r="AR201" s="501">
        <f t="shared" si="168"/>
        <v>1386742</v>
      </c>
      <c r="AS201" s="492">
        <f t="shared" si="169"/>
        <v>1014866</v>
      </c>
      <c r="AT201" s="492">
        <f t="shared" si="230"/>
        <v>0</v>
      </c>
      <c r="AU201" s="492">
        <f t="shared" si="231"/>
        <v>343025</v>
      </c>
      <c r="AV201" s="492">
        <f t="shared" si="231"/>
        <v>20297</v>
      </c>
      <c r="AW201" s="492">
        <f t="shared" si="170"/>
        <v>8554</v>
      </c>
      <c r="AX201" s="493">
        <f t="shared" si="171"/>
        <v>3.2</v>
      </c>
      <c r="AY201" s="493">
        <f t="shared" si="232"/>
        <v>0</v>
      </c>
      <c r="AZ201" s="495">
        <f t="shared" si="232"/>
        <v>3.2</v>
      </c>
    </row>
    <row r="202" spans="1:52" s="238" customFormat="1" ht="12.75" customHeight="1" x14ac:dyDescent="0.2">
      <c r="A202" s="225">
        <v>36</v>
      </c>
      <c r="B202" s="226">
        <v>4453</v>
      </c>
      <c r="C202" s="226">
        <v>600074790</v>
      </c>
      <c r="D202" s="226">
        <v>71011111</v>
      </c>
      <c r="E202" s="219" t="s">
        <v>219</v>
      </c>
      <c r="F202" s="226">
        <v>3143</v>
      </c>
      <c r="G202" s="176" t="s">
        <v>629</v>
      </c>
      <c r="H202" s="243" t="s">
        <v>278</v>
      </c>
      <c r="I202" s="494">
        <v>697655</v>
      </c>
      <c r="J202" s="489">
        <v>513737</v>
      </c>
      <c r="K202" s="489">
        <v>0</v>
      </c>
      <c r="L202" s="489">
        <v>173643</v>
      </c>
      <c r="M202" s="489">
        <v>10275</v>
      </c>
      <c r="N202" s="489">
        <v>0</v>
      </c>
      <c r="O202" s="490">
        <v>1.2916000000000001</v>
      </c>
      <c r="P202" s="491">
        <v>1.2916000000000001</v>
      </c>
      <c r="Q202" s="500">
        <v>0</v>
      </c>
      <c r="R202" s="502">
        <f t="shared" si="159"/>
        <v>0</v>
      </c>
      <c r="S202" s="492">
        <v>0</v>
      </c>
      <c r="T202" s="492">
        <v>0</v>
      </c>
      <c r="U202" s="492">
        <v>0</v>
      </c>
      <c r="V202" s="492">
        <f t="shared" si="160"/>
        <v>0</v>
      </c>
      <c r="W202" s="492">
        <v>0</v>
      </c>
      <c r="X202" s="492">
        <v>0</v>
      </c>
      <c r="Y202" s="492">
        <v>0</v>
      </c>
      <c r="Z202" s="492">
        <f t="shared" si="161"/>
        <v>0</v>
      </c>
      <c r="AA202" s="492">
        <f t="shared" si="162"/>
        <v>0</v>
      </c>
      <c r="AB202" s="74">
        <f t="shared" si="163"/>
        <v>0</v>
      </c>
      <c r="AC202" s="74">
        <f t="shared" si="164"/>
        <v>0</v>
      </c>
      <c r="AD202" s="492">
        <v>0</v>
      </c>
      <c r="AE202" s="492">
        <v>0</v>
      </c>
      <c r="AF202" s="492">
        <f t="shared" si="165"/>
        <v>0</v>
      </c>
      <c r="AG202" s="492">
        <f t="shared" si="166"/>
        <v>0</v>
      </c>
      <c r="AH202" s="493">
        <v>0</v>
      </c>
      <c r="AI202" s="493">
        <v>0</v>
      </c>
      <c r="AJ202" s="493">
        <v>0</v>
      </c>
      <c r="AK202" s="493">
        <v>0</v>
      </c>
      <c r="AL202" s="493">
        <v>0</v>
      </c>
      <c r="AM202" s="493">
        <v>0</v>
      </c>
      <c r="AN202" s="493">
        <v>0</v>
      </c>
      <c r="AO202" s="493">
        <f t="shared" si="228"/>
        <v>0</v>
      </c>
      <c r="AP202" s="493">
        <f t="shared" si="229"/>
        <v>0</v>
      </c>
      <c r="AQ202" s="495">
        <f t="shared" si="167"/>
        <v>0</v>
      </c>
      <c r="AR202" s="501">
        <f t="shared" si="168"/>
        <v>697655</v>
      </c>
      <c r="AS202" s="492">
        <f t="shared" si="169"/>
        <v>513737</v>
      </c>
      <c r="AT202" s="492">
        <f t="shared" si="230"/>
        <v>0</v>
      </c>
      <c r="AU202" s="492">
        <f t="shared" si="231"/>
        <v>173643</v>
      </c>
      <c r="AV202" s="492">
        <f t="shared" si="231"/>
        <v>10275</v>
      </c>
      <c r="AW202" s="492">
        <f t="shared" si="170"/>
        <v>0</v>
      </c>
      <c r="AX202" s="493">
        <f t="shared" si="171"/>
        <v>1.2916000000000001</v>
      </c>
      <c r="AY202" s="493">
        <f t="shared" si="232"/>
        <v>1.2916000000000001</v>
      </c>
      <c r="AZ202" s="495">
        <f t="shared" si="232"/>
        <v>0</v>
      </c>
    </row>
    <row r="203" spans="1:52" s="238" customFormat="1" ht="12.75" customHeight="1" x14ac:dyDescent="0.2">
      <c r="A203" s="225">
        <v>36</v>
      </c>
      <c r="B203" s="226">
        <v>4453</v>
      </c>
      <c r="C203" s="226">
        <v>600074790</v>
      </c>
      <c r="D203" s="226">
        <v>71011111</v>
      </c>
      <c r="E203" s="219" t="s">
        <v>219</v>
      </c>
      <c r="F203" s="226">
        <v>3143</v>
      </c>
      <c r="G203" s="176" t="s">
        <v>630</v>
      </c>
      <c r="H203" s="243" t="s">
        <v>279</v>
      </c>
      <c r="I203" s="494">
        <v>32508</v>
      </c>
      <c r="J203" s="489">
        <v>22988</v>
      </c>
      <c r="K203" s="489">
        <v>0</v>
      </c>
      <c r="L203" s="489">
        <v>7770</v>
      </c>
      <c r="M203" s="489">
        <v>460</v>
      </c>
      <c r="N203" s="489">
        <v>1290</v>
      </c>
      <c r="O203" s="490">
        <v>0.09</v>
      </c>
      <c r="P203" s="491">
        <v>0</v>
      </c>
      <c r="Q203" s="500">
        <v>0.09</v>
      </c>
      <c r="R203" s="502">
        <f t="shared" si="159"/>
        <v>0</v>
      </c>
      <c r="S203" s="492">
        <v>0</v>
      </c>
      <c r="T203" s="492">
        <v>0</v>
      </c>
      <c r="U203" s="492">
        <v>0</v>
      </c>
      <c r="V203" s="492">
        <f t="shared" si="160"/>
        <v>0</v>
      </c>
      <c r="W203" s="492">
        <v>0</v>
      </c>
      <c r="X203" s="492">
        <v>0</v>
      </c>
      <c r="Y203" s="492">
        <v>0</v>
      </c>
      <c r="Z203" s="492">
        <f t="shared" si="161"/>
        <v>0</v>
      </c>
      <c r="AA203" s="492">
        <f t="shared" si="162"/>
        <v>0</v>
      </c>
      <c r="AB203" s="74">
        <f t="shared" si="163"/>
        <v>0</v>
      </c>
      <c r="AC203" s="74">
        <f t="shared" si="164"/>
        <v>0</v>
      </c>
      <c r="AD203" s="492">
        <v>0</v>
      </c>
      <c r="AE203" s="492">
        <v>0</v>
      </c>
      <c r="AF203" s="492">
        <f t="shared" si="165"/>
        <v>0</v>
      </c>
      <c r="AG203" s="492">
        <f t="shared" si="166"/>
        <v>0</v>
      </c>
      <c r="AH203" s="493">
        <v>0</v>
      </c>
      <c r="AI203" s="493">
        <v>0</v>
      </c>
      <c r="AJ203" s="493">
        <v>0</v>
      </c>
      <c r="AK203" s="493">
        <v>0</v>
      </c>
      <c r="AL203" s="493">
        <v>0</v>
      </c>
      <c r="AM203" s="493">
        <v>0</v>
      </c>
      <c r="AN203" s="493">
        <v>0</v>
      </c>
      <c r="AO203" s="493">
        <f t="shared" si="228"/>
        <v>0</v>
      </c>
      <c r="AP203" s="493">
        <f t="shared" si="229"/>
        <v>0</v>
      </c>
      <c r="AQ203" s="495">
        <f t="shared" si="167"/>
        <v>0</v>
      </c>
      <c r="AR203" s="501">
        <f t="shared" si="168"/>
        <v>32508</v>
      </c>
      <c r="AS203" s="492">
        <f t="shared" si="169"/>
        <v>22988</v>
      </c>
      <c r="AT203" s="492">
        <f t="shared" si="230"/>
        <v>0</v>
      </c>
      <c r="AU203" s="492">
        <f t="shared" si="231"/>
        <v>7770</v>
      </c>
      <c r="AV203" s="492">
        <f t="shared" si="231"/>
        <v>460</v>
      </c>
      <c r="AW203" s="492">
        <f t="shared" si="170"/>
        <v>1290</v>
      </c>
      <c r="AX203" s="493">
        <f t="shared" si="171"/>
        <v>0.09</v>
      </c>
      <c r="AY203" s="493">
        <f t="shared" si="232"/>
        <v>0</v>
      </c>
      <c r="AZ203" s="495">
        <f t="shared" si="232"/>
        <v>0.09</v>
      </c>
    </row>
    <row r="204" spans="1:52" s="238" customFormat="1" ht="12.75" customHeight="1" x14ac:dyDescent="0.2">
      <c r="A204" s="166">
        <v>36</v>
      </c>
      <c r="B204" s="20">
        <v>4453</v>
      </c>
      <c r="C204" s="20">
        <v>600074790</v>
      </c>
      <c r="D204" s="20">
        <v>71011111</v>
      </c>
      <c r="E204" s="175" t="s">
        <v>220</v>
      </c>
      <c r="F204" s="20"/>
      <c r="G204" s="165"/>
      <c r="H204" s="199"/>
      <c r="I204" s="553">
        <v>14460325</v>
      </c>
      <c r="J204" s="550">
        <v>10449897</v>
      </c>
      <c r="K204" s="550">
        <v>19500</v>
      </c>
      <c r="L204" s="550">
        <v>3538656</v>
      </c>
      <c r="M204" s="550">
        <v>208998</v>
      </c>
      <c r="N204" s="550">
        <v>243274</v>
      </c>
      <c r="O204" s="551">
        <v>21.683399999999999</v>
      </c>
      <c r="P204" s="551">
        <v>13.888900000000001</v>
      </c>
      <c r="Q204" s="555">
        <v>7.7945000000000002</v>
      </c>
      <c r="R204" s="553">
        <f t="shared" ref="R204:AZ204" si="233">SUM(R199:R203)</f>
        <v>0</v>
      </c>
      <c r="S204" s="550">
        <f t="shared" si="233"/>
        <v>0</v>
      </c>
      <c r="T204" s="550">
        <f t="shared" si="233"/>
        <v>0</v>
      </c>
      <c r="U204" s="550">
        <f t="shared" si="233"/>
        <v>0</v>
      </c>
      <c r="V204" s="550">
        <f t="shared" si="233"/>
        <v>0</v>
      </c>
      <c r="W204" s="550">
        <f t="shared" si="233"/>
        <v>0</v>
      </c>
      <c r="X204" s="550">
        <f t="shared" si="233"/>
        <v>0</v>
      </c>
      <c r="Y204" s="550">
        <f t="shared" si="233"/>
        <v>0</v>
      </c>
      <c r="Z204" s="550">
        <f t="shared" si="233"/>
        <v>0</v>
      </c>
      <c r="AA204" s="550">
        <f t="shared" si="233"/>
        <v>0</v>
      </c>
      <c r="AB204" s="550">
        <f t="shared" si="233"/>
        <v>0</v>
      </c>
      <c r="AC204" s="550">
        <f t="shared" si="233"/>
        <v>0</v>
      </c>
      <c r="AD204" s="550">
        <f t="shared" si="233"/>
        <v>0</v>
      </c>
      <c r="AE204" s="550">
        <f t="shared" si="233"/>
        <v>0</v>
      </c>
      <c r="AF204" s="550">
        <f t="shared" si="233"/>
        <v>0</v>
      </c>
      <c r="AG204" s="550">
        <f t="shared" si="233"/>
        <v>0</v>
      </c>
      <c r="AH204" s="551">
        <f t="shared" si="233"/>
        <v>0</v>
      </c>
      <c r="AI204" s="551">
        <f t="shared" si="233"/>
        <v>0</v>
      </c>
      <c r="AJ204" s="551">
        <f t="shared" si="233"/>
        <v>0</v>
      </c>
      <c r="AK204" s="551">
        <f t="shared" si="233"/>
        <v>0</v>
      </c>
      <c r="AL204" s="551">
        <f t="shared" si="233"/>
        <v>0</v>
      </c>
      <c r="AM204" s="551">
        <f t="shared" si="233"/>
        <v>0</v>
      </c>
      <c r="AN204" s="551">
        <f t="shared" si="233"/>
        <v>0</v>
      </c>
      <c r="AO204" s="551">
        <f t="shared" si="233"/>
        <v>0</v>
      </c>
      <c r="AP204" s="551">
        <f t="shared" si="233"/>
        <v>0</v>
      </c>
      <c r="AQ204" s="44">
        <f t="shared" si="233"/>
        <v>0</v>
      </c>
      <c r="AR204" s="557">
        <f t="shared" si="233"/>
        <v>14460325</v>
      </c>
      <c r="AS204" s="550">
        <f t="shared" si="233"/>
        <v>10449897</v>
      </c>
      <c r="AT204" s="550">
        <f t="shared" si="233"/>
        <v>19500</v>
      </c>
      <c r="AU204" s="550">
        <f t="shared" si="233"/>
        <v>3538656</v>
      </c>
      <c r="AV204" s="550">
        <f t="shared" si="233"/>
        <v>208998</v>
      </c>
      <c r="AW204" s="550">
        <f t="shared" si="233"/>
        <v>243274</v>
      </c>
      <c r="AX204" s="551">
        <f t="shared" si="233"/>
        <v>21.683399999999999</v>
      </c>
      <c r="AY204" s="551">
        <f t="shared" si="233"/>
        <v>13.888900000000001</v>
      </c>
      <c r="AZ204" s="44">
        <f t="shared" si="233"/>
        <v>7.7945000000000002</v>
      </c>
    </row>
    <row r="205" spans="1:52" s="238" customFormat="1" ht="12.75" customHeight="1" x14ac:dyDescent="0.2">
      <c r="A205" s="225">
        <v>37</v>
      </c>
      <c r="B205" s="226">
        <v>4467</v>
      </c>
      <c r="C205" s="226">
        <v>600074935</v>
      </c>
      <c r="D205" s="226">
        <v>48282545</v>
      </c>
      <c r="E205" s="224" t="s">
        <v>221</v>
      </c>
      <c r="F205" s="226">
        <v>3111</v>
      </c>
      <c r="G205" s="176" t="s">
        <v>312</v>
      </c>
      <c r="H205" s="227" t="s">
        <v>278</v>
      </c>
      <c r="I205" s="494">
        <v>9267198</v>
      </c>
      <c r="J205" s="489">
        <v>6782068</v>
      </c>
      <c r="K205" s="489">
        <v>0</v>
      </c>
      <c r="L205" s="489">
        <v>2292339</v>
      </c>
      <c r="M205" s="489">
        <v>135641</v>
      </c>
      <c r="N205" s="489">
        <v>57150</v>
      </c>
      <c r="O205" s="490">
        <v>15.000999999999999</v>
      </c>
      <c r="P205" s="491">
        <v>11.935499999999999</v>
      </c>
      <c r="Q205" s="500">
        <v>3.0655000000000001</v>
      </c>
      <c r="R205" s="502">
        <f t="shared" si="159"/>
        <v>0</v>
      </c>
      <c r="S205" s="492">
        <v>0</v>
      </c>
      <c r="T205" s="492">
        <v>0</v>
      </c>
      <c r="U205" s="492">
        <v>0</v>
      </c>
      <c r="V205" s="492">
        <f t="shared" si="160"/>
        <v>0</v>
      </c>
      <c r="W205" s="492">
        <v>0</v>
      </c>
      <c r="X205" s="492">
        <v>0</v>
      </c>
      <c r="Y205" s="492">
        <v>0</v>
      </c>
      <c r="Z205" s="492">
        <f t="shared" si="161"/>
        <v>0</v>
      </c>
      <c r="AA205" s="492">
        <f t="shared" si="162"/>
        <v>0</v>
      </c>
      <c r="AB205" s="74">
        <f t="shared" si="163"/>
        <v>0</v>
      </c>
      <c r="AC205" s="74">
        <f t="shared" si="164"/>
        <v>0</v>
      </c>
      <c r="AD205" s="492">
        <v>0</v>
      </c>
      <c r="AE205" s="492">
        <v>0</v>
      </c>
      <c r="AF205" s="492">
        <f t="shared" si="165"/>
        <v>0</v>
      </c>
      <c r="AG205" s="492">
        <f t="shared" si="166"/>
        <v>0</v>
      </c>
      <c r="AH205" s="493">
        <v>0</v>
      </c>
      <c r="AI205" s="493">
        <v>0</v>
      </c>
      <c r="AJ205" s="493">
        <v>0</v>
      </c>
      <c r="AK205" s="493">
        <v>0</v>
      </c>
      <c r="AL205" s="493">
        <v>0</v>
      </c>
      <c r="AM205" s="493">
        <v>0</v>
      </c>
      <c r="AN205" s="493">
        <v>0</v>
      </c>
      <c r="AO205" s="493">
        <f t="shared" ref="AO205:AO212" si="234">AH205+AJ205+AM205+AK205</f>
        <v>0</v>
      </c>
      <c r="AP205" s="493">
        <f t="shared" ref="AP205:AP212" si="235">AI205+AN205+AL205</f>
        <v>0</v>
      </c>
      <c r="AQ205" s="495">
        <f t="shared" si="167"/>
        <v>0</v>
      </c>
      <c r="AR205" s="501">
        <f t="shared" si="168"/>
        <v>9267198</v>
      </c>
      <c r="AS205" s="492">
        <f t="shared" si="169"/>
        <v>6782068</v>
      </c>
      <c r="AT205" s="492">
        <f t="shared" ref="AT205:AT212" si="236">K205+Z205</f>
        <v>0</v>
      </c>
      <c r="AU205" s="492">
        <f t="shared" ref="AU205:AV212" si="237">L205+AB205</f>
        <v>2292339</v>
      </c>
      <c r="AV205" s="492">
        <f t="shared" si="237"/>
        <v>135641</v>
      </c>
      <c r="AW205" s="492">
        <f t="shared" si="170"/>
        <v>57150</v>
      </c>
      <c r="AX205" s="493">
        <f t="shared" si="171"/>
        <v>15.000999999999999</v>
      </c>
      <c r="AY205" s="493">
        <f t="shared" ref="AY205:AZ212" si="238">P205+AO205</f>
        <v>11.935499999999999</v>
      </c>
      <c r="AZ205" s="495">
        <f t="shared" si="238"/>
        <v>3.0655000000000001</v>
      </c>
    </row>
    <row r="206" spans="1:52" s="238" customFormat="1" ht="12.75" customHeight="1" x14ac:dyDescent="0.2">
      <c r="A206" s="225">
        <v>37</v>
      </c>
      <c r="B206" s="226">
        <v>4467</v>
      </c>
      <c r="C206" s="226">
        <v>600074935</v>
      </c>
      <c r="D206" s="226">
        <v>48282545</v>
      </c>
      <c r="E206" s="224" t="s">
        <v>221</v>
      </c>
      <c r="F206" s="226">
        <v>3113</v>
      </c>
      <c r="G206" s="176" t="s">
        <v>315</v>
      </c>
      <c r="H206" s="227" t="s">
        <v>278</v>
      </c>
      <c r="I206" s="494">
        <v>31675534</v>
      </c>
      <c r="J206" s="489">
        <v>22746900</v>
      </c>
      <c r="K206" s="489">
        <v>143000</v>
      </c>
      <c r="L206" s="489">
        <v>7736786</v>
      </c>
      <c r="M206" s="489">
        <v>454938</v>
      </c>
      <c r="N206" s="489">
        <v>593910</v>
      </c>
      <c r="O206" s="490">
        <v>41.585900000000002</v>
      </c>
      <c r="P206" s="491">
        <v>31.682200000000002</v>
      </c>
      <c r="Q206" s="500">
        <v>9.9036999999999988</v>
      </c>
      <c r="R206" s="502">
        <f t="shared" ref="R206:R267" si="239">W206*-1</f>
        <v>0</v>
      </c>
      <c r="S206" s="492">
        <v>0</v>
      </c>
      <c r="T206" s="492">
        <v>0</v>
      </c>
      <c r="U206" s="492">
        <v>0</v>
      </c>
      <c r="V206" s="492">
        <f t="shared" ref="V206:V267" si="240">SUM(R206:U206)</f>
        <v>0</v>
      </c>
      <c r="W206" s="492">
        <v>0</v>
      </c>
      <c r="X206" s="492">
        <v>0</v>
      </c>
      <c r="Y206" s="492">
        <v>0</v>
      </c>
      <c r="Z206" s="492">
        <f t="shared" ref="Z206:Z267" si="241">SUM(W206:Y206)</f>
        <v>0</v>
      </c>
      <c r="AA206" s="492">
        <f t="shared" ref="AA206:AA267" si="242">V206+Z206</f>
        <v>0</v>
      </c>
      <c r="AB206" s="74">
        <f t="shared" ref="AB206:AB267" si="243">ROUND((V206+W206+X206)*33.8%,0)</f>
        <v>0</v>
      </c>
      <c r="AC206" s="74">
        <f t="shared" ref="AC206:AC267" si="244">ROUND(V206*2%,0)</f>
        <v>0</v>
      </c>
      <c r="AD206" s="492">
        <v>0</v>
      </c>
      <c r="AE206" s="492">
        <v>0</v>
      </c>
      <c r="AF206" s="492">
        <f t="shared" ref="AF206:AF267" si="245">SUM(AD206:AE206)</f>
        <v>0</v>
      </c>
      <c r="AG206" s="492">
        <f t="shared" ref="AG206:AG267" si="246">AA206+AB206+AC206+AF206</f>
        <v>0</v>
      </c>
      <c r="AH206" s="493">
        <v>0</v>
      </c>
      <c r="AI206" s="493">
        <v>0</v>
      </c>
      <c r="AJ206" s="493">
        <v>0</v>
      </c>
      <c r="AK206" s="493">
        <v>0</v>
      </c>
      <c r="AL206" s="493">
        <v>0</v>
      </c>
      <c r="AM206" s="493">
        <v>0</v>
      </c>
      <c r="AN206" s="493">
        <v>0</v>
      </c>
      <c r="AO206" s="493">
        <f t="shared" si="234"/>
        <v>0</v>
      </c>
      <c r="AP206" s="493">
        <f t="shared" si="235"/>
        <v>0</v>
      </c>
      <c r="AQ206" s="495">
        <f t="shared" ref="AQ206:AQ267" si="247">SUM(AO206:AP206)</f>
        <v>0</v>
      </c>
      <c r="AR206" s="501">
        <f t="shared" ref="AR206:AR267" si="248">I206+AG206</f>
        <v>31675534</v>
      </c>
      <c r="AS206" s="492">
        <f t="shared" ref="AS206:AS267" si="249">J206+V206</f>
        <v>22746900</v>
      </c>
      <c r="AT206" s="492">
        <f t="shared" si="236"/>
        <v>143000</v>
      </c>
      <c r="AU206" s="492">
        <f t="shared" si="237"/>
        <v>7736786</v>
      </c>
      <c r="AV206" s="492">
        <f t="shared" si="237"/>
        <v>454938</v>
      </c>
      <c r="AW206" s="492">
        <f t="shared" ref="AW206:AW267" si="250">N206+AF206</f>
        <v>593910</v>
      </c>
      <c r="AX206" s="493">
        <f t="shared" ref="AX206:AX267" si="251">O206+AQ206</f>
        <v>41.585900000000002</v>
      </c>
      <c r="AY206" s="493">
        <f t="shared" si="238"/>
        <v>31.682200000000002</v>
      </c>
      <c r="AZ206" s="495">
        <f t="shared" si="238"/>
        <v>9.9036999999999988</v>
      </c>
    </row>
    <row r="207" spans="1:52" s="238" customFormat="1" ht="12.75" customHeight="1" x14ac:dyDescent="0.2">
      <c r="A207" s="225">
        <v>37</v>
      </c>
      <c r="B207" s="226">
        <v>4467</v>
      </c>
      <c r="C207" s="226">
        <v>600074935</v>
      </c>
      <c r="D207" s="226">
        <v>48282545</v>
      </c>
      <c r="E207" s="224" t="s">
        <v>221</v>
      </c>
      <c r="F207" s="226">
        <v>3113</v>
      </c>
      <c r="G207" s="176" t="s">
        <v>314</v>
      </c>
      <c r="H207" s="227" t="s">
        <v>278</v>
      </c>
      <c r="I207" s="494">
        <v>1835477</v>
      </c>
      <c r="J207" s="489">
        <v>1351603</v>
      </c>
      <c r="K207" s="489">
        <v>0</v>
      </c>
      <c r="L207" s="489">
        <v>456842</v>
      </c>
      <c r="M207" s="489">
        <v>27032</v>
      </c>
      <c r="N207" s="489">
        <v>0</v>
      </c>
      <c r="O207" s="490">
        <v>3.9167000000000001</v>
      </c>
      <c r="P207" s="491">
        <v>3.9167000000000001</v>
      </c>
      <c r="Q207" s="500">
        <v>0</v>
      </c>
      <c r="R207" s="502">
        <f t="shared" si="239"/>
        <v>0</v>
      </c>
      <c r="S207" s="492">
        <v>0</v>
      </c>
      <c r="T207" s="492">
        <v>0</v>
      </c>
      <c r="U207" s="492">
        <v>0</v>
      </c>
      <c r="V207" s="492">
        <f t="shared" si="240"/>
        <v>0</v>
      </c>
      <c r="W207" s="492">
        <v>0</v>
      </c>
      <c r="X207" s="492">
        <v>0</v>
      </c>
      <c r="Y207" s="492">
        <v>0</v>
      </c>
      <c r="Z207" s="492">
        <f t="shared" si="241"/>
        <v>0</v>
      </c>
      <c r="AA207" s="492">
        <f t="shared" si="242"/>
        <v>0</v>
      </c>
      <c r="AB207" s="74">
        <f t="shared" si="243"/>
        <v>0</v>
      </c>
      <c r="AC207" s="74">
        <f t="shared" si="244"/>
        <v>0</v>
      </c>
      <c r="AD207" s="492">
        <v>0</v>
      </c>
      <c r="AE207" s="492">
        <v>0</v>
      </c>
      <c r="AF207" s="492">
        <f t="shared" si="245"/>
        <v>0</v>
      </c>
      <c r="AG207" s="492">
        <f t="shared" si="246"/>
        <v>0</v>
      </c>
      <c r="AH207" s="493">
        <v>0</v>
      </c>
      <c r="AI207" s="493">
        <v>0</v>
      </c>
      <c r="AJ207" s="493">
        <v>0</v>
      </c>
      <c r="AK207" s="493">
        <v>0</v>
      </c>
      <c r="AL207" s="493">
        <v>0</v>
      </c>
      <c r="AM207" s="493">
        <v>0</v>
      </c>
      <c r="AN207" s="493">
        <v>0</v>
      </c>
      <c r="AO207" s="493">
        <f t="shared" si="234"/>
        <v>0</v>
      </c>
      <c r="AP207" s="493">
        <f t="shared" si="235"/>
        <v>0</v>
      </c>
      <c r="AQ207" s="495">
        <f t="shared" si="247"/>
        <v>0</v>
      </c>
      <c r="AR207" s="501">
        <f t="shared" si="248"/>
        <v>1835477</v>
      </c>
      <c r="AS207" s="492">
        <f t="shared" si="249"/>
        <v>1351603</v>
      </c>
      <c r="AT207" s="492">
        <f t="shared" si="236"/>
        <v>0</v>
      </c>
      <c r="AU207" s="492">
        <f t="shared" si="237"/>
        <v>456842</v>
      </c>
      <c r="AV207" s="492">
        <f t="shared" si="237"/>
        <v>27032</v>
      </c>
      <c r="AW207" s="492">
        <f t="shared" si="250"/>
        <v>0</v>
      </c>
      <c r="AX207" s="493">
        <f t="shared" si="251"/>
        <v>3.9167000000000001</v>
      </c>
      <c r="AY207" s="493">
        <f t="shared" si="238"/>
        <v>3.9167000000000001</v>
      </c>
      <c r="AZ207" s="495">
        <f t="shared" si="238"/>
        <v>0</v>
      </c>
    </row>
    <row r="208" spans="1:52" s="238" customFormat="1" ht="12.75" customHeight="1" x14ac:dyDescent="0.2">
      <c r="A208" s="225">
        <v>37</v>
      </c>
      <c r="B208" s="226">
        <v>4467</v>
      </c>
      <c r="C208" s="226">
        <v>600074935</v>
      </c>
      <c r="D208" s="226">
        <v>48282545</v>
      </c>
      <c r="E208" s="224" t="s">
        <v>221</v>
      </c>
      <c r="F208" s="226">
        <v>3113</v>
      </c>
      <c r="G208" s="176" t="s">
        <v>313</v>
      </c>
      <c r="H208" s="227" t="s">
        <v>279</v>
      </c>
      <c r="I208" s="494">
        <v>4634583</v>
      </c>
      <c r="J208" s="489">
        <v>3410591</v>
      </c>
      <c r="K208" s="489">
        <v>0</v>
      </c>
      <c r="L208" s="489">
        <v>1152780</v>
      </c>
      <c r="M208" s="489">
        <v>68212</v>
      </c>
      <c r="N208" s="489">
        <v>3000</v>
      </c>
      <c r="O208" s="490">
        <v>9.83</v>
      </c>
      <c r="P208" s="491">
        <v>9.83</v>
      </c>
      <c r="Q208" s="500">
        <v>0</v>
      </c>
      <c r="R208" s="502">
        <f t="shared" si="239"/>
        <v>0</v>
      </c>
      <c r="S208" s="492">
        <v>-259832</v>
      </c>
      <c r="T208" s="492">
        <v>0</v>
      </c>
      <c r="U208" s="492">
        <v>0</v>
      </c>
      <c r="V208" s="492">
        <f t="shared" si="240"/>
        <v>-259832</v>
      </c>
      <c r="W208" s="492">
        <v>0</v>
      </c>
      <c r="X208" s="492">
        <v>0</v>
      </c>
      <c r="Y208" s="492">
        <v>0</v>
      </c>
      <c r="Z208" s="492">
        <f t="shared" si="241"/>
        <v>0</v>
      </c>
      <c r="AA208" s="492">
        <f t="shared" si="242"/>
        <v>-259832</v>
      </c>
      <c r="AB208" s="74">
        <f t="shared" si="243"/>
        <v>-87823</v>
      </c>
      <c r="AC208" s="74">
        <f t="shared" si="244"/>
        <v>-5197</v>
      </c>
      <c r="AD208" s="492">
        <v>0</v>
      </c>
      <c r="AE208" s="492">
        <v>0</v>
      </c>
      <c r="AF208" s="492">
        <f t="shared" si="245"/>
        <v>0</v>
      </c>
      <c r="AG208" s="492">
        <f t="shared" si="246"/>
        <v>-352852</v>
      </c>
      <c r="AH208" s="493">
        <v>0</v>
      </c>
      <c r="AI208" s="493">
        <v>0</v>
      </c>
      <c r="AJ208" s="493">
        <v>-0.75</v>
      </c>
      <c r="AK208" s="493">
        <v>0</v>
      </c>
      <c r="AL208" s="493">
        <v>0</v>
      </c>
      <c r="AM208" s="493">
        <v>0</v>
      </c>
      <c r="AN208" s="493">
        <v>0</v>
      </c>
      <c r="AO208" s="493">
        <f t="shared" si="234"/>
        <v>-0.75</v>
      </c>
      <c r="AP208" s="493">
        <f t="shared" si="235"/>
        <v>0</v>
      </c>
      <c r="AQ208" s="495">
        <f t="shared" si="247"/>
        <v>-0.75</v>
      </c>
      <c r="AR208" s="501">
        <f t="shared" si="248"/>
        <v>4281731</v>
      </c>
      <c r="AS208" s="492">
        <f t="shared" si="249"/>
        <v>3150759</v>
      </c>
      <c r="AT208" s="492">
        <f t="shared" si="236"/>
        <v>0</v>
      </c>
      <c r="AU208" s="492">
        <f t="shared" si="237"/>
        <v>1064957</v>
      </c>
      <c r="AV208" s="492">
        <f t="shared" si="237"/>
        <v>63015</v>
      </c>
      <c r="AW208" s="492">
        <f t="shared" si="250"/>
        <v>3000</v>
      </c>
      <c r="AX208" s="493">
        <f t="shared" si="251"/>
        <v>9.08</v>
      </c>
      <c r="AY208" s="493">
        <f t="shared" si="238"/>
        <v>9.08</v>
      </c>
      <c r="AZ208" s="495">
        <f t="shared" si="238"/>
        <v>0</v>
      </c>
    </row>
    <row r="209" spans="1:52" s="238" customFormat="1" ht="12.75" customHeight="1" x14ac:dyDescent="0.2">
      <c r="A209" s="225">
        <v>37</v>
      </c>
      <c r="B209" s="226">
        <v>4467</v>
      </c>
      <c r="C209" s="226">
        <v>600074935</v>
      </c>
      <c r="D209" s="226">
        <v>48282545</v>
      </c>
      <c r="E209" s="224" t="s">
        <v>221</v>
      </c>
      <c r="F209" s="226">
        <v>3141</v>
      </c>
      <c r="G209" s="176" t="s">
        <v>316</v>
      </c>
      <c r="H209" s="227" t="s">
        <v>279</v>
      </c>
      <c r="I209" s="494">
        <v>3075062</v>
      </c>
      <c r="J209" s="489">
        <v>2247894</v>
      </c>
      <c r="K209" s="489">
        <v>0</v>
      </c>
      <c r="L209" s="489">
        <v>759788</v>
      </c>
      <c r="M209" s="489">
        <v>44958</v>
      </c>
      <c r="N209" s="489">
        <v>22422</v>
      </c>
      <c r="O209" s="490">
        <v>7.08</v>
      </c>
      <c r="P209" s="491">
        <v>0</v>
      </c>
      <c r="Q209" s="500">
        <v>7.08</v>
      </c>
      <c r="R209" s="502">
        <f t="shared" si="239"/>
        <v>0</v>
      </c>
      <c r="S209" s="492">
        <v>0</v>
      </c>
      <c r="T209" s="492">
        <v>0</v>
      </c>
      <c r="U209" s="492">
        <v>0</v>
      </c>
      <c r="V209" s="492">
        <f t="shared" si="240"/>
        <v>0</v>
      </c>
      <c r="W209" s="492">
        <v>0</v>
      </c>
      <c r="X209" s="492">
        <v>0</v>
      </c>
      <c r="Y209" s="492">
        <v>0</v>
      </c>
      <c r="Z209" s="492">
        <f t="shared" si="241"/>
        <v>0</v>
      </c>
      <c r="AA209" s="492">
        <f t="shared" si="242"/>
        <v>0</v>
      </c>
      <c r="AB209" s="74">
        <f t="shared" si="243"/>
        <v>0</v>
      </c>
      <c r="AC209" s="74">
        <f t="shared" si="244"/>
        <v>0</v>
      </c>
      <c r="AD209" s="492">
        <v>0</v>
      </c>
      <c r="AE209" s="492">
        <v>0</v>
      </c>
      <c r="AF209" s="492">
        <f t="shared" si="245"/>
        <v>0</v>
      </c>
      <c r="AG209" s="492">
        <f t="shared" si="246"/>
        <v>0</v>
      </c>
      <c r="AH209" s="493">
        <v>0</v>
      </c>
      <c r="AI209" s="493">
        <v>0</v>
      </c>
      <c r="AJ209" s="493">
        <v>0</v>
      </c>
      <c r="AK209" s="493">
        <v>0</v>
      </c>
      <c r="AL209" s="493">
        <v>0</v>
      </c>
      <c r="AM209" s="493">
        <v>0</v>
      </c>
      <c r="AN209" s="493">
        <v>0</v>
      </c>
      <c r="AO209" s="493">
        <f t="shared" si="234"/>
        <v>0</v>
      </c>
      <c r="AP209" s="493">
        <f t="shared" si="235"/>
        <v>0</v>
      </c>
      <c r="AQ209" s="495">
        <f t="shared" si="247"/>
        <v>0</v>
      </c>
      <c r="AR209" s="501">
        <f t="shared" si="248"/>
        <v>3075062</v>
      </c>
      <c r="AS209" s="492">
        <f t="shared" si="249"/>
        <v>2247894</v>
      </c>
      <c r="AT209" s="492">
        <f t="shared" si="236"/>
        <v>0</v>
      </c>
      <c r="AU209" s="492">
        <f t="shared" si="237"/>
        <v>759788</v>
      </c>
      <c r="AV209" s="492">
        <f t="shared" si="237"/>
        <v>44958</v>
      </c>
      <c r="AW209" s="492">
        <f t="shared" si="250"/>
        <v>22422</v>
      </c>
      <c r="AX209" s="493">
        <f t="shared" si="251"/>
        <v>7.08</v>
      </c>
      <c r="AY209" s="493">
        <f t="shared" si="238"/>
        <v>0</v>
      </c>
      <c r="AZ209" s="495">
        <f t="shared" si="238"/>
        <v>7.08</v>
      </c>
    </row>
    <row r="210" spans="1:52" s="238" customFormat="1" ht="12.75" customHeight="1" x14ac:dyDescent="0.2">
      <c r="A210" s="225">
        <v>37</v>
      </c>
      <c r="B210" s="226">
        <v>4467</v>
      </c>
      <c r="C210" s="226">
        <v>600074935</v>
      </c>
      <c r="D210" s="226">
        <v>48282545</v>
      </c>
      <c r="E210" s="219" t="s">
        <v>221</v>
      </c>
      <c r="F210" s="226">
        <v>3143</v>
      </c>
      <c r="G210" s="176" t="s">
        <v>629</v>
      </c>
      <c r="H210" s="243" t="s">
        <v>278</v>
      </c>
      <c r="I210" s="494">
        <v>2205188</v>
      </c>
      <c r="J210" s="489">
        <v>1623850</v>
      </c>
      <c r="K210" s="489">
        <v>0</v>
      </c>
      <c r="L210" s="489">
        <v>548861</v>
      </c>
      <c r="M210" s="489">
        <v>32477</v>
      </c>
      <c r="N210" s="489">
        <v>0</v>
      </c>
      <c r="O210" s="490">
        <v>3.25</v>
      </c>
      <c r="P210" s="491">
        <v>3.25</v>
      </c>
      <c r="Q210" s="500">
        <v>0</v>
      </c>
      <c r="R210" s="502">
        <f t="shared" si="239"/>
        <v>0</v>
      </c>
      <c r="S210" s="492">
        <v>0</v>
      </c>
      <c r="T210" s="492">
        <v>0</v>
      </c>
      <c r="U210" s="492">
        <v>0</v>
      </c>
      <c r="V210" s="492">
        <f t="shared" si="240"/>
        <v>0</v>
      </c>
      <c r="W210" s="492">
        <v>0</v>
      </c>
      <c r="X210" s="492">
        <v>0</v>
      </c>
      <c r="Y210" s="492">
        <v>0</v>
      </c>
      <c r="Z210" s="492">
        <f t="shared" si="241"/>
        <v>0</v>
      </c>
      <c r="AA210" s="492">
        <f t="shared" si="242"/>
        <v>0</v>
      </c>
      <c r="AB210" s="74">
        <f t="shared" si="243"/>
        <v>0</v>
      </c>
      <c r="AC210" s="74">
        <f t="shared" si="244"/>
        <v>0</v>
      </c>
      <c r="AD210" s="492">
        <v>0</v>
      </c>
      <c r="AE210" s="492">
        <v>0</v>
      </c>
      <c r="AF210" s="492">
        <f t="shared" si="245"/>
        <v>0</v>
      </c>
      <c r="AG210" s="492">
        <f t="shared" si="246"/>
        <v>0</v>
      </c>
      <c r="AH210" s="493">
        <v>0</v>
      </c>
      <c r="AI210" s="493">
        <v>0</v>
      </c>
      <c r="AJ210" s="493">
        <v>0</v>
      </c>
      <c r="AK210" s="493">
        <v>0</v>
      </c>
      <c r="AL210" s="493">
        <v>0</v>
      </c>
      <c r="AM210" s="493">
        <v>0</v>
      </c>
      <c r="AN210" s="493">
        <v>0</v>
      </c>
      <c r="AO210" s="493">
        <f t="shared" si="234"/>
        <v>0</v>
      </c>
      <c r="AP210" s="493">
        <f t="shared" si="235"/>
        <v>0</v>
      </c>
      <c r="AQ210" s="495">
        <f t="shared" si="247"/>
        <v>0</v>
      </c>
      <c r="AR210" s="501">
        <f t="shared" si="248"/>
        <v>2205188</v>
      </c>
      <c r="AS210" s="492">
        <f t="shared" si="249"/>
        <v>1623850</v>
      </c>
      <c r="AT210" s="492">
        <f t="shared" si="236"/>
        <v>0</v>
      </c>
      <c r="AU210" s="492">
        <f t="shared" si="237"/>
        <v>548861</v>
      </c>
      <c r="AV210" s="492">
        <f t="shared" si="237"/>
        <v>32477</v>
      </c>
      <c r="AW210" s="492">
        <f t="shared" si="250"/>
        <v>0</v>
      </c>
      <c r="AX210" s="493">
        <f t="shared" si="251"/>
        <v>3.25</v>
      </c>
      <c r="AY210" s="493">
        <f t="shared" si="238"/>
        <v>3.25</v>
      </c>
      <c r="AZ210" s="495">
        <f t="shared" si="238"/>
        <v>0</v>
      </c>
    </row>
    <row r="211" spans="1:52" s="238" customFormat="1" ht="12.75" customHeight="1" x14ac:dyDescent="0.2">
      <c r="A211" s="225">
        <v>37</v>
      </c>
      <c r="B211" s="226">
        <v>4467</v>
      </c>
      <c r="C211" s="226">
        <v>600074935</v>
      </c>
      <c r="D211" s="226">
        <v>48282545</v>
      </c>
      <c r="E211" s="219" t="s">
        <v>221</v>
      </c>
      <c r="F211" s="226">
        <v>3143</v>
      </c>
      <c r="G211" s="176" t="s">
        <v>630</v>
      </c>
      <c r="H211" s="243" t="s">
        <v>279</v>
      </c>
      <c r="I211" s="494">
        <v>65772</v>
      </c>
      <c r="J211" s="489">
        <v>46511</v>
      </c>
      <c r="K211" s="489">
        <v>0</v>
      </c>
      <c r="L211" s="489">
        <v>15721</v>
      </c>
      <c r="M211" s="489">
        <v>930</v>
      </c>
      <c r="N211" s="489">
        <v>2610</v>
      </c>
      <c r="O211" s="490">
        <v>0.18</v>
      </c>
      <c r="P211" s="491">
        <v>0</v>
      </c>
      <c r="Q211" s="500">
        <v>0.18</v>
      </c>
      <c r="R211" s="502">
        <f t="shared" si="239"/>
        <v>0</v>
      </c>
      <c r="S211" s="492">
        <v>0</v>
      </c>
      <c r="T211" s="492">
        <v>0</v>
      </c>
      <c r="U211" s="492">
        <v>0</v>
      </c>
      <c r="V211" s="492">
        <f t="shared" si="240"/>
        <v>0</v>
      </c>
      <c r="W211" s="492">
        <v>0</v>
      </c>
      <c r="X211" s="492">
        <v>0</v>
      </c>
      <c r="Y211" s="492">
        <v>0</v>
      </c>
      <c r="Z211" s="492">
        <f t="shared" si="241"/>
        <v>0</v>
      </c>
      <c r="AA211" s="492">
        <f t="shared" si="242"/>
        <v>0</v>
      </c>
      <c r="AB211" s="74">
        <f t="shared" si="243"/>
        <v>0</v>
      </c>
      <c r="AC211" s="74">
        <f t="shared" si="244"/>
        <v>0</v>
      </c>
      <c r="AD211" s="492">
        <v>0</v>
      </c>
      <c r="AE211" s="492">
        <v>0</v>
      </c>
      <c r="AF211" s="492">
        <f t="shared" si="245"/>
        <v>0</v>
      </c>
      <c r="AG211" s="492">
        <f t="shared" si="246"/>
        <v>0</v>
      </c>
      <c r="AH211" s="493">
        <v>0</v>
      </c>
      <c r="AI211" s="493">
        <v>0</v>
      </c>
      <c r="AJ211" s="493">
        <v>0</v>
      </c>
      <c r="AK211" s="493">
        <v>0</v>
      </c>
      <c r="AL211" s="493">
        <v>0</v>
      </c>
      <c r="AM211" s="493">
        <v>0</v>
      </c>
      <c r="AN211" s="493">
        <v>0</v>
      </c>
      <c r="AO211" s="493">
        <f t="shared" si="234"/>
        <v>0</v>
      </c>
      <c r="AP211" s="493">
        <f t="shared" si="235"/>
        <v>0</v>
      </c>
      <c r="AQ211" s="495">
        <f t="shared" si="247"/>
        <v>0</v>
      </c>
      <c r="AR211" s="501">
        <f t="shared" si="248"/>
        <v>65772</v>
      </c>
      <c r="AS211" s="492">
        <f t="shared" si="249"/>
        <v>46511</v>
      </c>
      <c r="AT211" s="492">
        <f t="shared" si="236"/>
        <v>0</v>
      </c>
      <c r="AU211" s="492">
        <f t="shared" si="237"/>
        <v>15721</v>
      </c>
      <c r="AV211" s="492">
        <f t="shared" si="237"/>
        <v>930</v>
      </c>
      <c r="AW211" s="492">
        <f t="shared" si="250"/>
        <v>2610</v>
      </c>
      <c r="AX211" s="493">
        <f t="shared" si="251"/>
        <v>0.18</v>
      </c>
      <c r="AY211" s="493">
        <f t="shared" si="238"/>
        <v>0</v>
      </c>
      <c r="AZ211" s="495">
        <f t="shared" si="238"/>
        <v>0.18</v>
      </c>
    </row>
    <row r="212" spans="1:52" s="238" customFormat="1" ht="12.75" customHeight="1" x14ac:dyDescent="0.2">
      <c r="A212" s="225">
        <v>37</v>
      </c>
      <c r="B212" s="226">
        <v>4467</v>
      </c>
      <c r="C212" s="226">
        <v>600074935</v>
      </c>
      <c r="D212" s="226">
        <v>48282545</v>
      </c>
      <c r="E212" s="224" t="s">
        <v>221</v>
      </c>
      <c r="F212" s="226">
        <v>3233</v>
      </c>
      <c r="G212" s="176" t="s">
        <v>319</v>
      </c>
      <c r="H212" s="227" t="s">
        <v>279</v>
      </c>
      <c r="I212" s="494">
        <v>1760526</v>
      </c>
      <c r="J212" s="489">
        <v>1275920</v>
      </c>
      <c r="K212" s="489">
        <v>19500</v>
      </c>
      <c r="L212" s="489">
        <v>437852</v>
      </c>
      <c r="M212" s="489">
        <v>25518</v>
      </c>
      <c r="N212" s="489">
        <v>1736</v>
      </c>
      <c r="O212" s="490">
        <v>2.6999999999999997</v>
      </c>
      <c r="P212" s="491">
        <v>1.94</v>
      </c>
      <c r="Q212" s="500">
        <v>0.76</v>
      </c>
      <c r="R212" s="502">
        <f t="shared" si="239"/>
        <v>0</v>
      </c>
      <c r="S212" s="492">
        <v>0</v>
      </c>
      <c r="T212" s="492">
        <v>0</v>
      </c>
      <c r="U212" s="492">
        <v>0</v>
      </c>
      <c r="V212" s="492">
        <f t="shared" si="240"/>
        <v>0</v>
      </c>
      <c r="W212" s="492">
        <v>0</v>
      </c>
      <c r="X212" s="492">
        <v>0</v>
      </c>
      <c r="Y212" s="492">
        <v>0</v>
      </c>
      <c r="Z212" s="492">
        <f t="shared" si="241"/>
        <v>0</v>
      </c>
      <c r="AA212" s="492">
        <f t="shared" si="242"/>
        <v>0</v>
      </c>
      <c r="AB212" s="74">
        <f t="shared" si="243"/>
        <v>0</v>
      </c>
      <c r="AC212" s="74">
        <f t="shared" si="244"/>
        <v>0</v>
      </c>
      <c r="AD212" s="492">
        <v>0</v>
      </c>
      <c r="AE212" s="492">
        <v>10199</v>
      </c>
      <c r="AF212" s="492">
        <f t="shared" si="245"/>
        <v>10199</v>
      </c>
      <c r="AG212" s="492">
        <f t="shared" si="246"/>
        <v>10199</v>
      </c>
      <c r="AH212" s="493">
        <v>0</v>
      </c>
      <c r="AI212" s="493">
        <v>0</v>
      </c>
      <c r="AJ212" s="493">
        <v>0</v>
      </c>
      <c r="AK212" s="493">
        <v>0</v>
      </c>
      <c r="AL212" s="493">
        <v>0</v>
      </c>
      <c r="AM212" s="493">
        <v>0</v>
      </c>
      <c r="AN212" s="493">
        <v>0</v>
      </c>
      <c r="AO212" s="493">
        <f t="shared" si="234"/>
        <v>0</v>
      </c>
      <c r="AP212" s="493">
        <f t="shared" si="235"/>
        <v>0</v>
      </c>
      <c r="AQ212" s="495">
        <f t="shared" si="247"/>
        <v>0</v>
      </c>
      <c r="AR212" s="501">
        <f t="shared" si="248"/>
        <v>1770725</v>
      </c>
      <c r="AS212" s="492">
        <f t="shared" si="249"/>
        <v>1275920</v>
      </c>
      <c r="AT212" s="492">
        <f t="shared" si="236"/>
        <v>19500</v>
      </c>
      <c r="AU212" s="492">
        <f t="shared" si="237"/>
        <v>437852</v>
      </c>
      <c r="AV212" s="492">
        <f t="shared" si="237"/>
        <v>25518</v>
      </c>
      <c r="AW212" s="492">
        <f t="shared" si="250"/>
        <v>11935</v>
      </c>
      <c r="AX212" s="493">
        <f t="shared" si="251"/>
        <v>2.6999999999999997</v>
      </c>
      <c r="AY212" s="493">
        <f t="shared" si="238"/>
        <v>1.94</v>
      </c>
      <c r="AZ212" s="495">
        <f t="shared" si="238"/>
        <v>0.76</v>
      </c>
    </row>
    <row r="213" spans="1:52" s="238" customFormat="1" ht="12.75" customHeight="1" x14ac:dyDescent="0.2">
      <c r="A213" s="166">
        <v>37</v>
      </c>
      <c r="B213" s="20">
        <v>4467</v>
      </c>
      <c r="C213" s="20">
        <v>600074935</v>
      </c>
      <c r="D213" s="20">
        <v>48282545</v>
      </c>
      <c r="E213" s="175" t="s">
        <v>222</v>
      </c>
      <c r="F213" s="20"/>
      <c r="G213" s="165"/>
      <c r="H213" s="199"/>
      <c r="I213" s="553">
        <v>54519340</v>
      </c>
      <c r="J213" s="550">
        <v>39485337</v>
      </c>
      <c r="K213" s="550">
        <v>162500</v>
      </c>
      <c r="L213" s="550">
        <v>13400969</v>
      </c>
      <c r="M213" s="550">
        <v>789706</v>
      </c>
      <c r="N213" s="550">
        <v>680828</v>
      </c>
      <c r="O213" s="551">
        <v>83.543600000000012</v>
      </c>
      <c r="P213" s="551">
        <v>62.554399999999994</v>
      </c>
      <c r="Q213" s="555">
        <v>20.9892</v>
      </c>
      <c r="R213" s="553">
        <f t="shared" ref="R213:AZ213" si="252">SUM(R205:R212)</f>
        <v>0</v>
      </c>
      <c r="S213" s="550">
        <f t="shared" si="252"/>
        <v>-259832</v>
      </c>
      <c r="T213" s="550">
        <f t="shared" si="252"/>
        <v>0</v>
      </c>
      <c r="U213" s="550">
        <f t="shared" si="252"/>
        <v>0</v>
      </c>
      <c r="V213" s="550">
        <f t="shared" si="252"/>
        <v>-259832</v>
      </c>
      <c r="W213" s="550">
        <f t="shared" si="252"/>
        <v>0</v>
      </c>
      <c r="X213" s="550">
        <f t="shared" si="252"/>
        <v>0</v>
      </c>
      <c r="Y213" s="550">
        <f t="shared" si="252"/>
        <v>0</v>
      </c>
      <c r="Z213" s="550">
        <f t="shared" si="252"/>
        <v>0</v>
      </c>
      <c r="AA213" s="550">
        <f t="shared" si="252"/>
        <v>-259832</v>
      </c>
      <c r="AB213" s="550">
        <f t="shared" si="252"/>
        <v>-87823</v>
      </c>
      <c r="AC213" s="550">
        <f t="shared" si="252"/>
        <v>-5197</v>
      </c>
      <c r="AD213" s="550">
        <f t="shared" si="252"/>
        <v>0</v>
      </c>
      <c r="AE213" s="550">
        <f t="shared" si="252"/>
        <v>10199</v>
      </c>
      <c r="AF213" s="550">
        <f t="shared" si="252"/>
        <v>10199</v>
      </c>
      <c r="AG213" s="550">
        <f t="shared" si="252"/>
        <v>-342653</v>
      </c>
      <c r="AH213" s="551">
        <f t="shared" si="252"/>
        <v>0</v>
      </c>
      <c r="AI213" s="551">
        <f t="shared" si="252"/>
        <v>0</v>
      </c>
      <c r="AJ213" s="551">
        <f t="shared" si="252"/>
        <v>-0.75</v>
      </c>
      <c r="AK213" s="551">
        <f t="shared" si="252"/>
        <v>0</v>
      </c>
      <c r="AL213" s="551">
        <f t="shared" si="252"/>
        <v>0</v>
      </c>
      <c r="AM213" s="551">
        <f t="shared" si="252"/>
        <v>0</v>
      </c>
      <c r="AN213" s="551">
        <f t="shared" si="252"/>
        <v>0</v>
      </c>
      <c r="AO213" s="551">
        <f t="shared" si="252"/>
        <v>-0.75</v>
      </c>
      <c r="AP213" s="551">
        <f t="shared" si="252"/>
        <v>0</v>
      </c>
      <c r="AQ213" s="44">
        <f t="shared" si="252"/>
        <v>-0.75</v>
      </c>
      <c r="AR213" s="557">
        <f t="shared" si="252"/>
        <v>54176687</v>
      </c>
      <c r="AS213" s="550">
        <f t="shared" si="252"/>
        <v>39225505</v>
      </c>
      <c r="AT213" s="550">
        <f t="shared" si="252"/>
        <v>162500</v>
      </c>
      <c r="AU213" s="550">
        <f t="shared" si="252"/>
        <v>13313146</v>
      </c>
      <c r="AV213" s="550">
        <f t="shared" si="252"/>
        <v>784509</v>
      </c>
      <c r="AW213" s="550">
        <f t="shared" si="252"/>
        <v>691027</v>
      </c>
      <c r="AX213" s="551">
        <f t="shared" si="252"/>
        <v>82.793600000000012</v>
      </c>
      <c r="AY213" s="551">
        <f t="shared" si="252"/>
        <v>61.804399999999994</v>
      </c>
      <c r="AZ213" s="44">
        <f t="shared" si="252"/>
        <v>20.9892</v>
      </c>
    </row>
    <row r="214" spans="1:52" s="238" customFormat="1" ht="12.75" customHeight="1" x14ac:dyDescent="0.2">
      <c r="A214" s="225">
        <v>38</v>
      </c>
      <c r="B214" s="226">
        <v>4460</v>
      </c>
      <c r="C214" s="226">
        <v>600074579</v>
      </c>
      <c r="D214" s="226">
        <v>48283011</v>
      </c>
      <c r="E214" s="224" t="s">
        <v>223</v>
      </c>
      <c r="F214" s="226">
        <v>3111</v>
      </c>
      <c r="G214" s="176" t="s">
        <v>312</v>
      </c>
      <c r="H214" s="227" t="s">
        <v>278</v>
      </c>
      <c r="I214" s="494">
        <v>6467650</v>
      </c>
      <c r="J214" s="489">
        <v>4724633</v>
      </c>
      <c r="K214" s="489">
        <v>3250</v>
      </c>
      <c r="L214" s="489">
        <v>1598024</v>
      </c>
      <c r="M214" s="489">
        <v>94493</v>
      </c>
      <c r="N214" s="489">
        <v>47250</v>
      </c>
      <c r="O214" s="490">
        <v>10.043699999999999</v>
      </c>
      <c r="P214" s="491">
        <v>8</v>
      </c>
      <c r="Q214" s="500">
        <v>2.0436999999999999</v>
      </c>
      <c r="R214" s="502">
        <f t="shared" si="239"/>
        <v>0</v>
      </c>
      <c r="S214" s="492">
        <v>0</v>
      </c>
      <c r="T214" s="492">
        <v>0</v>
      </c>
      <c r="U214" s="492">
        <v>0</v>
      </c>
      <c r="V214" s="492">
        <f t="shared" si="240"/>
        <v>0</v>
      </c>
      <c r="W214" s="492">
        <v>0</v>
      </c>
      <c r="X214" s="492">
        <v>0</v>
      </c>
      <c r="Y214" s="492">
        <v>0</v>
      </c>
      <c r="Z214" s="492">
        <f t="shared" si="241"/>
        <v>0</v>
      </c>
      <c r="AA214" s="492">
        <f t="shared" si="242"/>
        <v>0</v>
      </c>
      <c r="AB214" s="74">
        <f t="shared" si="243"/>
        <v>0</v>
      </c>
      <c r="AC214" s="74">
        <f t="shared" si="244"/>
        <v>0</v>
      </c>
      <c r="AD214" s="492">
        <v>0</v>
      </c>
      <c r="AE214" s="492">
        <v>0</v>
      </c>
      <c r="AF214" s="492">
        <f t="shared" si="245"/>
        <v>0</v>
      </c>
      <c r="AG214" s="492">
        <f t="shared" si="246"/>
        <v>0</v>
      </c>
      <c r="AH214" s="493">
        <v>0</v>
      </c>
      <c r="AI214" s="493">
        <v>0</v>
      </c>
      <c r="AJ214" s="493">
        <v>0</v>
      </c>
      <c r="AK214" s="493">
        <v>0</v>
      </c>
      <c r="AL214" s="493">
        <v>0</v>
      </c>
      <c r="AM214" s="493">
        <v>0</v>
      </c>
      <c r="AN214" s="493">
        <v>0</v>
      </c>
      <c r="AO214" s="493">
        <f t="shared" ref="AO214:AO219" si="253">AH214+AJ214+AM214+AK214</f>
        <v>0</v>
      </c>
      <c r="AP214" s="493">
        <f t="shared" ref="AP214:AP219" si="254">AI214+AN214+AL214</f>
        <v>0</v>
      </c>
      <c r="AQ214" s="495">
        <f t="shared" si="247"/>
        <v>0</v>
      </c>
      <c r="AR214" s="501">
        <f t="shared" si="248"/>
        <v>6467650</v>
      </c>
      <c r="AS214" s="492">
        <f t="shared" si="249"/>
        <v>4724633</v>
      </c>
      <c r="AT214" s="492">
        <f t="shared" ref="AT214:AT219" si="255">K214+Z214</f>
        <v>3250</v>
      </c>
      <c r="AU214" s="492">
        <f t="shared" ref="AU214:AV219" si="256">L214+AB214</f>
        <v>1598024</v>
      </c>
      <c r="AV214" s="492">
        <f t="shared" si="256"/>
        <v>94493</v>
      </c>
      <c r="AW214" s="492">
        <f t="shared" si="250"/>
        <v>47250</v>
      </c>
      <c r="AX214" s="493">
        <f t="shared" si="251"/>
        <v>10.043699999999999</v>
      </c>
      <c r="AY214" s="493">
        <f t="shared" ref="AY214:AZ219" si="257">P214+AO214</f>
        <v>8</v>
      </c>
      <c r="AZ214" s="495">
        <f t="shared" si="257"/>
        <v>2.0436999999999999</v>
      </c>
    </row>
    <row r="215" spans="1:52" s="238" customFormat="1" ht="12.75" customHeight="1" x14ac:dyDescent="0.2">
      <c r="A215" s="225">
        <v>38</v>
      </c>
      <c r="B215" s="226">
        <v>4460</v>
      </c>
      <c r="C215" s="226">
        <v>600074579</v>
      </c>
      <c r="D215" s="226">
        <v>48283011</v>
      </c>
      <c r="E215" s="224" t="s">
        <v>223</v>
      </c>
      <c r="F215" s="226">
        <v>3113</v>
      </c>
      <c r="G215" s="176" t="s">
        <v>315</v>
      </c>
      <c r="H215" s="227" t="s">
        <v>278</v>
      </c>
      <c r="I215" s="494">
        <v>27009380</v>
      </c>
      <c r="J215" s="489">
        <v>19310993</v>
      </c>
      <c r="K215" s="489">
        <v>124290</v>
      </c>
      <c r="L215" s="489">
        <v>6569127</v>
      </c>
      <c r="M215" s="489">
        <v>386220</v>
      </c>
      <c r="N215" s="489">
        <v>618750</v>
      </c>
      <c r="O215" s="490">
        <v>35.201599999999999</v>
      </c>
      <c r="P215" s="491">
        <v>26.364000000000001</v>
      </c>
      <c r="Q215" s="500">
        <v>8.8376000000000001</v>
      </c>
      <c r="R215" s="502">
        <f t="shared" si="239"/>
        <v>0</v>
      </c>
      <c r="S215" s="492">
        <v>0</v>
      </c>
      <c r="T215" s="492">
        <v>0</v>
      </c>
      <c r="U215" s="492">
        <v>0</v>
      </c>
      <c r="V215" s="492">
        <f t="shared" si="240"/>
        <v>0</v>
      </c>
      <c r="W215" s="492">
        <v>0</v>
      </c>
      <c r="X215" s="492">
        <v>0</v>
      </c>
      <c r="Y215" s="492">
        <v>0</v>
      </c>
      <c r="Z215" s="492">
        <f t="shared" si="241"/>
        <v>0</v>
      </c>
      <c r="AA215" s="492">
        <f t="shared" si="242"/>
        <v>0</v>
      </c>
      <c r="AB215" s="74">
        <f t="shared" si="243"/>
        <v>0</v>
      </c>
      <c r="AC215" s="74">
        <f t="shared" si="244"/>
        <v>0</v>
      </c>
      <c r="AD215" s="492">
        <v>0</v>
      </c>
      <c r="AE215" s="492">
        <v>0</v>
      </c>
      <c r="AF215" s="492">
        <f t="shared" si="245"/>
        <v>0</v>
      </c>
      <c r="AG215" s="492">
        <f t="shared" si="246"/>
        <v>0</v>
      </c>
      <c r="AH215" s="493">
        <v>0</v>
      </c>
      <c r="AI215" s="493">
        <v>0</v>
      </c>
      <c r="AJ215" s="493">
        <v>0</v>
      </c>
      <c r="AK215" s="493">
        <v>0</v>
      </c>
      <c r="AL215" s="493">
        <v>0</v>
      </c>
      <c r="AM215" s="493">
        <v>0</v>
      </c>
      <c r="AN215" s="493">
        <v>0</v>
      </c>
      <c r="AO215" s="493">
        <f t="shared" si="253"/>
        <v>0</v>
      </c>
      <c r="AP215" s="493">
        <f t="shared" si="254"/>
        <v>0</v>
      </c>
      <c r="AQ215" s="495">
        <f t="shared" si="247"/>
        <v>0</v>
      </c>
      <c r="AR215" s="501">
        <f t="shared" si="248"/>
        <v>27009380</v>
      </c>
      <c r="AS215" s="492">
        <f t="shared" si="249"/>
        <v>19310993</v>
      </c>
      <c r="AT215" s="492">
        <f t="shared" si="255"/>
        <v>124290</v>
      </c>
      <c r="AU215" s="492">
        <f t="shared" si="256"/>
        <v>6569127</v>
      </c>
      <c r="AV215" s="492">
        <f t="shared" si="256"/>
        <v>386220</v>
      </c>
      <c r="AW215" s="492">
        <f t="shared" si="250"/>
        <v>618750</v>
      </c>
      <c r="AX215" s="493">
        <f t="shared" si="251"/>
        <v>35.201599999999999</v>
      </c>
      <c r="AY215" s="493">
        <f t="shared" si="257"/>
        <v>26.364000000000001</v>
      </c>
      <c r="AZ215" s="495">
        <f t="shared" si="257"/>
        <v>8.8376000000000001</v>
      </c>
    </row>
    <row r="216" spans="1:52" s="238" customFormat="1" ht="12.75" customHeight="1" x14ac:dyDescent="0.2">
      <c r="A216" s="225">
        <v>38</v>
      </c>
      <c r="B216" s="226">
        <v>4460</v>
      </c>
      <c r="C216" s="226">
        <v>600074579</v>
      </c>
      <c r="D216" s="226">
        <v>48283011</v>
      </c>
      <c r="E216" s="224" t="s">
        <v>223</v>
      </c>
      <c r="F216" s="226">
        <v>3113</v>
      </c>
      <c r="G216" s="176" t="s">
        <v>313</v>
      </c>
      <c r="H216" s="227" t="s">
        <v>279</v>
      </c>
      <c r="I216" s="494">
        <v>1306871</v>
      </c>
      <c r="J216" s="489">
        <v>962350</v>
      </c>
      <c r="K216" s="489">
        <v>0</v>
      </c>
      <c r="L216" s="489">
        <v>325274</v>
      </c>
      <c r="M216" s="489">
        <v>19247</v>
      </c>
      <c r="N216" s="489">
        <v>0</v>
      </c>
      <c r="O216" s="490">
        <v>2.78</v>
      </c>
      <c r="P216" s="491">
        <v>2.78</v>
      </c>
      <c r="Q216" s="500">
        <v>0</v>
      </c>
      <c r="R216" s="502">
        <f t="shared" si="239"/>
        <v>0</v>
      </c>
      <c r="S216" s="492">
        <v>64958</v>
      </c>
      <c r="T216" s="492">
        <v>0</v>
      </c>
      <c r="U216" s="492">
        <v>0</v>
      </c>
      <c r="V216" s="492">
        <f t="shared" si="240"/>
        <v>64958</v>
      </c>
      <c r="W216" s="492">
        <v>0</v>
      </c>
      <c r="X216" s="492">
        <v>0</v>
      </c>
      <c r="Y216" s="492">
        <v>0</v>
      </c>
      <c r="Z216" s="492">
        <f t="shared" si="241"/>
        <v>0</v>
      </c>
      <c r="AA216" s="492">
        <f t="shared" si="242"/>
        <v>64958</v>
      </c>
      <c r="AB216" s="74">
        <f t="shared" si="243"/>
        <v>21956</v>
      </c>
      <c r="AC216" s="74">
        <f t="shared" si="244"/>
        <v>1299</v>
      </c>
      <c r="AD216" s="492">
        <v>0</v>
      </c>
      <c r="AE216" s="492">
        <v>0</v>
      </c>
      <c r="AF216" s="492">
        <f t="shared" si="245"/>
        <v>0</v>
      </c>
      <c r="AG216" s="492">
        <f t="shared" si="246"/>
        <v>88213</v>
      </c>
      <c r="AH216" s="493">
        <v>0</v>
      </c>
      <c r="AI216" s="493">
        <v>0</v>
      </c>
      <c r="AJ216" s="493">
        <v>0.19</v>
      </c>
      <c r="AK216" s="493">
        <v>0</v>
      </c>
      <c r="AL216" s="493">
        <v>0</v>
      </c>
      <c r="AM216" s="493">
        <v>0</v>
      </c>
      <c r="AN216" s="493">
        <v>0</v>
      </c>
      <c r="AO216" s="493">
        <f t="shared" si="253"/>
        <v>0.19</v>
      </c>
      <c r="AP216" s="493">
        <f t="shared" si="254"/>
        <v>0</v>
      </c>
      <c r="AQ216" s="495">
        <f t="shared" si="247"/>
        <v>0.19</v>
      </c>
      <c r="AR216" s="501">
        <f t="shared" si="248"/>
        <v>1395084</v>
      </c>
      <c r="AS216" s="492">
        <f t="shared" si="249"/>
        <v>1027308</v>
      </c>
      <c r="AT216" s="492">
        <f t="shared" si="255"/>
        <v>0</v>
      </c>
      <c r="AU216" s="492">
        <f t="shared" si="256"/>
        <v>347230</v>
      </c>
      <c r="AV216" s="492">
        <f t="shared" si="256"/>
        <v>20546</v>
      </c>
      <c r="AW216" s="492">
        <f t="shared" si="250"/>
        <v>0</v>
      </c>
      <c r="AX216" s="493">
        <f t="shared" si="251"/>
        <v>2.9699999999999998</v>
      </c>
      <c r="AY216" s="493">
        <f t="shared" si="257"/>
        <v>2.9699999999999998</v>
      </c>
      <c r="AZ216" s="495">
        <f t="shared" si="257"/>
        <v>0</v>
      </c>
    </row>
    <row r="217" spans="1:52" s="238" customFormat="1" ht="12.75" customHeight="1" x14ac:dyDescent="0.2">
      <c r="A217" s="225">
        <v>38</v>
      </c>
      <c r="B217" s="226">
        <v>4460</v>
      </c>
      <c r="C217" s="226">
        <v>600074579</v>
      </c>
      <c r="D217" s="226">
        <v>48283011</v>
      </c>
      <c r="E217" s="224" t="s">
        <v>223</v>
      </c>
      <c r="F217" s="226">
        <v>3141</v>
      </c>
      <c r="G217" s="176" t="s">
        <v>316</v>
      </c>
      <c r="H217" s="227" t="s">
        <v>279</v>
      </c>
      <c r="I217" s="494">
        <v>3404311</v>
      </c>
      <c r="J217" s="489">
        <v>2486886</v>
      </c>
      <c r="K217" s="489">
        <v>0</v>
      </c>
      <c r="L217" s="489">
        <v>840567</v>
      </c>
      <c r="M217" s="489">
        <v>49738</v>
      </c>
      <c r="N217" s="489">
        <v>27120</v>
      </c>
      <c r="O217" s="490">
        <v>7.83</v>
      </c>
      <c r="P217" s="491">
        <v>0</v>
      </c>
      <c r="Q217" s="500">
        <v>7.83</v>
      </c>
      <c r="R217" s="502">
        <f t="shared" si="239"/>
        <v>0</v>
      </c>
      <c r="S217" s="492">
        <v>0</v>
      </c>
      <c r="T217" s="492">
        <v>0</v>
      </c>
      <c r="U217" s="492">
        <v>0</v>
      </c>
      <c r="V217" s="492">
        <f t="shared" si="240"/>
        <v>0</v>
      </c>
      <c r="W217" s="492">
        <v>0</v>
      </c>
      <c r="X217" s="492">
        <v>0</v>
      </c>
      <c r="Y217" s="492">
        <v>0</v>
      </c>
      <c r="Z217" s="492">
        <f t="shared" si="241"/>
        <v>0</v>
      </c>
      <c r="AA217" s="492">
        <f t="shared" si="242"/>
        <v>0</v>
      </c>
      <c r="AB217" s="74">
        <f t="shared" si="243"/>
        <v>0</v>
      </c>
      <c r="AC217" s="74">
        <f t="shared" si="244"/>
        <v>0</v>
      </c>
      <c r="AD217" s="492">
        <v>0</v>
      </c>
      <c r="AE217" s="492">
        <v>0</v>
      </c>
      <c r="AF217" s="492">
        <f t="shared" si="245"/>
        <v>0</v>
      </c>
      <c r="AG217" s="492">
        <f t="shared" si="246"/>
        <v>0</v>
      </c>
      <c r="AH217" s="493">
        <v>0</v>
      </c>
      <c r="AI217" s="493">
        <v>0</v>
      </c>
      <c r="AJ217" s="493">
        <v>0</v>
      </c>
      <c r="AK217" s="493">
        <v>0</v>
      </c>
      <c r="AL217" s="493">
        <v>0</v>
      </c>
      <c r="AM217" s="493">
        <v>0</v>
      </c>
      <c r="AN217" s="493">
        <v>0</v>
      </c>
      <c r="AO217" s="493">
        <f t="shared" si="253"/>
        <v>0</v>
      </c>
      <c r="AP217" s="493">
        <f t="shared" si="254"/>
        <v>0</v>
      </c>
      <c r="AQ217" s="495">
        <f t="shared" si="247"/>
        <v>0</v>
      </c>
      <c r="AR217" s="501">
        <f t="shared" si="248"/>
        <v>3404311</v>
      </c>
      <c r="AS217" s="492">
        <f t="shared" si="249"/>
        <v>2486886</v>
      </c>
      <c r="AT217" s="492">
        <f t="shared" si="255"/>
        <v>0</v>
      </c>
      <c r="AU217" s="492">
        <f t="shared" si="256"/>
        <v>840567</v>
      </c>
      <c r="AV217" s="492">
        <f t="shared" si="256"/>
        <v>49738</v>
      </c>
      <c r="AW217" s="492">
        <f t="shared" si="250"/>
        <v>27120</v>
      </c>
      <c r="AX217" s="493">
        <f t="shared" si="251"/>
        <v>7.83</v>
      </c>
      <c r="AY217" s="493">
        <f t="shared" si="257"/>
        <v>0</v>
      </c>
      <c r="AZ217" s="495">
        <f t="shared" si="257"/>
        <v>7.83</v>
      </c>
    </row>
    <row r="218" spans="1:52" s="238" customFormat="1" ht="12.75" customHeight="1" x14ac:dyDescent="0.2">
      <c r="A218" s="225">
        <v>38</v>
      </c>
      <c r="B218" s="226">
        <v>4460</v>
      </c>
      <c r="C218" s="226">
        <v>600074579</v>
      </c>
      <c r="D218" s="226">
        <v>48283011</v>
      </c>
      <c r="E218" s="224" t="s">
        <v>223</v>
      </c>
      <c r="F218" s="226">
        <v>3143</v>
      </c>
      <c r="G218" s="176" t="s">
        <v>629</v>
      </c>
      <c r="H218" s="243" t="s">
        <v>278</v>
      </c>
      <c r="I218" s="494">
        <v>2257222</v>
      </c>
      <c r="J218" s="489">
        <v>1662167</v>
      </c>
      <c r="K218" s="489">
        <v>0</v>
      </c>
      <c r="L218" s="489">
        <v>561812</v>
      </c>
      <c r="M218" s="489">
        <v>33243</v>
      </c>
      <c r="N218" s="489">
        <v>0</v>
      </c>
      <c r="O218" s="490">
        <v>3.3159999999999998</v>
      </c>
      <c r="P218" s="491">
        <v>3.3159999999999998</v>
      </c>
      <c r="Q218" s="500">
        <v>0</v>
      </c>
      <c r="R218" s="502">
        <f t="shared" si="239"/>
        <v>0</v>
      </c>
      <c r="S218" s="492">
        <v>0</v>
      </c>
      <c r="T218" s="492">
        <v>0</v>
      </c>
      <c r="U218" s="492">
        <v>0</v>
      </c>
      <c r="V218" s="492">
        <f t="shared" si="240"/>
        <v>0</v>
      </c>
      <c r="W218" s="492">
        <v>0</v>
      </c>
      <c r="X218" s="492">
        <v>0</v>
      </c>
      <c r="Y218" s="492">
        <v>0</v>
      </c>
      <c r="Z218" s="492">
        <f t="shared" si="241"/>
        <v>0</v>
      </c>
      <c r="AA218" s="492">
        <f t="shared" si="242"/>
        <v>0</v>
      </c>
      <c r="AB218" s="74">
        <f t="shared" si="243"/>
        <v>0</v>
      </c>
      <c r="AC218" s="74">
        <f t="shared" si="244"/>
        <v>0</v>
      </c>
      <c r="AD218" s="492">
        <v>0</v>
      </c>
      <c r="AE218" s="492">
        <v>0</v>
      </c>
      <c r="AF218" s="492">
        <f t="shared" si="245"/>
        <v>0</v>
      </c>
      <c r="AG218" s="492">
        <f t="shared" si="246"/>
        <v>0</v>
      </c>
      <c r="AH218" s="493">
        <v>0</v>
      </c>
      <c r="AI218" s="493">
        <v>0</v>
      </c>
      <c r="AJ218" s="493">
        <v>0</v>
      </c>
      <c r="AK218" s="493">
        <v>0</v>
      </c>
      <c r="AL218" s="493">
        <v>0</v>
      </c>
      <c r="AM218" s="493">
        <v>0</v>
      </c>
      <c r="AN218" s="493">
        <v>0</v>
      </c>
      <c r="AO218" s="493">
        <f t="shared" si="253"/>
        <v>0</v>
      </c>
      <c r="AP218" s="493">
        <f t="shared" si="254"/>
        <v>0</v>
      </c>
      <c r="AQ218" s="495">
        <f t="shared" si="247"/>
        <v>0</v>
      </c>
      <c r="AR218" s="501">
        <f t="shared" si="248"/>
        <v>2257222</v>
      </c>
      <c r="AS218" s="492">
        <f t="shared" si="249"/>
        <v>1662167</v>
      </c>
      <c r="AT218" s="492">
        <f t="shared" si="255"/>
        <v>0</v>
      </c>
      <c r="AU218" s="492">
        <f t="shared" si="256"/>
        <v>561812</v>
      </c>
      <c r="AV218" s="492">
        <f t="shared" si="256"/>
        <v>33243</v>
      </c>
      <c r="AW218" s="492">
        <f t="shared" si="250"/>
        <v>0</v>
      </c>
      <c r="AX218" s="493">
        <f t="shared" si="251"/>
        <v>3.3159999999999998</v>
      </c>
      <c r="AY218" s="493">
        <f t="shared" si="257"/>
        <v>3.3159999999999998</v>
      </c>
      <c r="AZ218" s="495">
        <f t="shared" si="257"/>
        <v>0</v>
      </c>
    </row>
    <row r="219" spans="1:52" s="238" customFormat="1" ht="12.75" customHeight="1" x14ac:dyDescent="0.2">
      <c r="A219" s="225">
        <v>38</v>
      </c>
      <c r="B219" s="226">
        <v>4460</v>
      </c>
      <c r="C219" s="226">
        <v>600074579</v>
      </c>
      <c r="D219" s="226">
        <v>48283011</v>
      </c>
      <c r="E219" s="224" t="s">
        <v>223</v>
      </c>
      <c r="F219" s="226">
        <v>3143</v>
      </c>
      <c r="G219" s="176" t="s">
        <v>630</v>
      </c>
      <c r="H219" s="243" t="s">
        <v>279</v>
      </c>
      <c r="I219" s="494">
        <v>78623</v>
      </c>
      <c r="J219" s="489">
        <v>55599</v>
      </c>
      <c r="K219" s="489">
        <v>0</v>
      </c>
      <c r="L219" s="489">
        <v>18792</v>
      </c>
      <c r="M219" s="489">
        <v>1112</v>
      </c>
      <c r="N219" s="489">
        <v>3120</v>
      </c>
      <c r="O219" s="490">
        <v>0.22</v>
      </c>
      <c r="P219" s="491">
        <v>0</v>
      </c>
      <c r="Q219" s="500">
        <v>0.22</v>
      </c>
      <c r="R219" s="502">
        <f t="shared" si="239"/>
        <v>0</v>
      </c>
      <c r="S219" s="492">
        <v>0</v>
      </c>
      <c r="T219" s="492">
        <v>0</v>
      </c>
      <c r="U219" s="492">
        <v>0</v>
      </c>
      <c r="V219" s="492">
        <f t="shared" si="240"/>
        <v>0</v>
      </c>
      <c r="W219" s="492">
        <v>0</v>
      </c>
      <c r="X219" s="492">
        <v>0</v>
      </c>
      <c r="Y219" s="492">
        <v>0</v>
      </c>
      <c r="Z219" s="492">
        <f t="shared" si="241"/>
        <v>0</v>
      </c>
      <c r="AA219" s="492">
        <f t="shared" si="242"/>
        <v>0</v>
      </c>
      <c r="AB219" s="74">
        <f t="shared" si="243"/>
        <v>0</v>
      </c>
      <c r="AC219" s="74">
        <f t="shared" si="244"/>
        <v>0</v>
      </c>
      <c r="AD219" s="492">
        <v>0</v>
      </c>
      <c r="AE219" s="492">
        <v>0</v>
      </c>
      <c r="AF219" s="492">
        <f t="shared" si="245"/>
        <v>0</v>
      </c>
      <c r="AG219" s="492">
        <f t="shared" si="246"/>
        <v>0</v>
      </c>
      <c r="AH219" s="493">
        <v>0</v>
      </c>
      <c r="AI219" s="493">
        <v>0</v>
      </c>
      <c r="AJ219" s="493">
        <v>0</v>
      </c>
      <c r="AK219" s="493">
        <v>0</v>
      </c>
      <c r="AL219" s="493">
        <v>0</v>
      </c>
      <c r="AM219" s="493">
        <v>0</v>
      </c>
      <c r="AN219" s="493">
        <v>0</v>
      </c>
      <c r="AO219" s="493">
        <f t="shared" si="253"/>
        <v>0</v>
      </c>
      <c r="AP219" s="493">
        <f t="shared" si="254"/>
        <v>0</v>
      </c>
      <c r="AQ219" s="495">
        <f t="shared" si="247"/>
        <v>0</v>
      </c>
      <c r="AR219" s="501">
        <f t="shared" si="248"/>
        <v>78623</v>
      </c>
      <c r="AS219" s="492">
        <f t="shared" si="249"/>
        <v>55599</v>
      </c>
      <c r="AT219" s="492">
        <f t="shared" si="255"/>
        <v>0</v>
      </c>
      <c r="AU219" s="492">
        <f t="shared" si="256"/>
        <v>18792</v>
      </c>
      <c r="AV219" s="492">
        <f t="shared" si="256"/>
        <v>1112</v>
      </c>
      <c r="AW219" s="492">
        <f t="shared" si="250"/>
        <v>3120</v>
      </c>
      <c r="AX219" s="493">
        <f t="shared" si="251"/>
        <v>0.22</v>
      </c>
      <c r="AY219" s="493">
        <f t="shared" si="257"/>
        <v>0</v>
      </c>
      <c r="AZ219" s="495">
        <f t="shared" si="257"/>
        <v>0.22</v>
      </c>
    </row>
    <row r="220" spans="1:52" s="238" customFormat="1" ht="12.75" customHeight="1" x14ac:dyDescent="0.2">
      <c r="A220" s="166">
        <v>38</v>
      </c>
      <c r="B220" s="20">
        <v>4460</v>
      </c>
      <c r="C220" s="20">
        <v>600074579</v>
      </c>
      <c r="D220" s="20">
        <v>48283011</v>
      </c>
      <c r="E220" s="175" t="s">
        <v>224</v>
      </c>
      <c r="F220" s="20"/>
      <c r="G220" s="165"/>
      <c r="H220" s="199"/>
      <c r="I220" s="553">
        <v>40524057</v>
      </c>
      <c r="J220" s="550">
        <v>29202628</v>
      </c>
      <c r="K220" s="550">
        <v>127540</v>
      </c>
      <c r="L220" s="550">
        <v>9913596</v>
      </c>
      <c r="M220" s="550">
        <v>584053</v>
      </c>
      <c r="N220" s="550">
        <v>696240</v>
      </c>
      <c r="O220" s="551">
        <v>59.391300000000001</v>
      </c>
      <c r="P220" s="551">
        <v>40.460000000000008</v>
      </c>
      <c r="Q220" s="555">
        <v>18.9313</v>
      </c>
      <c r="R220" s="553">
        <f t="shared" ref="R220:AZ220" si="258">SUM(R214:R219)</f>
        <v>0</v>
      </c>
      <c r="S220" s="550">
        <f t="shared" si="258"/>
        <v>64958</v>
      </c>
      <c r="T220" s="550">
        <f t="shared" si="258"/>
        <v>0</v>
      </c>
      <c r="U220" s="550">
        <f t="shared" si="258"/>
        <v>0</v>
      </c>
      <c r="V220" s="550">
        <f t="shared" si="258"/>
        <v>64958</v>
      </c>
      <c r="W220" s="550">
        <f t="shared" si="258"/>
        <v>0</v>
      </c>
      <c r="X220" s="550">
        <f t="shared" si="258"/>
        <v>0</v>
      </c>
      <c r="Y220" s="550">
        <f t="shared" si="258"/>
        <v>0</v>
      </c>
      <c r="Z220" s="550">
        <f t="shared" si="258"/>
        <v>0</v>
      </c>
      <c r="AA220" s="550">
        <f t="shared" si="258"/>
        <v>64958</v>
      </c>
      <c r="AB220" s="550">
        <f t="shared" si="258"/>
        <v>21956</v>
      </c>
      <c r="AC220" s="550">
        <f t="shared" si="258"/>
        <v>1299</v>
      </c>
      <c r="AD220" s="550">
        <f t="shared" si="258"/>
        <v>0</v>
      </c>
      <c r="AE220" s="550">
        <f t="shared" si="258"/>
        <v>0</v>
      </c>
      <c r="AF220" s="550">
        <f t="shared" si="258"/>
        <v>0</v>
      </c>
      <c r="AG220" s="550">
        <f t="shared" si="258"/>
        <v>88213</v>
      </c>
      <c r="AH220" s="551">
        <f t="shared" si="258"/>
        <v>0</v>
      </c>
      <c r="AI220" s="551">
        <f t="shared" si="258"/>
        <v>0</v>
      </c>
      <c r="AJ220" s="551">
        <f t="shared" si="258"/>
        <v>0.19</v>
      </c>
      <c r="AK220" s="551">
        <f t="shared" si="258"/>
        <v>0</v>
      </c>
      <c r="AL220" s="551">
        <f t="shared" si="258"/>
        <v>0</v>
      </c>
      <c r="AM220" s="551">
        <f t="shared" si="258"/>
        <v>0</v>
      </c>
      <c r="AN220" s="551">
        <f t="shared" si="258"/>
        <v>0</v>
      </c>
      <c r="AO220" s="551">
        <f t="shared" si="258"/>
        <v>0.19</v>
      </c>
      <c r="AP220" s="551">
        <f t="shared" si="258"/>
        <v>0</v>
      </c>
      <c r="AQ220" s="44">
        <f t="shared" si="258"/>
        <v>0.19</v>
      </c>
      <c r="AR220" s="557">
        <f t="shared" si="258"/>
        <v>40612270</v>
      </c>
      <c r="AS220" s="550">
        <f t="shared" si="258"/>
        <v>29267586</v>
      </c>
      <c r="AT220" s="550">
        <f t="shared" si="258"/>
        <v>127540</v>
      </c>
      <c r="AU220" s="550">
        <f t="shared" si="258"/>
        <v>9935552</v>
      </c>
      <c r="AV220" s="550">
        <f t="shared" si="258"/>
        <v>585352</v>
      </c>
      <c r="AW220" s="550">
        <f t="shared" si="258"/>
        <v>696240</v>
      </c>
      <c r="AX220" s="551">
        <f t="shared" si="258"/>
        <v>59.581299999999999</v>
      </c>
      <c r="AY220" s="551">
        <f t="shared" si="258"/>
        <v>40.650000000000006</v>
      </c>
      <c r="AZ220" s="44">
        <f t="shared" si="258"/>
        <v>18.9313</v>
      </c>
    </row>
    <row r="221" spans="1:52" s="238" customFormat="1" ht="12.75" customHeight="1" x14ac:dyDescent="0.2">
      <c r="A221" s="225">
        <v>39</v>
      </c>
      <c r="B221" s="226">
        <v>4472</v>
      </c>
      <c r="C221" s="226">
        <v>600075095</v>
      </c>
      <c r="D221" s="226">
        <v>48282561</v>
      </c>
      <c r="E221" s="224" t="s">
        <v>225</v>
      </c>
      <c r="F221" s="226">
        <v>3231</v>
      </c>
      <c r="G221" s="176" t="s">
        <v>317</v>
      </c>
      <c r="H221" s="227" t="s">
        <v>278</v>
      </c>
      <c r="I221" s="494">
        <v>10158192</v>
      </c>
      <c r="J221" s="489">
        <v>7428692</v>
      </c>
      <c r="K221" s="489">
        <v>26000</v>
      </c>
      <c r="L221" s="489">
        <v>2519686</v>
      </c>
      <c r="M221" s="489">
        <v>148574</v>
      </c>
      <c r="N221" s="489">
        <v>35240</v>
      </c>
      <c r="O221" s="490">
        <v>13.783099999999999</v>
      </c>
      <c r="P221" s="491">
        <v>12.263</v>
      </c>
      <c r="Q221" s="500">
        <v>1.5201</v>
      </c>
      <c r="R221" s="502">
        <f t="shared" si="239"/>
        <v>0</v>
      </c>
      <c r="S221" s="492">
        <v>0</v>
      </c>
      <c r="T221" s="492">
        <v>0</v>
      </c>
      <c r="U221" s="492">
        <v>0</v>
      </c>
      <c r="V221" s="492">
        <f t="shared" si="240"/>
        <v>0</v>
      </c>
      <c r="W221" s="492">
        <v>0</v>
      </c>
      <c r="X221" s="492">
        <v>0</v>
      </c>
      <c r="Y221" s="492">
        <v>0</v>
      </c>
      <c r="Z221" s="492">
        <f t="shared" si="241"/>
        <v>0</v>
      </c>
      <c r="AA221" s="492">
        <f t="shared" si="242"/>
        <v>0</v>
      </c>
      <c r="AB221" s="74">
        <f t="shared" si="243"/>
        <v>0</v>
      </c>
      <c r="AC221" s="74">
        <f t="shared" si="244"/>
        <v>0</v>
      </c>
      <c r="AD221" s="492">
        <v>0</v>
      </c>
      <c r="AE221" s="492">
        <v>0</v>
      </c>
      <c r="AF221" s="492">
        <f t="shared" si="245"/>
        <v>0</v>
      </c>
      <c r="AG221" s="492">
        <f t="shared" si="246"/>
        <v>0</v>
      </c>
      <c r="AH221" s="493">
        <v>0</v>
      </c>
      <c r="AI221" s="493">
        <v>0</v>
      </c>
      <c r="AJ221" s="493">
        <v>0</v>
      </c>
      <c r="AK221" s="493">
        <v>0</v>
      </c>
      <c r="AL221" s="493">
        <v>0</v>
      </c>
      <c r="AM221" s="493">
        <v>0</v>
      </c>
      <c r="AN221" s="493">
        <v>0</v>
      </c>
      <c r="AO221" s="493">
        <f>AH221+AJ221+AM221+AK221</f>
        <v>0</v>
      </c>
      <c r="AP221" s="493">
        <f>AI221+AN221+AL221</f>
        <v>0</v>
      </c>
      <c r="AQ221" s="495">
        <f t="shared" si="247"/>
        <v>0</v>
      </c>
      <c r="AR221" s="501">
        <f t="shared" si="248"/>
        <v>10158192</v>
      </c>
      <c r="AS221" s="492">
        <f t="shared" si="249"/>
        <v>7428692</v>
      </c>
      <c r="AT221" s="492">
        <f>K221+Z221</f>
        <v>26000</v>
      </c>
      <c r="AU221" s="492">
        <f>L221+AB221</f>
        <v>2519686</v>
      </c>
      <c r="AV221" s="492">
        <f>M221+AC221</f>
        <v>148574</v>
      </c>
      <c r="AW221" s="492">
        <f t="shared" si="250"/>
        <v>35240</v>
      </c>
      <c r="AX221" s="493">
        <f t="shared" si="251"/>
        <v>13.783099999999999</v>
      </c>
      <c r="AY221" s="493">
        <f>P221+AO221</f>
        <v>12.263</v>
      </c>
      <c r="AZ221" s="495">
        <f>Q221+AP221</f>
        <v>1.5201</v>
      </c>
    </row>
    <row r="222" spans="1:52" s="238" customFormat="1" ht="12.75" customHeight="1" x14ac:dyDescent="0.2">
      <c r="A222" s="166">
        <v>39</v>
      </c>
      <c r="B222" s="20">
        <v>4472</v>
      </c>
      <c r="C222" s="20">
        <v>600075095</v>
      </c>
      <c r="D222" s="20">
        <v>48282561</v>
      </c>
      <c r="E222" s="175" t="s">
        <v>226</v>
      </c>
      <c r="F222" s="20"/>
      <c r="G222" s="165"/>
      <c r="H222" s="199"/>
      <c r="I222" s="553">
        <v>10158192</v>
      </c>
      <c r="J222" s="550">
        <v>7428692</v>
      </c>
      <c r="K222" s="550">
        <v>26000</v>
      </c>
      <c r="L222" s="550">
        <v>2519686</v>
      </c>
      <c r="M222" s="550">
        <v>148574</v>
      </c>
      <c r="N222" s="550">
        <v>35240</v>
      </c>
      <c r="O222" s="551">
        <v>13.783099999999999</v>
      </c>
      <c r="P222" s="551">
        <v>12.263</v>
      </c>
      <c r="Q222" s="555">
        <v>1.5201</v>
      </c>
      <c r="R222" s="553">
        <f t="shared" ref="R222:AZ222" si="259">SUM(R221)</f>
        <v>0</v>
      </c>
      <c r="S222" s="550">
        <f t="shared" si="259"/>
        <v>0</v>
      </c>
      <c r="T222" s="550">
        <f t="shared" si="259"/>
        <v>0</v>
      </c>
      <c r="U222" s="550">
        <f t="shared" si="259"/>
        <v>0</v>
      </c>
      <c r="V222" s="550">
        <f t="shared" si="259"/>
        <v>0</v>
      </c>
      <c r="W222" s="550">
        <f t="shared" si="259"/>
        <v>0</v>
      </c>
      <c r="X222" s="550">
        <f t="shared" si="259"/>
        <v>0</v>
      </c>
      <c r="Y222" s="550">
        <f t="shared" si="259"/>
        <v>0</v>
      </c>
      <c r="Z222" s="550">
        <f t="shared" si="259"/>
        <v>0</v>
      </c>
      <c r="AA222" s="550">
        <f t="shared" si="259"/>
        <v>0</v>
      </c>
      <c r="AB222" s="550">
        <f t="shared" si="259"/>
        <v>0</v>
      </c>
      <c r="AC222" s="550">
        <f t="shared" si="259"/>
        <v>0</v>
      </c>
      <c r="AD222" s="550">
        <f t="shared" si="259"/>
        <v>0</v>
      </c>
      <c r="AE222" s="550">
        <f t="shared" si="259"/>
        <v>0</v>
      </c>
      <c r="AF222" s="550">
        <f t="shared" si="259"/>
        <v>0</v>
      </c>
      <c r="AG222" s="550">
        <f t="shared" si="259"/>
        <v>0</v>
      </c>
      <c r="AH222" s="551">
        <f t="shared" si="259"/>
        <v>0</v>
      </c>
      <c r="AI222" s="551">
        <f t="shared" si="259"/>
        <v>0</v>
      </c>
      <c r="AJ222" s="551">
        <f t="shared" si="259"/>
        <v>0</v>
      </c>
      <c r="AK222" s="551">
        <f t="shared" si="259"/>
        <v>0</v>
      </c>
      <c r="AL222" s="551">
        <f t="shared" si="259"/>
        <v>0</v>
      </c>
      <c r="AM222" s="551">
        <f t="shared" si="259"/>
        <v>0</v>
      </c>
      <c r="AN222" s="551">
        <f t="shared" si="259"/>
        <v>0</v>
      </c>
      <c r="AO222" s="551">
        <f t="shared" si="259"/>
        <v>0</v>
      </c>
      <c r="AP222" s="551">
        <f t="shared" si="259"/>
        <v>0</v>
      </c>
      <c r="AQ222" s="44">
        <f t="shared" si="259"/>
        <v>0</v>
      </c>
      <c r="AR222" s="557">
        <f t="shared" si="259"/>
        <v>10158192</v>
      </c>
      <c r="AS222" s="550">
        <f t="shared" si="259"/>
        <v>7428692</v>
      </c>
      <c r="AT222" s="550">
        <f t="shared" si="259"/>
        <v>26000</v>
      </c>
      <c r="AU222" s="550">
        <f t="shared" si="259"/>
        <v>2519686</v>
      </c>
      <c r="AV222" s="550">
        <f t="shared" si="259"/>
        <v>148574</v>
      </c>
      <c r="AW222" s="550">
        <f t="shared" si="259"/>
        <v>35240</v>
      </c>
      <c r="AX222" s="551">
        <f t="shared" si="259"/>
        <v>13.783099999999999</v>
      </c>
      <c r="AY222" s="551">
        <f t="shared" si="259"/>
        <v>12.263</v>
      </c>
      <c r="AZ222" s="44">
        <f t="shared" si="259"/>
        <v>1.5201</v>
      </c>
    </row>
    <row r="223" spans="1:52" s="238" customFormat="1" ht="12.75" customHeight="1" x14ac:dyDescent="0.2">
      <c r="A223" s="225">
        <v>40</v>
      </c>
      <c r="B223" s="226">
        <v>4418</v>
      </c>
      <c r="C223" s="226">
        <v>600074048</v>
      </c>
      <c r="D223" s="226">
        <v>72742411</v>
      </c>
      <c r="E223" s="224" t="s">
        <v>227</v>
      </c>
      <c r="F223" s="226">
        <v>3111</v>
      </c>
      <c r="G223" s="176" t="s">
        <v>312</v>
      </c>
      <c r="H223" s="227" t="s">
        <v>278</v>
      </c>
      <c r="I223" s="494">
        <v>2139820</v>
      </c>
      <c r="J223" s="489">
        <v>1536734</v>
      </c>
      <c r="K223" s="489">
        <v>32500</v>
      </c>
      <c r="L223" s="489">
        <v>530401</v>
      </c>
      <c r="M223" s="489">
        <v>30735</v>
      </c>
      <c r="N223" s="489">
        <v>9450</v>
      </c>
      <c r="O223" s="490">
        <v>3.0758000000000001</v>
      </c>
      <c r="P223" s="491">
        <v>2.3609</v>
      </c>
      <c r="Q223" s="500">
        <v>0.7149000000000002</v>
      </c>
      <c r="R223" s="502">
        <f t="shared" si="239"/>
        <v>0</v>
      </c>
      <c r="S223" s="492">
        <v>0</v>
      </c>
      <c r="T223" s="492">
        <v>0</v>
      </c>
      <c r="U223" s="492">
        <v>0</v>
      </c>
      <c r="V223" s="492">
        <f t="shared" si="240"/>
        <v>0</v>
      </c>
      <c r="W223" s="492">
        <v>0</v>
      </c>
      <c r="X223" s="492">
        <v>0</v>
      </c>
      <c r="Y223" s="492">
        <v>0</v>
      </c>
      <c r="Z223" s="492">
        <f t="shared" si="241"/>
        <v>0</v>
      </c>
      <c r="AA223" s="492">
        <f t="shared" si="242"/>
        <v>0</v>
      </c>
      <c r="AB223" s="74">
        <f t="shared" si="243"/>
        <v>0</v>
      </c>
      <c r="AC223" s="74">
        <f t="shared" si="244"/>
        <v>0</v>
      </c>
      <c r="AD223" s="492">
        <v>0</v>
      </c>
      <c r="AE223" s="492">
        <v>0</v>
      </c>
      <c r="AF223" s="492">
        <f t="shared" si="245"/>
        <v>0</v>
      </c>
      <c r="AG223" s="492">
        <f t="shared" si="246"/>
        <v>0</v>
      </c>
      <c r="AH223" s="493">
        <v>0</v>
      </c>
      <c r="AI223" s="493">
        <v>0</v>
      </c>
      <c r="AJ223" s="493">
        <v>0</v>
      </c>
      <c r="AK223" s="493">
        <v>0</v>
      </c>
      <c r="AL223" s="493">
        <v>0</v>
      </c>
      <c r="AM223" s="493">
        <v>0</v>
      </c>
      <c r="AN223" s="493">
        <v>0</v>
      </c>
      <c r="AO223" s="493">
        <f t="shared" ref="AO223:AO225" si="260">AH223+AJ223+AM223+AK223</f>
        <v>0</v>
      </c>
      <c r="AP223" s="493">
        <f t="shared" ref="AP223:AP225" si="261">AI223+AN223+AL223</f>
        <v>0</v>
      </c>
      <c r="AQ223" s="495">
        <f t="shared" si="247"/>
        <v>0</v>
      </c>
      <c r="AR223" s="501">
        <f t="shared" si="248"/>
        <v>2139820</v>
      </c>
      <c r="AS223" s="492">
        <f t="shared" si="249"/>
        <v>1536734</v>
      </c>
      <c r="AT223" s="492">
        <f t="shared" ref="AT223:AT225" si="262">K223+Z223</f>
        <v>32500</v>
      </c>
      <c r="AU223" s="492">
        <f t="shared" ref="AU223:AV225" si="263">L223+AB223</f>
        <v>530401</v>
      </c>
      <c r="AV223" s="492">
        <f t="shared" si="263"/>
        <v>30735</v>
      </c>
      <c r="AW223" s="492">
        <f t="shared" si="250"/>
        <v>9450</v>
      </c>
      <c r="AX223" s="493">
        <f t="shared" si="251"/>
        <v>3.0758000000000001</v>
      </c>
      <c r="AY223" s="493">
        <f t="shared" ref="AY223:AZ225" si="264">P223+AO223</f>
        <v>2.3609</v>
      </c>
      <c r="AZ223" s="495">
        <f t="shared" si="264"/>
        <v>0.7149000000000002</v>
      </c>
    </row>
    <row r="224" spans="1:52" s="238" customFormat="1" ht="12.75" customHeight="1" x14ac:dyDescent="0.2">
      <c r="A224" s="225">
        <v>40</v>
      </c>
      <c r="B224" s="226">
        <v>4418</v>
      </c>
      <c r="C224" s="226">
        <v>600074048</v>
      </c>
      <c r="D224" s="226">
        <v>72742411</v>
      </c>
      <c r="E224" s="224" t="s">
        <v>227</v>
      </c>
      <c r="F224" s="226">
        <v>3111</v>
      </c>
      <c r="G224" s="176" t="s">
        <v>313</v>
      </c>
      <c r="H224" s="227" t="s">
        <v>279</v>
      </c>
      <c r="I224" s="494">
        <v>235235</v>
      </c>
      <c r="J224" s="489">
        <v>173222</v>
      </c>
      <c r="K224" s="489">
        <v>0</v>
      </c>
      <c r="L224" s="489">
        <v>58549</v>
      </c>
      <c r="M224" s="489">
        <v>3464</v>
      </c>
      <c r="N224" s="489">
        <v>0</v>
      </c>
      <c r="O224" s="490">
        <v>0.5</v>
      </c>
      <c r="P224" s="491">
        <v>0.5</v>
      </c>
      <c r="Q224" s="500">
        <v>0</v>
      </c>
      <c r="R224" s="502">
        <f t="shared" si="239"/>
        <v>0</v>
      </c>
      <c r="S224" s="492">
        <v>0</v>
      </c>
      <c r="T224" s="492">
        <v>0</v>
      </c>
      <c r="U224" s="492">
        <v>0</v>
      </c>
      <c r="V224" s="492">
        <f t="shared" si="240"/>
        <v>0</v>
      </c>
      <c r="W224" s="492">
        <v>0</v>
      </c>
      <c r="X224" s="492">
        <v>0</v>
      </c>
      <c r="Y224" s="492">
        <v>0</v>
      </c>
      <c r="Z224" s="492">
        <f t="shared" si="241"/>
        <v>0</v>
      </c>
      <c r="AA224" s="492">
        <f t="shared" si="242"/>
        <v>0</v>
      </c>
      <c r="AB224" s="74">
        <f t="shared" si="243"/>
        <v>0</v>
      </c>
      <c r="AC224" s="74">
        <f t="shared" si="244"/>
        <v>0</v>
      </c>
      <c r="AD224" s="492">
        <v>0</v>
      </c>
      <c r="AE224" s="492">
        <v>0</v>
      </c>
      <c r="AF224" s="492">
        <f t="shared" si="245"/>
        <v>0</v>
      </c>
      <c r="AG224" s="492">
        <f t="shared" si="246"/>
        <v>0</v>
      </c>
      <c r="AH224" s="493">
        <v>0</v>
      </c>
      <c r="AI224" s="493">
        <v>0</v>
      </c>
      <c r="AJ224" s="493">
        <v>0</v>
      </c>
      <c r="AK224" s="493">
        <v>0</v>
      </c>
      <c r="AL224" s="493">
        <v>0</v>
      </c>
      <c r="AM224" s="493">
        <v>0</v>
      </c>
      <c r="AN224" s="493">
        <v>0</v>
      </c>
      <c r="AO224" s="493">
        <f t="shared" si="260"/>
        <v>0</v>
      </c>
      <c r="AP224" s="493">
        <f t="shared" si="261"/>
        <v>0</v>
      </c>
      <c r="AQ224" s="495">
        <f t="shared" si="247"/>
        <v>0</v>
      </c>
      <c r="AR224" s="501">
        <f t="shared" si="248"/>
        <v>235235</v>
      </c>
      <c r="AS224" s="492">
        <f t="shared" si="249"/>
        <v>173222</v>
      </c>
      <c r="AT224" s="492">
        <f t="shared" si="262"/>
        <v>0</v>
      </c>
      <c r="AU224" s="492">
        <f t="shared" si="263"/>
        <v>58549</v>
      </c>
      <c r="AV224" s="492">
        <f t="shared" si="263"/>
        <v>3464</v>
      </c>
      <c r="AW224" s="492">
        <f t="shared" si="250"/>
        <v>0</v>
      </c>
      <c r="AX224" s="493">
        <f t="shared" si="251"/>
        <v>0.5</v>
      </c>
      <c r="AY224" s="493">
        <f t="shared" si="264"/>
        <v>0.5</v>
      </c>
      <c r="AZ224" s="495">
        <f t="shared" si="264"/>
        <v>0</v>
      </c>
    </row>
    <row r="225" spans="1:52" s="238" customFormat="1" ht="12.75" customHeight="1" x14ac:dyDescent="0.2">
      <c r="A225" s="225">
        <v>40</v>
      </c>
      <c r="B225" s="226">
        <v>4418</v>
      </c>
      <c r="C225" s="226">
        <v>600074048</v>
      </c>
      <c r="D225" s="226">
        <v>72742411</v>
      </c>
      <c r="E225" s="219" t="s">
        <v>227</v>
      </c>
      <c r="F225" s="226">
        <v>3141</v>
      </c>
      <c r="G225" s="176" t="s">
        <v>316</v>
      </c>
      <c r="H225" s="227" t="s">
        <v>279</v>
      </c>
      <c r="I225" s="494">
        <v>404690</v>
      </c>
      <c r="J225" s="489">
        <v>293777</v>
      </c>
      <c r="K225" s="489">
        <v>3250</v>
      </c>
      <c r="L225" s="489">
        <v>100395</v>
      </c>
      <c r="M225" s="489">
        <v>5876</v>
      </c>
      <c r="N225" s="489">
        <v>1392</v>
      </c>
      <c r="O225" s="490">
        <v>0.94</v>
      </c>
      <c r="P225" s="491">
        <v>0</v>
      </c>
      <c r="Q225" s="500">
        <v>0.94</v>
      </c>
      <c r="R225" s="502">
        <f t="shared" si="239"/>
        <v>0</v>
      </c>
      <c r="S225" s="492">
        <v>0</v>
      </c>
      <c r="T225" s="492">
        <v>0</v>
      </c>
      <c r="U225" s="492">
        <v>0</v>
      </c>
      <c r="V225" s="492">
        <f t="shared" si="240"/>
        <v>0</v>
      </c>
      <c r="W225" s="492">
        <v>0</v>
      </c>
      <c r="X225" s="492">
        <v>0</v>
      </c>
      <c r="Y225" s="492">
        <v>0</v>
      </c>
      <c r="Z225" s="492">
        <f t="shared" si="241"/>
        <v>0</v>
      </c>
      <c r="AA225" s="492">
        <f t="shared" si="242"/>
        <v>0</v>
      </c>
      <c r="AB225" s="74">
        <f t="shared" si="243"/>
        <v>0</v>
      </c>
      <c r="AC225" s="74">
        <f t="shared" si="244"/>
        <v>0</v>
      </c>
      <c r="AD225" s="492">
        <v>0</v>
      </c>
      <c r="AE225" s="492">
        <v>0</v>
      </c>
      <c r="AF225" s="492">
        <f t="shared" si="245"/>
        <v>0</v>
      </c>
      <c r="AG225" s="492">
        <f t="shared" si="246"/>
        <v>0</v>
      </c>
      <c r="AH225" s="493">
        <v>0</v>
      </c>
      <c r="AI225" s="493">
        <v>0</v>
      </c>
      <c r="AJ225" s="493">
        <v>0</v>
      </c>
      <c r="AK225" s="493">
        <v>0</v>
      </c>
      <c r="AL225" s="493">
        <v>0</v>
      </c>
      <c r="AM225" s="493">
        <v>0</v>
      </c>
      <c r="AN225" s="493">
        <v>0</v>
      </c>
      <c r="AO225" s="493">
        <f t="shared" si="260"/>
        <v>0</v>
      </c>
      <c r="AP225" s="493">
        <f t="shared" si="261"/>
        <v>0</v>
      </c>
      <c r="AQ225" s="495">
        <f t="shared" si="247"/>
        <v>0</v>
      </c>
      <c r="AR225" s="501">
        <f t="shared" si="248"/>
        <v>404690</v>
      </c>
      <c r="AS225" s="492">
        <f t="shared" si="249"/>
        <v>293777</v>
      </c>
      <c r="AT225" s="492">
        <f t="shared" si="262"/>
        <v>3250</v>
      </c>
      <c r="AU225" s="492">
        <f t="shared" si="263"/>
        <v>100395</v>
      </c>
      <c r="AV225" s="492">
        <f t="shared" si="263"/>
        <v>5876</v>
      </c>
      <c r="AW225" s="492">
        <f t="shared" si="250"/>
        <v>1392</v>
      </c>
      <c r="AX225" s="493">
        <f t="shared" si="251"/>
        <v>0.94</v>
      </c>
      <c r="AY225" s="493">
        <f t="shared" si="264"/>
        <v>0</v>
      </c>
      <c r="AZ225" s="495">
        <f t="shared" si="264"/>
        <v>0.94</v>
      </c>
    </row>
    <row r="226" spans="1:52" s="238" customFormat="1" ht="12.75" customHeight="1" x14ac:dyDescent="0.2">
      <c r="A226" s="166">
        <v>40</v>
      </c>
      <c r="B226" s="20">
        <v>4418</v>
      </c>
      <c r="C226" s="20">
        <v>600074048</v>
      </c>
      <c r="D226" s="20">
        <v>72742411</v>
      </c>
      <c r="E226" s="175" t="s">
        <v>228</v>
      </c>
      <c r="F226" s="20"/>
      <c r="G226" s="165"/>
      <c r="H226" s="199"/>
      <c r="I226" s="553">
        <v>2779745</v>
      </c>
      <c r="J226" s="550">
        <v>2003733</v>
      </c>
      <c r="K226" s="550">
        <v>35750</v>
      </c>
      <c r="L226" s="550">
        <v>689345</v>
      </c>
      <c r="M226" s="550">
        <v>40075</v>
      </c>
      <c r="N226" s="550">
        <v>10842</v>
      </c>
      <c r="O226" s="551">
        <v>4.5158000000000005</v>
      </c>
      <c r="P226" s="551">
        <v>2.8609</v>
      </c>
      <c r="Q226" s="555">
        <v>1.6549</v>
      </c>
      <c r="R226" s="553">
        <f t="shared" ref="R226:AZ226" si="265">SUM(R223:R225)</f>
        <v>0</v>
      </c>
      <c r="S226" s="550">
        <f t="shared" si="265"/>
        <v>0</v>
      </c>
      <c r="T226" s="550">
        <f t="shared" si="265"/>
        <v>0</v>
      </c>
      <c r="U226" s="550">
        <f t="shared" si="265"/>
        <v>0</v>
      </c>
      <c r="V226" s="550">
        <f t="shared" si="265"/>
        <v>0</v>
      </c>
      <c r="W226" s="550">
        <f t="shared" si="265"/>
        <v>0</v>
      </c>
      <c r="X226" s="550">
        <f t="shared" si="265"/>
        <v>0</v>
      </c>
      <c r="Y226" s="550">
        <f t="shared" si="265"/>
        <v>0</v>
      </c>
      <c r="Z226" s="550">
        <f t="shared" si="265"/>
        <v>0</v>
      </c>
      <c r="AA226" s="550">
        <f t="shared" si="265"/>
        <v>0</v>
      </c>
      <c r="AB226" s="550">
        <f t="shared" si="265"/>
        <v>0</v>
      </c>
      <c r="AC226" s="550">
        <f t="shared" si="265"/>
        <v>0</v>
      </c>
      <c r="AD226" s="550">
        <f t="shared" si="265"/>
        <v>0</v>
      </c>
      <c r="AE226" s="550">
        <f t="shared" si="265"/>
        <v>0</v>
      </c>
      <c r="AF226" s="550">
        <f t="shared" si="265"/>
        <v>0</v>
      </c>
      <c r="AG226" s="550">
        <f t="shared" si="265"/>
        <v>0</v>
      </c>
      <c r="AH226" s="551">
        <f t="shared" si="265"/>
        <v>0</v>
      </c>
      <c r="AI226" s="551">
        <f t="shared" si="265"/>
        <v>0</v>
      </c>
      <c r="AJ226" s="551">
        <f t="shared" si="265"/>
        <v>0</v>
      </c>
      <c r="AK226" s="551">
        <f t="shared" si="265"/>
        <v>0</v>
      </c>
      <c r="AL226" s="551">
        <f t="shared" si="265"/>
        <v>0</v>
      </c>
      <c r="AM226" s="551">
        <f t="shared" si="265"/>
        <v>0</v>
      </c>
      <c r="AN226" s="551">
        <f t="shared" si="265"/>
        <v>0</v>
      </c>
      <c r="AO226" s="551">
        <f t="shared" si="265"/>
        <v>0</v>
      </c>
      <c r="AP226" s="551">
        <f t="shared" si="265"/>
        <v>0</v>
      </c>
      <c r="AQ226" s="44">
        <f t="shared" si="265"/>
        <v>0</v>
      </c>
      <c r="AR226" s="557">
        <f t="shared" si="265"/>
        <v>2779745</v>
      </c>
      <c r="AS226" s="550">
        <f t="shared" si="265"/>
        <v>2003733</v>
      </c>
      <c r="AT226" s="550">
        <f t="shared" si="265"/>
        <v>35750</v>
      </c>
      <c r="AU226" s="550">
        <f t="shared" si="265"/>
        <v>689345</v>
      </c>
      <c r="AV226" s="550">
        <f t="shared" si="265"/>
        <v>40075</v>
      </c>
      <c r="AW226" s="550">
        <f t="shared" si="265"/>
        <v>10842</v>
      </c>
      <c r="AX226" s="551">
        <f t="shared" si="265"/>
        <v>4.5158000000000005</v>
      </c>
      <c r="AY226" s="551">
        <f t="shared" si="265"/>
        <v>2.8609</v>
      </c>
      <c r="AZ226" s="44">
        <f t="shared" si="265"/>
        <v>1.6549</v>
      </c>
    </row>
    <row r="227" spans="1:52" s="238" customFormat="1" ht="12.75" customHeight="1" x14ac:dyDescent="0.2">
      <c r="A227" s="225">
        <v>41</v>
      </c>
      <c r="B227" s="226">
        <v>4432</v>
      </c>
      <c r="C227" s="226">
        <v>600074625</v>
      </c>
      <c r="D227" s="226">
        <v>70695903</v>
      </c>
      <c r="E227" s="224" t="s">
        <v>229</v>
      </c>
      <c r="F227" s="226">
        <v>3111</v>
      </c>
      <c r="G227" s="176" t="s">
        <v>312</v>
      </c>
      <c r="H227" s="227" t="s">
        <v>278</v>
      </c>
      <c r="I227" s="494">
        <v>1562886</v>
      </c>
      <c r="J227" s="489">
        <v>1143583</v>
      </c>
      <c r="K227" s="489">
        <v>0</v>
      </c>
      <c r="L227" s="489">
        <v>386531</v>
      </c>
      <c r="M227" s="489">
        <v>22872</v>
      </c>
      <c r="N227" s="489">
        <v>9900</v>
      </c>
      <c r="O227" s="490">
        <v>2.5608999999999997</v>
      </c>
      <c r="P227" s="491">
        <v>2.0499999999999998</v>
      </c>
      <c r="Q227" s="500">
        <v>0.51090000000000002</v>
      </c>
      <c r="R227" s="502">
        <f t="shared" si="239"/>
        <v>0</v>
      </c>
      <c r="S227" s="492">
        <v>0</v>
      </c>
      <c r="T227" s="492">
        <v>0</v>
      </c>
      <c r="U227" s="492">
        <v>0</v>
      </c>
      <c r="V227" s="492">
        <f t="shared" si="240"/>
        <v>0</v>
      </c>
      <c r="W227" s="492">
        <v>0</v>
      </c>
      <c r="X227" s="492">
        <v>0</v>
      </c>
      <c r="Y227" s="492">
        <v>0</v>
      </c>
      <c r="Z227" s="492">
        <f t="shared" si="241"/>
        <v>0</v>
      </c>
      <c r="AA227" s="492">
        <f t="shared" si="242"/>
        <v>0</v>
      </c>
      <c r="AB227" s="74">
        <f t="shared" si="243"/>
        <v>0</v>
      </c>
      <c r="AC227" s="74">
        <f t="shared" si="244"/>
        <v>0</v>
      </c>
      <c r="AD227" s="492">
        <v>0</v>
      </c>
      <c r="AE227" s="492">
        <v>0</v>
      </c>
      <c r="AF227" s="492">
        <f t="shared" si="245"/>
        <v>0</v>
      </c>
      <c r="AG227" s="492">
        <f t="shared" si="246"/>
        <v>0</v>
      </c>
      <c r="AH227" s="493">
        <v>0</v>
      </c>
      <c r="AI227" s="493">
        <v>0</v>
      </c>
      <c r="AJ227" s="493">
        <v>0</v>
      </c>
      <c r="AK227" s="493">
        <v>0</v>
      </c>
      <c r="AL227" s="493">
        <v>0</v>
      </c>
      <c r="AM227" s="493">
        <v>0</v>
      </c>
      <c r="AN227" s="493">
        <v>0</v>
      </c>
      <c r="AO227" s="493">
        <f t="shared" ref="AO227:AO232" si="266">AH227+AJ227+AM227+AK227</f>
        <v>0</v>
      </c>
      <c r="AP227" s="493">
        <f t="shared" ref="AP227:AP232" si="267">AI227+AN227+AL227</f>
        <v>0</v>
      </c>
      <c r="AQ227" s="495">
        <f t="shared" si="247"/>
        <v>0</v>
      </c>
      <c r="AR227" s="501">
        <f t="shared" si="248"/>
        <v>1562886</v>
      </c>
      <c r="AS227" s="492">
        <f t="shared" si="249"/>
        <v>1143583</v>
      </c>
      <c r="AT227" s="492">
        <f t="shared" ref="AT227:AT232" si="268">K227+Z227</f>
        <v>0</v>
      </c>
      <c r="AU227" s="492">
        <f t="shared" ref="AU227:AV232" si="269">L227+AB227</f>
        <v>386531</v>
      </c>
      <c r="AV227" s="492">
        <f t="shared" si="269"/>
        <v>22872</v>
      </c>
      <c r="AW227" s="492">
        <f t="shared" si="250"/>
        <v>9900</v>
      </c>
      <c r="AX227" s="493">
        <f t="shared" si="251"/>
        <v>2.5608999999999997</v>
      </c>
      <c r="AY227" s="493">
        <f t="shared" ref="AY227:AZ232" si="270">P227+AO227</f>
        <v>2.0499999999999998</v>
      </c>
      <c r="AZ227" s="495">
        <f t="shared" si="270"/>
        <v>0.51090000000000002</v>
      </c>
    </row>
    <row r="228" spans="1:52" s="238" customFormat="1" ht="12.75" customHeight="1" x14ac:dyDescent="0.2">
      <c r="A228" s="225">
        <v>41</v>
      </c>
      <c r="B228" s="226">
        <v>4432</v>
      </c>
      <c r="C228" s="226">
        <v>600074625</v>
      </c>
      <c r="D228" s="226">
        <v>70695903</v>
      </c>
      <c r="E228" s="224" t="s">
        <v>229</v>
      </c>
      <c r="F228" s="226">
        <v>3117</v>
      </c>
      <c r="G228" s="176" t="s">
        <v>315</v>
      </c>
      <c r="H228" s="227" t="s">
        <v>278</v>
      </c>
      <c r="I228" s="494">
        <v>2798150</v>
      </c>
      <c r="J228" s="489">
        <v>2029014</v>
      </c>
      <c r="K228" s="489">
        <v>0</v>
      </c>
      <c r="L228" s="489">
        <v>685806</v>
      </c>
      <c r="M228" s="489">
        <v>40580</v>
      </c>
      <c r="N228" s="489">
        <v>42750</v>
      </c>
      <c r="O228" s="490">
        <v>3.9054000000000002</v>
      </c>
      <c r="P228" s="491">
        <v>2.8330000000000002</v>
      </c>
      <c r="Q228" s="500">
        <v>1.0724</v>
      </c>
      <c r="R228" s="502">
        <f t="shared" si="239"/>
        <v>0</v>
      </c>
      <c r="S228" s="492">
        <v>0</v>
      </c>
      <c r="T228" s="492">
        <v>0</v>
      </c>
      <c r="U228" s="492">
        <v>0</v>
      </c>
      <c r="V228" s="492">
        <f t="shared" si="240"/>
        <v>0</v>
      </c>
      <c r="W228" s="492">
        <v>0</v>
      </c>
      <c r="X228" s="492">
        <v>0</v>
      </c>
      <c r="Y228" s="492">
        <v>0</v>
      </c>
      <c r="Z228" s="492">
        <f t="shared" si="241"/>
        <v>0</v>
      </c>
      <c r="AA228" s="492">
        <f t="shared" si="242"/>
        <v>0</v>
      </c>
      <c r="AB228" s="74">
        <f t="shared" si="243"/>
        <v>0</v>
      </c>
      <c r="AC228" s="74">
        <f t="shared" si="244"/>
        <v>0</v>
      </c>
      <c r="AD228" s="492">
        <v>0</v>
      </c>
      <c r="AE228" s="492">
        <v>0</v>
      </c>
      <c r="AF228" s="492">
        <f t="shared" si="245"/>
        <v>0</v>
      </c>
      <c r="AG228" s="492">
        <f t="shared" si="246"/>
        <v>0</v>
      </c>
      <c r="AH228" s="493">
        <v>0</v>
      </c>
      <c r="AI228" s="493">
        <v>0</v>
      </c>
      <c r="AJ228" s="493">
        <v>0</v>
      </c>
      <c r="AK228" s="493">
        <v>0</v>
      </c>
      <c r="AL228" s="493">
        <v>0</v>
      </c>
      <c r="AM228" s="493">
        <v>0</v>
      </c>
      <c r="AN228" s="493">
        <v>0</v>
      </c>
      <c r="AO228" s="493">
        <f t="shared" si="266"/>
        <v>0</v>
      </c>
      <c r="AP228" s="493">
        <f t="shared" si="267"/>
        <v>0</v>
      </c>
      <c r="AQ228" s="495">
        <f t="shared" si="247"/>
        <v>0</v>
      </c>
      <c r="AR228" s="501">
        <f t="shared" si="248"/>
        <v>2798150</v>
      </c>
      <c r="AS228" s="492">
        <f t="shared" si="249"/>
        <v>2029014</v>
      </c>
      <c r="AT228" s="492">
        <f t="shared" si="268"/>
        <v>0</v>
      </c>
      <c r="AU228" s="492">
        <f t="shared" si="269"/>
        <v>685806</v>
      </c>
      <c r="AV228" s="492">
        <f t="shared" si="269"/>
        <v>40580</v>
      </c>
      <c r="AW228" s="492">
        <f t="shared" si="250"/>
        <v>42750</v>
      </c>
      <c r="AX228" s="493">
        <f t="shared" si="251"/>
        <v>3.9054000000000002</v>
      </c>
      <c r="AY228" s="493">
        <f t="shared" si="270"/>
        <v>2.8330000000000002</v>
      </c>
      <c r="AZ228" s="495">
        <f t="shared" si="270"/>
        <v>1.0724</v>
      </c>
    </row>
    <row r="229" spans="1:52" s="238" customFormat="1" ht="12.75" customHeight="1" x14ac:dyDescent="0.2">
      <c r="A229" s="225">
        <v>41</v>
      </c>
      <c r="B229" s="226">
        <v>4432</v>
      </c>
      <c r="C229" s="226">
        <v>600074625</v>
      </c>
      <c r="D229" s="226">
        <v>70695903</v>
      </c>
      <c r="E229" s="224" t="s">
        <v>229</v>
      </c>
      <c r="F229" s="226">
        <v>3117</v>
      </c>
      <c r="G229" s="176" t="s">
        <v>313</v>
      </c>
      <c r="H229" s="227" t="s">
        <v>279</v>
      </c>
      <c r="I229" s="494">
        <v>1783842</v>
      </c>
      <c r="J229" s="489">
        <v>1308794</v>
      </c>
      <c r="K229" s="489">
        <v>0</v>
      </c>
      <c r="L229" s="489">
        <v>442372</v>
      </c>
      <c r="M229" s="489">
        <v>26176</v>
      </c>
      <c r="N229" s="489">
        <v>6500</v>
      </c>
      <c r="O229" s="490">
        <v>3.78</v>
      </c>
      <c r="P229" s="491">
        <v>3.78</v>
      </c>
      <c r="Q229" s="500">
        <v>0</v>
      </c>
      <c r="R229" s="502">
        <f t="shared" si="239"/>
        <v>0</v>
      </c>
      <c r="S229" s="492">
        <v>0</v>
      </c>
      <c r="T229" s="492">
        <v>0</v>
      </c>
      <c r="U229" s="492">
        <v>0</v>
      </c>
      <c r="V229" s="492">
        <f t="shared" si="240"/>
        <v>0</v>
      </c>
      <c r="W229" s="492">
        <v>0</v>
      </c>
      <c r="X229" s="492">
        <v>0</v>
      </c>
      <c r="Y229" s="492">
        <v>0</v>
      </c>
      <c r="Z229" s="492">
        <f t="shared" si="241"/>
        <v>0</v>
      </c>
      <c r="AA229" s="492">
        <f t="shared" si="242"/>
        <v>0</v>
      </c>
      <c r="AB229" s="74">
        <f t="shared" si="243"/>
        <v>0</v>
      </c>
      <c r="AC229" s="74">
        <f t="shared" si="244"/>
        <v>0</v>
      </c>
      <c r="AD229" s="492">
        <v>0</v>
      </c>
      <c r="AE229" s="492">
        <v>0</v>
      </c>
      <c r="AF229" s="492">
        <f t="shared" si="245"/>
        <v>0</v>
      </c>
      <c r="AG229" s="492">
        <f t="shared" si="246"/>
        <v>0</v>
      </c>
      <c r="AH229" s="493">
        <v>0</v>
      </c>
      <c r="AI229" s="493">
        <v>0</v>
      </c>
      <c r="AJ229" s="493">
        <v>0</v>
      </c>
      <c r="AK229" s="493">
        <v>0</v>
      </c>
      <c r="AL229" s="493">
        <v>0</v>
      </c>
      <c r="AM229" s="493">
        <v>0</v>
      </c>
      <c r="AN229" s="493">
        <v>0</v>
      </c>
      <c r="AO229" s="493">
        <f t="shared" si="266"/>
        <v>0</v>
      </c>
      <c r="AP229" s="493">
        <f t="shared" si="267"/>
        <v>0</v>
      </c>
      <c r="AQ229" s="495">
        <f t="shared" si="247"/>
        <v>0</v>
      </c>
      <c r="AR229" s="501">
        <f t="shared" si="248"/>
        <v>1783842</v>
      </c>
      <c r="AS229" s="492">
        <f t="shared" si="249"/>
        <v>1308794</v>
      </c>
      <c r="AT229" s="492">
        <f t="shared" si="268"/>
        <v>0</v>
      </c>
      <c r="AU229" s="492">
        <f t="shared" si="269"/>
        <v>442372</v>
      </c>
      <c r="AV229" s="492">
        <f t="shared" si="269"/>
        <v>26176</v>
      </c>
      <c r="AW229" s="492">
        <f t="shared" si="250"/>
        <v>6500</v>
      </c>
      <c r="AX229" s="493">
        <f t="shared" si="251"/>
        <v>3.78</v>
      </c>
      <c r="AY229" s="493">
        <f t="shared" si="270"/>
        <v>3.78</v>
      </c>
      <c r="AZ229" s="495">
        <f t="shared" si="270"/>
        <v>0</v>
      </c>
    </row>
    <row r="230" spans="1:52" s="238" customFormat="1" ht="12.75" customHeight="1" x14ac:dyDescent="0.2">
      <c r="A230" s="225">
        <v>41</v>
      </c>
      <c r="B230" s="226">
        <v>4432</v>
      </c>
      <c r="C230" s="226">
        <v>600074625</v>
      </c>
      <c r="D230" s="226">
        <v>70695903</v>
      </c>
      <c r="E230" s="224" t="s">
        <v>229</v>
      </c>
      <c r="F230" s="226">
        <v>3141</v>
      </c>
      <c r="G230" s="176" t="s">
        <v>316</v>
      </c>
      <c r="H230" s="227" t="s">
        <v>279</v>
      </c>
      <c r="I230" s="494">
        <v>694374</v>
      </c>
      <c r="J230" s="489">
        <v>509271</v>
      </c>
      <c r="K230" s="489">
        <v>0</v>
      </c>
      <c r="L230" s="489">
        <v>172134</v>
      </c>
      <c r="M230" s="489">
        <v>10185</v>
      </c>
      <c r="N230" s="489">
        <v>2784</v>
      </c>
      <c r="O230" s="490">
        <v>1.6</v>
      </c>
      <c r="P230" s="491">
        <v>0</v>
      </c>
      <c r="Q230" s="500">
        <v>1.6</v>
      </c>
      <c r="R230" s="502">
        <f t="shared" si="239"/>
        <v>0</v>
      </c>
      <c r="S230" s="492">
        <v>0</v>
      </c>
      <c r="T230" s="492">
        <v>0</v>
      </c>
      <c r="U230" s="492">
        <v>0</v>
      </c>
      <c r="V230" s="492">
        <f t="shared" si="240"/>
        <v>0</v>
      </c>
      <c r="W230" s="492">
        <v>0</v>
      </c>
      <c r="X230" s="492">
        <v>0</v>
      </c>
      <c r="Y230" s="492">
        <v>0</v>
      </c>
      <c r="Z230" s="492">
        <f t="shared" si="241"/>
        <v>0</v>
      </c>
      <c r="AA230" s="492">
        <f t="shared" si="242"/>
        <v>0</v>
      </c>
      <c r="AB230" s="74">
        <f t="shared" si="243"/>
        <v>0</v>
      </c>
      <c r="AC230" s="74">
        <f t="shared" si="244"/>
        <v>0</v>
      </c>
      <c r="AD230" s="492">
        <v>0</v>
      </c>
      <c r="AE230" s="492">
        <v>0</v>
      </c>
      <c r="AF230" s="492">
        <f t="shared" si="245"/>
        <v>0</v>
      </c>
      <c r="AG230" s="492">
        <f t="shared" si="246"/>
        <v>0</v>
      </c>
      <c r="AH230" s="493">
        <v>0</v>
      </c>
      <c r="AI230" s="493">
        <v>0</v>
      </c>
      <c r="AJ230" s="493">
        <v>0</v>
      </c>
      <c r="AK230" s="493">
        <v>0</v>
      </c>
      <c r="AL230" s="493">
        <v>0</v>
      </c>
      <c r="AM230" s="493">
        <v>0</v>
      </c>
      <c r="AN230" s="493">
        <v>0</v>
      </c>
      <c r="AO230" s="493">
        <f t="shared" si="266"/>
        <v>0</v>
      </c>
      <c r="AP230" s="493">
        <f t="shared" si="267"/>
        <v>0</v>
      </c>
      <c r="AQ230" s="495">
        <f t="shared" si="247"/>
        <v>0</v>
      </c>
      <c r="AR230" s="501">
        <f t="shared" si="248"/>
        <v>694374</v>
      </c>
      <c r="AS230" s="492">
        <f t="shared" si="249"/>
        <v>509271</v>
      </c>
      <c r="AT230" s="492">
        <f t="shared" si="268"/>
        <v>0</v>
      </c>
      <c r="AU230" s="492">
        <f t="shared" si="269"/>
        <v>172134</v>
      </c>
      <c r="AV230" s="492">
        <f t="shared" si="269"/>
        <v>10185</v>
      </c>
      <c r="AW230" s="492">
        <f t="shared" si="250"/>
        <v>2784</v>
      </c>
      <c r="AX230" s="493">
        <f t="shared" si="251"/>
        <v>1.6</v>
      </c>
      <c r="AY230" s="493">
        <f t="shared" si="270"/>
        <v>0</v>
      </c>
      <c r="AZ230" s="495">
        <f t="shared" si="270"/>
        <v>1.6</v>
      </c>
    </row>
    <row r="231" spans="1:52" s="238" customFormat="1" ht="12.75" customHeight="1" x14ac:dyDescent="0.2">
      <c r="A231" s="225">
        <v>41</v>
      </c>
      <c r="B231" s="226">
        <v>4432</v>
      </c>
      <c r="C231" s="226">
        <v>600074625</v>
      </c>
      <c r="D231" s="226">
        <v>70695903</v>
      </c>
      <c r="E231" s="224" t="s">
        <v>229</v>
      </c>
      <c r="F231" s="226">
        <v>3143</v>
      </c>
      <c r="G231" s="176" t="s">
        <v>629</v>
      </c>
      <c r="H231" s="243" t="s">
        <v>278</v>
      </c>
      <c r="I231" s="494">
        <v>773821</v>
      </c>
      <c r="J231" s="489">
        <v>569824</v>
      </c>
      <c r="K231" s="489">
        <v>0</v>
      </c>
      <c r="L231" s="489">
        <v>192601</v>
      </c>
      <c r="M231" s="489">
        <v>11396</v>
      </c>
      <c r="N231" s="489">
        <v>0</v>
      </c>
      <c r="O231" s="490">
        <v>1.2473000000000001</v>
      </c>
      <c r="P231" s="491">
        <v>1.2473000000000001</v>
      </c>
      <c r="Q231" s="500">
        <v>0</v>
      </c>
      <c r="R231" s="502">
        <f t="shared" si="239"/>
        <v>0</v>
      </c>
      <c r="S231" s="492">
        <v>0</v>
      </c>
      <c r="T231" s="492">
        <v>0</v>
      </c>
      <c r="U231" s="492">
        <v>0</v>
      </c>
      <c r="V231" s="492">
        <f t="shared" si="240"/>
        <v>0</v>
      </c>
      <c r="W231" s="492">
        <v>0</v>
      </c>
      <c r="X231" s="492">
        <v>0</v>
      </c>
      <c r="Y231" s="492">
        <v>0</v>
      </c>
      <c r="Z231" s="492">
        <f t="shared" si="241"/>
        <v>0</v>
      </c>
      <c r="AA231" s="492">
        <f t="shared" si="242"/>
        <v>0</v>
      </c>
      <c r="AB231" s="74">
        <f t="shared" si="243"/>
        <v>0</v>
      </c>
      <c r="AC231" s="74">
        <f t="shared" si="244"/>
        <v>0</v>
      </c>
      <c r="AD231" s="492">
        <v>0</v>
      </c>
      <c r="AE231" s="492">
        <v>0</v>
      </c>
      <c r="AF231" s="492">
        <f t="shared" si="245"/>
        <v>0</v>
      </c>
      <c r="AG231" s="492">
        <f t="shared" si="246"/>
        <v>0</v>
      </c>
      <c r="AH231" s="493">
        <v>0</v>
      </c>
      <c r="AI231" s="493">
        <v>0</v>
      </c>
      <c r="AJ231" s="493">
        <v>0</v>
      </c>
      <c r="AK231" s="493">
        <v>0</v>
      </c>
      <c r="AL231" s="493">
        <v>0</v>
      </c>
      <c r="AM231" s="493">
        <v>0</v>
      </c>
      <c r="AN231" s="493">
        <v>0</v>
      </c>
      <c r="AO231" s="493">
        <f t="shared" si="266"/>
        <v>0</v>
      </c>
      <c r="AP231" s="493">
        <f t="shared" si="267"/>
        <v>0</v>
      </c>
      <c r="AQ231" s="495">
        <f t="shared" si="247"/>
        <v>0</v>
      </c>
      <c r="AR231" s="501">
        <f t="shared" si="248"/>
        <v>773821</v>
      </c>
      <c r="AS231" s="492">
        <f t="shared" si="249"/>
        <v>569824</v>
      </c>
      <c r="AT231" s="492">
        <f t="shared" si="268"/>
        <v>0</v>
      </c>
      <c r="AU231" s="492">
        <f t="shared" si="269"/>
        <v>192601</v>
      </c>
      <c r="AV231" s="492">
        <f t="shared" si="269"/>
        <v>11396</v>
      </c>
      <c r="AW231" s="492">
        <f t="shared" si="250"/>
        <v>0</v>
      </c>
      <c r="AX231" s="493">
        <f t="shared" si="251"/>
        <v>1.2473000000000001</v>
      </c>
      <c r="AY231" s="493">
        <f t="shared" si="270"/>
        <v>1.2473000000000001</v>
      </c>
      <c r="AZ231" s="495">
        <f t="shared" si="270"/>
        <v>0</v>
      </c>
    </row>
    <row r="232" spans="1:52" s="238" customFormat="1" ht="12.75" customHeight="1" x14ac:dyDescent="0.2">
      <c r="A232" s="225">
        <v>41</v>
      </c>
      <c r="B232" s="226">
        <v>4432</v>
      </c>
      <c r="C232" s="226">
        <v>600074625</v>
      </c>
      <c r="D232" s="226">
        <v>70695903</v>
      </c>
      <c r="E232" s="224" t="s">
        <v>229</v>
      </c>
      <c r="F232" s="226">
        <v>3143</v>
      </c>
      <c r="G232" s="176" t="s">
        <v>630</v>
      </c>
      <c r="H232" s="243" t="s">
        <v>279</v>
      </c>
      <c r="I232" s="494">
        <v>15120</v>
      </c>
      <c r="J232" s="489">
        <v>10692</v>
      </c>
      <c r="K232" s="489">
        <v>0</v>
      </c>
      <c r="L232" s="489">
        <v>3614</v>
      </c>
      <c r="M232" s="489">
        <v>214</v>
      </c>
      <c r="N232" s="489">
        <v>600</v>
      </c>
      <c r="O232" s="490">
        <v>0.04</v>
      </c>
      <c r="P232" s="491">
        <v>0</v>
      </c>
      <c r="Q232" s="500">
        <v>0.04</v>
      </c>
      <c r="R232" s="502">
        <f t="shared" si="239"/>
        <v>0</v>
      </c>
      <c r="S232" s="492">
        <v>0</v>
      </c>
      <c r="T232" s="492">
        <v>0</v>
      </c>
      <c r="U232" s="492">
        <v>0</v>
      </c>
      <c r="V232" s="492">
        <f t="shared" si="240"/>
        <v>0</v>
      </c>
      <c r="W232" s="492">
        <v>0</v>
      </c>
      <c r="X232" s="492">
        <v>0</v>
      </c>
      <c r="Y232" s="492">
        <v>0</v>
      </c>
      <c r="Z232" s="492">
        <f t="shared" si="241"/>
        <v>0</v>
      </c>
      <c r="AA232" s="492">
        <f t="shared" si="242"/>
        <v>0</v>
      </c>
      <c r="AB232" s="74">
        <f t="shared" si="243"/>
        <v>0</v>
      </c>
      <c r="AC232" s="74">
        <f t="shared" si="244"/>
        <v>0</v>
      </c>
      <c r="AD232" s="492">
        <v>0</v>
      </c>
      <c r="AE232" s="492">
        <v>0</v>
      </c>
      <c r="AF232" s="492">
        <f t="shared" si="245"/>
        <v>0</v>
      </c>
      <c r="AG232" s="492">
        <f t="shared" si="246"/>
        <v>0</v>
      </c>
      <c r="AH232" s="493">
        <v>0</v>
      </c>
      <c r="AI232" s="493">
        <v>0</v>
      </c>
      <c r="AJ232" s="493">
        <v>0</v>
      </c>
      <c r="AK232" s="493">
        <v>0</v>
      </c>
      <c r="AL232" s="493">
        <v>0</v>
      </c>
      <c r="AM232" s="493">
        <v>0</v>
      </c>
      <c r="AN232" s="493">
        <v>0</v>
      </c>
      <c r="AO232" s="493">
        <f t="shared" si="266"/>
        <v>0</v>
      </c>
      <c r="AP232" s="493">
        <f t="shared" si="267"/>
        <v>0</v>
      </c>
      <c r="AQ232" s="495">
        <f t="shared" si="247"/>
        <v>0</v>
      </c>
      <c r="AR232" s="501">
        <f t="shared" si="248"/>
        <v>15120</v>
      </c>
      <c r="AS232" s="492">
        <f t="shared" si="249"/>
        <v>10692</v>
      </c>
      <c r="AT232" s="492">
        <f t="shared" si="268"/>
        <v>0</v>
      </c>
      <c r="AU232" s="492">
        <f t="shared" si="269"/>
        <v>3614</v>
      </c>
      <c r="AV232" s="492">
        <f t="shared" si="269"/>
        <v>214</v>
      </c>
      <c r="AW232" s="492">
        <f t="shared" si="250"/>
        <v>600</v>
      </c>
      <c r="AX232" s="493">
        <f t="shared" si="251"/>
        <v>0.04</v>
      </c>
      <c r="AY232" s="493">
        <f t="shared" si="270"/>
        <v>0</v>
      </c>
      <c r="AZ232" s="495">
        <f t="shared" si="270"/>
        <v>0.04</v>
      </c>
    </row>
    <row r="233" spans="1:52" s="238" customFormat="1" ht="12.75" customHeight="1" x14ac:dyDescent="0.2">
      <c r="A233" s="166">
        <v>41</v>
      </c>
      <c r="B233" s="20">
        <v>4432</v>
      </c>
      <c r="C233" s="20">
        <v>600074625</v>
      </c>
      <c r="D233" s="20">
        <v>70695903</v>
      </c>
      <c r="E233" s="175" t="s">
        <v>230</v>
      </c>
      <c r="F233" s="20"/>
      <c r="G233" s="165"/>
      <c r="H233" s="199"/>
      <c r="I233" s="553">
        <v>7628193</v>
      </c>
      <c r="J233" s="550">
        <v>5571178</v>
      </c>
      <c r="K233" s="550">
        <v>0</v>
      </c>
      <c r="L233" s="550">
        <v>1883058</v>
      </c>
      <c r="M233" s="550">
        <v>111423</v>
      </c>
      <c r="N233" s="550">
        <v>62534</v>
      </c>
      <c r="O233" s="551">
        <v>13.133599999999998</v>
      </c>
      <c r="P233" s="551">
        <v>9.9102999999999994</v>
      </c>
      <c r="Q233" s="555">
        <v>3.2233000000000001</v>
      </c>
      <c r="R233" s="553">
        <f t="shared" ref="R233:AZ233" si="271">SUM(R227:R232)</f>
        <v>0</v>
      </c>
      <c r="S233" s="550">
        <f t="shared" si="271"/>
        <v>0</v>
      </c>
      <c r="T233" s="550">
        <f t="shared" si="271"/>
        <v>0</v>
      </c>
      <c r="U233" s="550">
        <f t="shared" si="271"/>
        <v>0</v>
      </c>
      <c r="V233" s="550">
        <f t="shared" si="271"/>
        <v>0</v>
      </c>
      <c r="W233" s="550">
        <f t="shared" si="271"/>
        <v>0</v>
      </c>
      <c r="X233" s="550">
        <f t="shared" si="271"/>
        <v>0</v>
      </c>
      <c r="Y233" s="550">
        <f t="shared" si="271"/>
        <v>0</v>
      </c>
      <c r="Z233" s="550">
        <f t="shared" si="271"/>
        <v>0</v>
      </c>
      <c r="AA233" s="550">
        <f t="shared" si="271"/>
        <v>0</v>
      </c>
      <c r="AB233" s="550">
        <f t="shared" si="271"/>
        <v>0</v>
      </c>
      <c r="AC233" s="550">
        <f t="shared" si="271"/>
        <v>0</v>
      </c>
      <c r="AD233" s="550">
        <f t="shared" si="271"/>
        <v>0</v>
      </c>
      <c r="AE233" s="550">
        <f t="shared" si="271"/>
        <v>0</v>
      </c>
      <c r="AF233" s="550">
        <f t="shared" si="271"/>
        <v>0</v>
      </c>
      <c r="AG233" s="550">
        <f t="shared" si="271"/>
        <v>0</v>
      </c>
      <c r="AH233" s="551">
        <f t="shared" si="271"/>
        <v>0</v>
      </c>
      <c r="AI233" s="551">
        <f t="shared" si="271"/>
        <v>0</v>
      </c>
      <c r="AJ233" s="551">
        <f t="shared" si="271"/>
        <v>0</v>
      </c>
      <c r="AK233" s="551">
        <f t="shared" si="271"/>
        <v>0</v>
      </c>
      <c r="AL233" s="551">
        <f t="shared" si="271"/>
        <v>0</v>
      </c>
      <c r="AM233" s="551">
        <f t="shared" si="271"/>
        <v>0</v>
      </c>
      <c r="AN233" s="551">
        <f t="shared" si="271"/>
        <v>0</v>
      </c>
      <c r="AO233" s="551">
        <f t="shared" si="271"/>
        <v>0</v>
      </c>
      <c r="AP233" s="551">
        <f t="shared" si="271"/>
        <v>0</v>
      </c>
      <c r="AQ233" s="44">
        <f t="shared" si="271"/>
        <v>0</v>
      </c>
      <c r="AR233" s="557">
        <f t="shared" si="271"/>
        <v>7628193</v>
      </c>
      <c r="AS233" s="550">
        <f t="shared" si="271"/>
        <v>5571178</v>
      </c>
      <c r="AT233" s="550">
        <f t="shared" si="271"/>
        <v>0</v>
      </c>
      <c r="AU233" s="550">
        <f t="shared" si="271"/>
        <v>1883058</v>
      </c>
      <c r="AV233" s="550">
        <f t="shared" si="271"/>
        <v>111423</v>
      </c>
      <c r="AW233" s="550">
        <f t="shared" si="271"/>
        <v>62534</v>
      </c>
      <c r="AX233" s="551">
        <f t="shared" si="271"/>
        <v>13.133599999999998</v>
      </c>
      <c r="AY233" s="551">
        <f t="shared" si="271"/>
        <v>9.9102999999999994</v>
      </c>
      <c r="AZ233" s="44">
        <f t="shared" si="271"/>
        <v>3.2233000000000001</v>
      </c>
    </row>
    <row r="234" spans="1:52" s="238" customFormat="1" ht="12.75" customHeight="1" x14ac:dyDescent="0.2">
      <c r="A234" s="225">
        <v>42</v>
      </c>
      <c r="B234" s="226">
        <v>4459</v>
      </c>
      <c r="C234" s="226">
        <v>650037171</v>
      </c>
      <c r="D234" s="226">
        <v>72742356</v>
      </c>
      <c r="E234" s="224" t="s">
        <v>231</v>
      </c>
      <c r="F234" s="226">
        <v>3111</v>
      </c>
      <c r="G234" s="176" t="s">
        <v>312</v>
      </c>
      <c r="H234" s="227" t="s">
        <v>278</v>
      </c>
      <c r="I234" s="494">
        <v>2988620</v>
      </c>
      <c r="J234" s="489">
        <v>2186171</v>
      </c>
      <c r="K234" s="489">
        <v>0</v>
      </c>
      <c r="L234" s="489">
        <v>738926</v>
      </c>
      <c r="M234" s="489">
        <v>43723</v>
      </c>
      <c r="N234" s="489">
        <v>19800</v>
      </c>
      <c r="O234" s="490">
        <v>4.9733999999999998</v>
      </c>
      <c r="P234" s="491">
        <v>3.9516</v>
      </c>
      <c r="Q234" s="500">
        <v>1.0218</v>
      </c>
      <c r="R234" s="502">
        <f t="shared" si="239"/>
        <v>0</v>
      </c>
      <c r="S234" s="492">
        <v>0</v>
      </c>
      <c r="T234" s="492">
        <v>0</v>
      </c>
      <c r="U234" s="492">
        <v>0</v>
      </c>
      <c r="V234" s="492">
        <f t="shared" si="240"/>
        <v>0</v>
      </c>
      <c r="W234" s="492">
        <v>0</v>
      </c>
      <c r="X234" s="492">
        <v>0</v>
      </c>
      <c r="Y234" s="492">
        <v>0</v>
      </c>
      <c r="Z234" s="492">
        <f t="shared" si="241"/>
        <v>0</v>
      </c>
      <c r="AA234" s="492">
        <f t="shared" si="242"/>
        <v>0</v>
      </c>
      <c r="AB234" s="74">
        <f t="shared" si="243"/>
        <v>0</v>
      </c>
      <c r="AC234" s="74">
        <f t="shared" si="244"/>
        <v>0</v>
      </c>
      <c r="AD234" s="492">
        <v>0</v>
      </c>
      <c r="AE234" s="492">
        <v>0</v>
      </c>
      <c r="AF234" s="492">
        <f t="shared" si="245"/>
        <v>0</v>
      </c>
      <c r="AG234" s="492">
        <f t="shared" si="246"/>
        <v>0</v>
      </c>
      <c r="AH234" s="493">
        <v>0</v>
      </c>
      <c r="AI234" s="493">
        <v>0</v>
      </c>
      <c r="AJ234" s="493">
        <v>0</v>
      </c>
      <c r="AK234" s="493">
        <v>0</v>
      </c>
      <c r="AL234" s="493">
        <v>0</v>
      </c>
      <c r="AM234" s="493">
        <v>0</v>
      </c>
      <c r="AN234" s="493">
        <v>0</v>
      </c>
      <c r="AO234" s="493">
        <f t="shared" ref="AO234:AO239" si="272">AH234+AJ234+AM234+AK234</f>
        <v>0</v>
      </c>
      <c r="AP234" s="493">
        <f t="shared" ref="AP234:AP239" si="273">AI234+AN234+AL234</f>
        <v>0</v>
      </c>
      <c r="AQ234" s="495">
        <f t="shared" si="247"/>
        <v>0</v>
      </c>
      <c r="AR234" s="501">
        <f t="shared" si="248"/>
        <v>2988620</v>
      </c>
      <c r="AS234" s="492">
        <f t="shared" si="249"/>
        <v>2186171</v>
      </c>
      <c r="AT234" s="492">
        <f t="shared" ref="AT234:AT239" si="274">K234+Z234</f>
        <v>0</v>
      </c>
      <c r="AU234" s="492">
        <f t="shared" ref="AU234:AV239" si="275">L234+AB234</f>
        <v>738926</v>
      </c>
      <c r="AV234" s="492">
        <f t="shared" si="275"/>
        <v>43723</v>
      </c>
      <c r="AW234" s="492">
        <f t="shared" si="250"/>
        <v>19800</v>
      </c>
      <c r="AX234" s="493">
        <f t="shared" si="251"/>
        <v>4.9733999999999998</v>
      </c>
      <c r="AY234" s="493">
        <f t="shared" ref="AY234:AZ239" si="276">P234+AO234</f>
        <v>3.9516</v>
      </c>
      <c r="AZ234" s="495">
        <f t="shared" si="276"/>
        <v>1.0218</v>
      </c>
    </row>
    <row r="235" spans="1:52" s="238" customFormat="1" ht="12.75" customHeight="1" x14ac:dyDescent="0.2">
      <c r="A235" s="225">
        <v>42</v>
      </c>
      <c r="B235" s="226">
        <v>4459</v>
      </c>
      <c r="C235" s="226">
        <v>650037171</v>
      </c>
      <c r="D235" s="226">
        <v>72742356</v>
      </c>
      <c r="E235" s="224" t="s">
        <v>231</v>
      </c>
      <c r="F235" s="226">
        <v>3113</v>
      </c>
      <c r="G235" s="176" t="s">
        <v>315</v>
      </c>
      <c r="H235" s="227" t="s">
        <v>278</v>
      </c>
      <c r="I235" s="494">
        <v>11975941</v>
      </c>
      <c r="J235" s="489">
        <v>8602291</v>
      </c>
      <c r="K235" s="489">
        <v>0</v>
      </c>
      <c r="L235" s="489">
        <v>2907574</v>
      </c>
      <c r="M235" s="489">
        <v>172046</v>
      </c>
      <c r="N235" s="489">
        <v>294030</v>
      </c>
      <c r="O235" s="490">
        <v>17.458199999999998</v>
      </c>
      <c r="P235" s="491">
        <v>11.948</v>
      </c>
      <c r="Q235" s="500">
        <v>5.5101999999999993</v>
      </c>
      <c r="R235" s="502">
        <f t="shared" si="239"/>
        <v>0</v>
      </c>
      <c r="S235" s="492">
        <v>0</v>
      </c>
      <c r="T235" s="492">
        <v>0</v>
      </c>
      <c r="U235" s="492">
        <v>0</v>
      </c>
      <c r="V235" s="492">
        <f t="shared" si="240"/>
        <v>0</v>
      </c>
      <c r="W235" s="492">
        <v>0</v>
      </c>
      <c r="X235" s="492">
        <v>0</v>
      </c>
      <c r="Y235" s="492">
        <v>0</v>
      </c>
      <c r="Z235" s="492">
        <f t="shared" si="241"/>
        <v>0</v>
      </c>
      <c r="AA235" s="492">
        <f t="shared" si="242"/>
        <v>0</v>
      </c>
      <c r="AB235" s="74">
        <f t="shared" si="243"/>
        <v>0</v>
      </c>
      <c r="AC235" s="74">
        <f t="shared" si="244"/>
        <v>0</v>
      </c>
      <c r="AD235" s="492">
        <v>0</v>
      </c>
      <c r="AE235" s="492">
        <v>0</v>
      </c>
      <c r="AF235" s="492">
        <f t="shared" si="245"/>
        <v>0</v>
      </c>
      <c r="AG235" s="492">
        <f t="shared" si="246"/>
        <v>0</v>
      </c>
      <c r="AH235" s="493">
        <v>0</v>
      </c>
      <c r="AI235" s="493">
        <v>0</v>
      </c>
      <c r="AJ235" s="493">
        <v>0</v>
      </c>
      <c r="AK235" s="493">
        <v>0</v>
      </c>
      <c r="AL235" s="493">
        <v>0</v>
      </c>
      <c r="AM235" s="493">
        <v>0</v>
      </c>
      <c r="AN235" s="493">
        <v>0</v>
      </c>
      <c r="AO235" s="493">
        <f t="shared" si="272"/>
        <v>0</v>
      </c>
      <c r="AP235" s="493">
        <f t="shared" si="273"/>
        <v>0</v>
      </c>
      <c r="AQ235" s="495">
        <f t="shared" si="247"/>
        <v>0</v>
      </c>
      <c r="AR235" s="501">
        <f t="shared" si="248"/>
        <v>11975941</v>
      </c>
      <c r="AS235" s="492">
        <f t="shared" si="249"/>
        <v>8602291</v>
      </c>
      <c r="AT235" s="492">
        <f t="shared" si="274"/>
        <v>0</v>
      </c>
      <c r="AU235" s="492">
        <f t="shared" si="275"/>
        <v>2907574</v>
      </c>
      <c r="AV235" s="492">
        <f t="shared" si="275"/>
        <v>172046</v>
      </c>
      <c r="AW235" s="492">
        <f t="shared" si="250"/>
        <v>294030</v>
      </c>
      <c r="AX235" s="493">
        <f t="shared" si="251"/>
        <v>17.458199999999998</v>
      </c>
      <c r="AY235" s="493">
        <f t="shared" si="276"/>
        <v>11.948</v>
      </c>
      <c r="AZ235" s="495">
        <f t="shared" si="276"/>
        <v>5.5101999999999993</v>
      </c>
    </row>
    <row r="236" spans="1:52" s="238" customFormat="1" ht="12.75" customHeight="1" x14ac:dyDescent="0.2">
      <c r="A236" s="225">
        <v>42</v>
      </c>
      <c r="B236" s="226">
        <v>4459</v>
      </c>
      <c r="C236" s="226">
        <v>650037171</v>
      </c>
      <c r="D236" s="226">
        <v>72742356</v>
      </c>
      <c r="E236" s="224" t="s">
        <v>231</v>
      </c>
      <c r="F236" s="226">
        <v>3113</v>
      </c>
      <c r="G236" s="176" t="s">
        <v>313</v>
      </c>
      <c r="H236" s="227" t="s">
        <v>279</v>
      </c>
      <c r="I236" s="494">
        <v>2917080</v>
      </c>
      <c r="J236" s="489">
        <v>2148071</v>
      </c>
      <c r="K236" s="489">
        <v>0</v>
      </c>
      <c r="L236" s="489">
        <v>726048</v>
      </c>
      <c r="M236" s="489">
        <v>42961</v>
      </c>
      <c r="N236" s="489">
        <v>0</v>
      </c>
      <c r="O236" s="490">
        <v>6.15</v>
      </c>
      <c r="P236" s="491">
        <v>6.15</v>
      </c>
      <c r="Q236" s="500">
        <v>0</v>
      </c>
      <c r="R236" s="502">
        <f t="shared" si="239"/>
        <v>0</v>
      </c>
      <c r="S236" s="492">
        <v>0</v>
      </c>
      <c r="T236" s="492">
        <v>0</v>
      </c>
      <c r="U236" s="492">
        <v>0</v>
      </c>
      <c r="V236" s="492">
        <f t="shared" si="240"/>
        <v>0</v>
      </c>
      <c r="W236" s="492">
        <v>0</v>
      </c>
      <c r="X236" s="492">
        <v>0</v>
      </c>
      <c r="Y236" s="492">
        <v>0</v>
      </c>
      <c r="Z236" s="492">
        <f t="shared" si="241"/>
        <v>0</v>
      </c>
      <c r="AA236" s="492">
        <f t="shared" si="242"/>
        <v>0</v>
      </c>
      <c r="AB236" s="74">
        <f t="shared" si="243"/>
        <v>0</v>
      </c>
      <c r="AC236" s="74">
        <f t="shared" si="244"/>
        <v>0</v>
      </c>
      <c r="AD236" s="492">
        <v>0</v>
      </c>
      <c r="AE236" s="492">
        <v>0</v>
      </c>
      <c r="AF236" s="492">
        <f t="shared" si="245"/>
        <v>0</v>
      </c>
      <c r="AG236" s="492">
        <f t="shared" si="246"/>
        <v>0</v>
      </c>
      <c r="AH236" s="493">
        <v>0</v>
      </c>
      <c r="AI236" s="493">
        <v>0</v>
      </c>
      <c r="AJ236" s="493">
        <v>0</v>
      </c>
      <c r="AK236" s="493">
        <v>0</v>
      </c>
      <c r="AL236" s="493">
        <v>0</v>
      </c>
      <c r="AM236" s="493">
        <v>0</v>
      </c>
      <c r="AN236" s="493">
        <v>0</v>
      </c>
      <c r="AO236" s="493">
        <f t="shared" si="272"/>
        <v>0</v>
      </c>
      <c r="AP236" s="493">
        <f t="shared" si="273"/>
        <v>0</v>
      </c>
      <c r="AQ236" s="495">
        <f t="shared" si="247"/>
        <v>0</v>
      </c>
      <c r="AR236" s="501">
        <f t="shared" si="248"/>
        <v>2917080</v>
      </c>
      <c r="AS236" s="492">
        <f t="shared" si="249"/>
        <v>2148071</v>
      </c>
      <c r="AT236" s="492">
        <f t="shared" si="274"/>
        <v>0</v>
      </c>
      <c r="AU236" s="492">
        <f t="shared" si="275"/>
        <v>726048</v>
      </c>
      <c r="AV236" s="492">
        <f t="shared" si="275"/>
        <v>42961</v>
      </c>
      <c r="AW236" s="492">
        <f t="shared" si="250"/>
        <v>0</v>
      </c>
      <c r="AX236" s="493">
        <f t="shared" si="251"/>
        <v>6.15</v>
      </c>
      <c r="AY236" s="493">
        <f t="shared" si="276"/>
        <v>6.15</v>
      </c>
      <c r="AZ236" s="495">
        <f t="shared" si="276"/>
        <v>0</v>
      </c>
    </row>
    <row r="237" spans="1:52" s="238" customFormat="1" ht="12.75" customHeight="1" x14ac:dyDescent="0.2">
      <c r="A237" s="225">
        <v>42</v>
      </c>
      <c r="B237" s="226">
        <v>4459</v>
      </c>
      <c r="C237" s="226">
        <v>650037171</v>
      </c>
      <c r="D237" s="226">
        <v>72742356</v>
      </c>
      <c r="E237" s="219" t="s">
        <v>231</v>
      </c>
      <c r="F237" s="226">
        <v>3141</v>
      </c>
      <c r="G237" s="176" t="s">
        <v>316</v>
      </c>
      <c r="H237" s="227" t="s">
        <v>279</v>
      </c>
      <c r="I237" s="494">
        <v>1706167</v>
      </c>
      <c r="J237" s="489">
        <v>1249593</v>
      </c>
      <c r="K237" s="489">
        <v>0</v>
      </c>
      <c r="L237" s="489">
        <v>422362</v>
      </c>
      <c r="M237" s="489">
        <v>24992</v>
      </c>
      <c r="N237" s="489">
        <v>9220</v>
      </c>
      <c r="O237" s="490">
        <v>3.94</v>
      </c>
      <c r="P237" s="491">
        <v>0</v>
      </c>
      <c r="Q237" s="500">
        <v>3.94</v>
      </c>
      <c r="R237" s="502">
        <f t="shared" si="239"/>
        <v>0</v>
      </c>
      <c r="S237" s="492">
        <v>0</v>
      </c>
      <c r="T237" s="492">
        <v>0</v>
      </c>
      <c r="U237" s="492">
        <v>0</v>
      </c>
      <c r="V237" s="492">
        <f t="shared" si="240"/>
        <v>0</v>
      </c>
      <c r="W237" s="492">
        <v>0</v>
      </c>
      <c r="X237" s="492">
        <v>0</v>
      </c>
      <c r="Y237" s="492">
        <v>0</v>
      </c>
      <c r="Z237" s="492">
        <f t="shared" si="241"/>
        <v>0</v>
      </c>
      <c r="AA237" s="492">
        <f t="shared" si="242"/>
        <v>0</v>
      </c>
      <c r="AB237" s="74">
        <f t="shared" si="243"/>
        <v>0</v>
      </c>
      <c r="AC237" s="74">
        <f t="shared" si="244"/>
        <v>0</v>
      </c>
      <c r="AD237" s="492">
        <v>0</v>
      </c>
      <c r="AE237" s="492">
        <v>0</v>
      </c>
      <c r="AF237" s="492">
        <f t="shared" si="245"/>
        <v>0</v>
      </c>
      <c r="AG237" s="492">
        <f t="shared" si="246"/>
        <v>0</v>
      </c>
      <c r="AH237" s="493">
        <v>0</v>
      </c>
      <c r="AI237" s="493">
        <v>0</v>
      </c>
      <c r="AJ237" s="493">
        <v>0</v>
      </c>
      <c r="AK237" s="493">
        <v>0</v>
      </c>
      <c r="AL237" s="493">
        <v>0</v>
      </c>
      <c r="AM237" s="493">
        <v>0</v>
      </c>
      <c r="AN237" s="493">
        <v>0</v>
      </c>
      <c r="AO237" s="493">
        <f t="shared" si="272"/>
        <v>0</v>
      </c>
      <c r="AP237" s="493">
        <f t="shared" si="273"/>
        <v>0</v>
      </c>
      <c r="AQ237" s="495">
        <f t="shared" si="247"/>
        <v>0</v>
      </c>
      <c r="AR237" s="501">
        <f t="shared" si="248"/>
        <v>1706167</v>
      </c>
      <c r="AS237" s="492">
        <f t="shared" si="249"/>
        <v>1249593</v>
      </c>
      <c r="AT237" s="492">
        <f t="shared" si="274"/>
        <v>0</v>
      </c>
      <c r="AU237" s="492">
        <f t="shared" si="275"/>
        <v>422362</v>
      </c>
      <c r="AV237" s="492">
        <f t="shared" si="275"/>
        <v>24992</v>
      </c>
      <c r="AW237" s="492">
        <f t="shared" si="250"/>
        <v>9220</v>
      </c>
      <c r="AX237" s="493">
        <f t="shared" si="251"/>
        <v>3.94</v>
      </c>
      <c r="AY237" s="493">
        <f t="shared" si="276"/>
        <v>0</v>
      </c>
      <c r="AZ237" s="495">
        <f t="shared" si="276"/>
        <v>3.94</v>
      </c>
    </row>
    <row r="238" spans="1:52" s="238" customFormat="1" ht="12.75" customHeight="1" x14ac:dyDescent="0.2">
      <c r="A238" s="225">
        <v>42</v>
      </c>
      <c r="B238" s="226">
        <v>4459</v>
      </c>
      <c r="C238" s="226">
        <v>650037171</v>
      </c>
      <c r="D238" s="226">
        <v>72742356</v>
      </c>
      <c r="E238" s="224" t="s">
        <v>231</v>
      </c>
      <c r="F238" s="226">
        <v>3143</v>
      </c>
      <c r="G238" s="176" t="s">
        <v>629</v>
      </c>
      <c r="H238" s="243" t="s">
        <v>278</v>
      </c>
      <c r="I238" s="494">
        <v>1169317</v>
      </c>
      <c r="J238" s="489">
        <v>861058</v>
      </c>
      <c r="K238" s="489">
        <v>0</v>
      </c>
      <c r="L238" s="489">
        <v>291038</v>
      </c>
      <c r="M238" s="489">
        <v>17221</v>
      </c>
      <c r="N238" s="489">
        <v>0</v>
      </c>
      <c r="O238" s="490">
        <v>1.9999</v>
      </c>
      <c r="P238" s="491">
        <v>1.9999</v>
      </c>
      <c r="Q238" s="500">
        <v>0</v>
      </c>
      <c r="R238" s="502">
        <f t="shared" si="239"/>
        <v>0</v>
      </c>
      <c r="S238" s="492">
        <v>0</v>
      </c>
      <c r="T238" s="492">
        <v>0</v>
      </c>
      <c r="U238" s="492">
        <v>0</v>
      </c>
      <c r="V238" s="492">
        <f t="shared" si="240"/>
        <v>0</v>
      </c>
      <c r="W238" s="492">
        <v>0</v>
      </c>
      <c r="X238" s="492">
        <v>0</v>
      </c>
      <c r="Y238" s="492">
        <v>0</v>
      </c>
      <c r="Z238" s="492">
        <f t="shared" si="241"/>
        <v>0</v>
      </c>
      <c r="AA238" s="492">
        <f t="shared" si="242"/>
        <v>0</v>
      </c>
      <c r="AB238" s="74">
        <f t="shared" si="243"/>
        <v>0</v>
      </c>
      <c r="AC238" s="74">
        <f t="shared" si="244"/>
        <v>0</v>
      </c>
      <c r="AD238" s="492">
        <v>0</v>
      </c>
      <c r="AE238" s="492">
        <v>0</v>
      </c>
      <c r="AF238" s="492">
        <f t="shared" si="245"/>
        <v>0</v>
      </c>
      <c r="AG238" s="492">
        <f t="shared" si="246"/>
        <v>0</v>
      </c>
      <c r="AH238" s="493">
        <v>0</v>
      </c>
      <c r="AI238" s="493">
        <v>0</v>
      </c>
      <c r="AJ238" s="493">
        <v>0</v>
      </c>
      <c r="AK238" s="493">
        <v>0</v>
      </c>
      <c r="AL238" s="493">
        <v>0</v>
      </c>
      <c r="AM238" s="493">
        <v>0</v>
      </c>
      <c r="AN238" s="493">
        <v>0</v>
      </c>
      <c r="AO238" s="493">
        <f t="shared" si="272"/>
        <v>0</v>
      </c>
      <c r="AP238" s="493">
        <f t="shared" si="273"/>
        <v>0</v>
      </c>
      <c r="AQ238" s="495">
        <f t="shared" si="247"/>
        <v>0</v>
      </c>
      <c r="AR238" s="501">
        <f t="shared" si="248"/>
        <v>1169317</v>
      </c>
      <c r="AS238" s="492">
        <f t="shared" si="249"/>
        <v>861058</v>
      </c>
      <c r="AT238" s="492">
        <f t="shared" si="274"/>
        <v>0</v>
      </c>
      <c r="AU238" s="492">
        <f t="shared" si="275"/>
        <v>291038</v>
      </c>
      <c r="AV238" s="492">
        <f t="shared" si="275"/>
        <v>17221</v>
      </c>
      <c r="AW238" s="492">
        <f t="shared" si="250"/>
        <v>0</v>
      </c>
      <c r="AX238" s="493">
        <f t="shared" si="251"/>
        <v>1.9999</v>
      </c>
      <c r="AY238" s="493">
        <f t="shared" si="276"/>
        <v>1.9999</v>
      </c>
      <c r="AZ238" s="495">
        <f t="shared" si="276"/>
        <v>0</v>
      </c>
    </row>
    <row r="239" spans="1:52" s="238" customFormat="1" ht="12.75" customHeight="1" x14ac:dyDescent="0.2">
      <c r="A239" s="225">
        <v>42</v>
      </c>
      <c r="B239" s="226">
        <v>4459</v>
      </c>
      <c r="C239" s="226">
        <v>650037171</v>
      </c>
      <c r="D239" s="226">
        <v>72742356</v>
      </c>
      <c r="E239" s="224" t="s">
        <v>231</v>
      </c>
      <c r="F239" s="226">
        <v>3143</v>
      </c>
      <c r="G239" s="176" t="s">
        <v>630</v>
      </c>
      <c r="H239" s="243" t="s">
        <v>279</v>
      </c>
      <c r="I239" s="494">
        <v>26459</v>
      </c>
      <c r="J239" s="489">
        <v>18711</v>
      </c>
      <c r="K239" s="489">
        <v>0</v>
      </c>
      <c r="L239" s="489">
        <v>6324</v>
      </c>
      <c r="M239" s="489">
        <v>374</v>
      </c>
      <c r="N239" s="489">
        <v>1050</v>
      </c>
      <c r="O239" s="490">
        <v>7.0000000000000007E-2</v>
      </c>
      <c r="P239" s="491">
        <v>0</v>
      </c>
      <c r="Q239" s="500">
        <v>7.0000000000000007E-2</v>
      </c>
      <c r="R239" s="502">
        <f t="shared" si="239"/>
        <v>0</v>
      </c>
      <c r="S239" s="492">
        <v>0</v>
      </c>
      <c r="T239" s="492">
        <v>0</v>
      </c>
      <c r="U239" s="492">
        <v>0</v>
      </c>
      <c r="V239" s="492">
        <f t="shared" si="240"/>
        <v>0</v>
      </c>
      <c r="W239" s="492">
        <v>0</v>
      </c>
      <c r="X239" s="492">
        <v>0</v>
      </c>
      <c r="Y239" s="492">
        <v>0</v>
      </c>
      <c r="Z239" s="492">
        <f t="shared" si="241"/>
        <v>0</v>
      </c>
      <c r="AA239" s="492">
        <f t="shared" si="242"/>
        <v>0</v>
      </c>
      <c r="AB239" s="74">
        <f t="shared" si="243"/>
        <v>0</v>
      </c>
      <c r="AC239" s="74">
        <f t="shared" si="244"/>
        <v>0</v>
      </c>
      <c r="AD239" s="492">
        <v>0</v>
      </c>
      <c r="AE239" s="492">
        <v>0</v>
      </c>
      <c r="AF239" s="492">
        <f t="shared" si="245"/>
        <v>0</v>
      </c>
      <c r="AG239" s="492">
        <f t="shared" si="246"/>
        <v>0</v>
      </c>
      <c r="AH239" s="493">
        <v>0</v>
      </c>
      <c r="AI239" s="493">
        <v>0</v>
      </c>
      <c r="AJ239" s="493">
        <v>0</v>
      </c>
      <c r="AK239" s="493">
        <v>0</v>
      </c>
      <c r="AL239" s="493">
        <v>0</v>
      </c>
      <c r="AM239" s="493">
        <v>0</v>
      </c>
      <c r="AN239" s="493">
        <v>0</v>
      </c>
      <c r="AO239" s="493">
        <f t="shared" si="272"/>
        <v>0</v>
      </c>
      <c r="AP239" s="493">
        <f t="shared" si="273"/>
        <v>0</v>
      </c>
      <c r="AQ239" s="495">
        <f t="shared" si="247"/>
        <v>0</v>
      </c>
      <c r="AR239" s="501">
        <f t="shared" si="248"/>
        <v>26459</v>
      </c>
      <c r="AS239" s="492">
        <f t="shared" si="249"/>
        <v>18711</v>
      </c>
      <c r="AT239" s="492">
        <f t="shared" si="274"/>
        <v>0</v>
      </c>
      <c r="AU239" s="492">
        <f t="shared" si="275"/>
        <v>6324</v>
      </c>
      <c r="AV239" s="492">
        <f t="shared" si="275"/>
        <v>374</v>
      </c>
      <c r="AW239" s="492">
        <f t="shared" si="250"/>
        <v>1050</v>
      </c>
      <c r="AX239" s="493">
        <f t="shared" si="251"/>
        <v>7.0000000000000007E-2</v>
      </c>
      <c r="AY239" s="493">
        <f t="shared" si="276"/>
        <v>0</v>
      </c>
      <c r="AZ239" s="495">
        <f t="shared" si="276"/>
        <v>7.0000000000000007E-2</v>
      </c>
    </row>
    <row r="240" spans="1:52" s="238" customFormat="1" ht="12.75" customHeight="1" x14ac:dyDescent="0.2">
      <c r="A240" s="166">
        <v>42</v>
      </c>
      <c r="B240" s="20">
        <v>4459</v>
      </c>
      <c r="C240" s="20">
        <v>650037171</v>
      </c>
      <c r="D240" s="20">
        <v>72742356</v>
      </c>
      <c r="E240" s="175" t="s">
        <v>232</v>
      </c>
      <c r="F240" s="20"/>
      <c r="G240" s="165"/>
      <c r="H240" s="199"/>
      <c r="I240" s="553">
        <v>20783584</v>
      </c>
      <c r="J240" s="550">
        <v>15065895</v>
      </c>
      <c r="K240" s="550">
        <v>0</v>
      </c>
      <c r="L240" s="550">
        <v>5092272</v>
      </c>
      <c r="M240" s="550">
        <v>301317</v>
      </c>
      <c r="N240" s="550">
        <v>324100</v>
      </c>
      <c r="O240" s="551">
        <v>34.591499999999989</v>
      </c>
      <c r="P240" s="551">
        <v>24.049499999999998</v>
      </c>
      <c r="Q240" s="555">
        <v>10.542</v>
      </c>
      <c r="R240" s="553">
        <f t="shared" ref="R240:AZ240" si="277">SUM(R234:R239)</f>
        <v>0</v>
      </c>
      <c r="S240" s="550">
        <f t="shared" si="277"/>
        <v>0</v>
      </c>
      <c r="T240" s="550">
        <f t="shared" si="277"/>
        <v>0</v>
      </c>
      <c r="U240" s="550">
        <f t="shared" si="277"/>
        <v>0</v>
      </c>
      <c r="V240" s="550">
        <f t="shared" si="277"/>
        <v>0</v>
      </c>
      <c r="W240" s="550">
        <f t="shared" si="277"/>
        <v>0</v>
      </c>
      <c r="X240" s="550">
        <f t="shared" si="277"/>
        <v>0</v>
      </c>
      <c r="Y240" s="550">
        <f t="shared" si="277"/>
        <v>0</v>
      </c>
      <c r="Z240" s="550">
        <f t="shared" si="277"/>
        <v>0</v>
      </c>
      <c r="AA240" s="550">
        <f t="shared" si="277"/>
        <v>0</v>
      </c>
      <c r="AB240" s="550">
        <f t="shared" si="277"/>
        <v>0</v>
      </c>
      <c r="AC240" s="550">
        <f t="shared" si="277"/>
        <v>0</v>
      </c>
      <c r="AD240" s="550">
        <f t="shared" si="277"/>
        <v>0</v>
      </c>
      <c r="AE240" s="550">
        <f t="shared" si="277"/>
        <v>0</v>
      </c>
      <c r="AF240" s="550">
        <f t="shared" si="277"/>
        <v>0</v>
      </c>
      <c r="AG240" s="550">
        <f t="shared" si="277"/>
        <v>0</v>
      </c>
      <c r="AH240" s="551">
        <f t="shared" si="277"/>
        <v>0</v>
      </c>
      <c r="AI240" s="551">
        <f t="shared" si="277"/>
        <v>0</v>
      </c>
      <c r="AJ240" s="551">
        <f t="shared" si="277"/>
        <v>0</v>
      </c>
      <c r="AK240" s="551">
        <f t="shared" si="277"/>
        <v>0</v>
      </c>
      <c r="AL240" s="551">
        <f t="shared" si="277"/>
        <v>0</v>
      </c>
      <c r="AM240" s="551">
        <f t="shared" si="277"/>
        <v>0</v>
      </c>
      <c r="AN240" s="551">
        <f t="shared" si="277"/>
        <v>0</v>
      </c>
      <c r="AO240" s="551">
        <f t="shared" si="277"/>
        <v>0</v>
      </c>
      <c r="AP240" s="551">
        <f t="shared" si="277"/>
        <v>0</v>
      </c>
      <c r="AQ240" s="44">
        <f t="shared" si="277"/>
        <v>0</v>
      </c>
      <c r="AR240" s="557">
        <f t="shared" si="277"/>
        <v>20783584</v>
      </c>
      <c r="AS240" s="550">
        <f t="shared" si="277"/>
        <v>15065895</v>
      </c>
      <c r="AT240" s="550">
        <f t="shared" si="277"/>
        <v>0</v>
      </c>
      <c r="AU240" s="550">
        <f t="shared" si="277"/>
        <v>5092272</v>
      </c>
      <c r="AV240" s="550">
        <f t="shared" si="277"/>
        <v>301317</v>
      </c>
      <c r="AW240" s="550">
        <f t="shared" si="277"/>
        <v>324100</v>
      </c>
      <c r="AX240" s="551">
        <f t="shared" si="277"/>
        <v>34.591499999999989</v>
      </c>
      <c r="AY240" s="551">
        <f t="shared" si="277"/>
        <v>24.049499999999998</v>
      </c>
      <c r="AZ240" s="44">
        <f t="shared" si="277"/>
        <v>10.542</v>
      </c>
    </row>
    <row r="241" spans="1:52" s="238" customFormat="1" ht="12.75" customHeight="1" x14ac:dyDescent="0.2">
      <c r="A241" s="225">
        <v>43</v>
      </c>
      <c r="B241" s="226">
        <v>4424</v>
      </c>
      <c r="C241" s="226">
        <v>600074170</v>
      </c>
      <c r="D241" s="226">
        <v>72741562</v>
      </c>
      <c r="E241" s="224" t="s">
        <v>233</v>
      </c>
      <c r="F241" s="226">
        <v>3111</v>
      </c>
      <c r="G241" s="176" t="s">
        <v>312</v>
      </c>
      <c r="H241" s="227" t="s">
        <v>278</v>
      </c>
      <c r="I241" s="494">
        <v>3321050</v>
      </c>
      <c r="J241" s="489">
        <v>2432622</v>
      </c>
      <c r="K241" s="489">
        <v>0</v>
      </c>
      <c r="L241" s="489">
        <v>822226</v>
      </c>
      <c r="M241" s="489">
        <v>48652</v>
      </c>
      <c r="N241" s="489">
        <v>17550</v>
      </c>
      <c r="O241" s="490">
        <v>5.6155999999999997</v>
      </c>
      <c r="P241" s="491">
        <v>4.2257999999999996</v>
      </c>
      <c r="Q241" s="500">
        <v>1.3898000000000001</v>
      </c>
      <c r="R241" s="502">
        <f t="shared" si="239"/>
        <v>0</v>
      </c>
      <c r="S241" s="492">
        <v>0</v>
      </c>
      <c r="T241" s="492">
        <v>0</v>
      </c>
      <c r="U241" s="492">
        <v>0</v>
      </c>
      <c r="V241" s="492">
        <f t="shared" si="240"/>
        <v>0</v>
      </c>
      <c r="W241" s="492">
        <v>0</v>
      </c>
      <c r="X241" s="492">
        <v>0</v>
      </c>
      <c r="Y241" s="492">
        <v>0</v>
      </c>
      <c r="Z241" s="492">
        <f t="shared" si="241"/>
        <v>0</v>
      </c>
      <c r="AA241" s="492">
        <f t="shared" si="242"/>
        <v>0</v>
      </c>
      <c r="AB241" s="74">
        <f t="shared" si="243"/>
        <v>0</v>
      </c>
      <c r="AC241" s="74">
        <f t="shared" si="244"/>
        <v>0</v>
      </c>
      <c r="AD241" s="492">
        <v>0</v>
      </c>
      <c r="AE241" s="492">
        <v>0</v>
      </c>
      <c r="AF241" s="492">
        <f t="shared" si="245"/>
        <v>0</v>
      </c>
      <c r="AG241" s="492">
        <f t="shared" si="246"/>
        <v>0</v>
      </c>
      <c r="AH241" s="493">
        <v>0</v>
      </c>
      <c r="AI241" s="493">
        <v>0</v>
      </c>
      <c r="AJ241" s="493">
        <v>0</v>
      </c>
      <c r="AK241" s="493">
        <v>0</v>
      </c>
      <c r="AL241" s="493">
        <v>0</v>
      </c>
      <c r="AM241" s="493">
        <v>0</v>
      </c>
      <c r="AN241" s="493">
        <v>0</v>
      </c>
      <c r="AO241" s="493">
        <f t="shared" ref="AO241:AO243" si="278">AH241+AJ241+AM241+AK241</f>
        <v>0</v>
      </c>
      <c r="AP241" s="493">
        <f t="shared" ref="AP241:AP243" si="279">AI241+AN241+AL241</f>
        <v>0</v>
      </c>
      <c r="AQ241" s="495">
        <f t="shared" si="247"/>
        <v>0</v>
      </c>
      <c r="AR241" s="501">
        <f t="shared" si="248"/>
        <v>3321050</v>
      </c>
      <c r="AS241" s="492">
        <f t="shared" si="249"/>
        <v>2432622</v>
      </c>
      <c r="AT241" s="492">
        <f t="shared" ref="AT241:AT243" si="280">K241+Z241</f>
        <v>0</v>
      </c>
      <c r="AU241" s="492">
        <f t="shared" ref="AU241:AV243" si="281">L241+AB241</f>
        <v>822226</v>
      </c>
      <c r="AV241" s="492">
        <f t="shared" si="281"/>
        <v>48652</v>
      </c>
      <c r="AW241" s="492">
        <f t="shared" si="250"/>
        <v>17550</v>
      </c>
      <c r="AX241" s="493">
        <f t="shared" si="251"/>
        <v>5.6155999999999997</v>
      </c>
      <c r="AY241" s="493">
        <f t="shared" ref="AY241:AZ243" si="282">P241+AO241</f>
        <v>4.2257999999999996</v>
      </c>
      <c r="AZ241" s="495">
        <f t="shared" si="282"/>
        <v>1.3898000000000001</v>
      </c>
    </row>
    <row r="242" spans="1:52" s="238" customFormat="1" ht="12.75" customHeight="1" x14ac:dyDescent="0.2">
      <c r="A242" s="225">
        <v>43</v>
      </c>
      <c r="B242" s="226">
        <v>4424</v>
      </c>
      <c r="C242" s="226">
        <v>600074170</v>
      </c>
      <c r="D242" s="226">
        <v>72741562</v>
      </c>
      <c r="E242" s="224" t="s">
        <v>233</v>
      </c>
      <c r="F242" s="226">
        <v>3111</v>
      </c>
      <c r="G242" s="176" t="s">
        <v>313</v>
      </c>
      <c r="H242" s="227" t="s">
        <v>279</v>
      </c>
      <c r="I242" s="494">
        <v>470470</v>
      </c>
      <c r="J242" s="489">
        <v>346443</v>
      </c>
      <c r="K242" s="489">
        <v>0</v>
      </c>
      <c r="L242" s="489">
        <v>117098</v>
      </c>
      <c r="M242" s="489">
        <v>6929</v>
      </c>
      <c r="N242" s="489">
        <v>0</v>
      </c>
      <c r="O242" s="490">
        <v>1</v>
      </c>
      <c r="P242" s="491">
        <v>1</v>
      </c>
      <c r="Q242" s="500">
        <v>0</v>
      </c>
      <c r="R242" s="502">
        <f t="shared" si="239"/>
        <v>0</v>
      </c>
      <c r="S242" s="492">
        <v>0</v>
      </c>
      <c r="T242" s="492">
        <v>0</v>
      </c>
      <c r="U242" s="492">
        <v>0</v>
      </c>
      <c r="V242" s="492">
        <f t="shared" si="240"/>
        <v>0</v>
      </c>
      <c r="W242" s="492">
        <v>0</v>
      </c>
      <c r="X242" s="492">
        <v>0</v>
      </c>
      <c r="Y242" s="492">
        <v>0</v>
      </c>
      <c r="Z242" s="492">
        <f t="shared" si="241"/>
        <v>0</v>
      </c>
      <c r="AA242" s="492">
        <f t="shared" si="242"/>
        <v>0</v>
      </c>
      <c r="AB242" s="74">
        <f t="shared" si="243"/>
        <v>0</v>
      </c>
      <c r="AC242" s="74">
        <f t="shared" si="244"/>
        <v>0</v>
      </c>
      <c r="AD242" s="492">
        <v>0</v>
      </c>
      <c r="AE242" s="492">
        <v>0</v>
      </c>
      <c r="AF242" s="492">
        <f t="shared" si="245"/>
        <v>0</v>
      </c>
      <c r="AG242" s="492">
        <f t="shared" si="246"/>
        <v>0</v>
      </c>
      <c r="AH242" s="493">
        <v>0</v>
      </c>
      <c r="AI242" s="493">
        <v>0</v>
      </c>
      <c r="AJ242" s="493">
        <v>0</v>
      </c>
      <c r="AK242" s="493">
        <v>0</v>
      </c>
      <c r="AL242" s="493">
        <v>0</v>
      </c>
      <c r="AM242" s="493">
        <v>0</v>
      </c>
      <c r="AN242" s="493">
        <v>0</v>
      </c>
      <c r="AO242" s="493">
        <f t="shared" si="278"/>
        <v>0</v>
      </c>
      <c r="AP242" s="493">
        <f t="shared" si="279"/>
        <v>0</v>
      </c>
      <c r="AQ242" s="495">
        <f t="shared" si="247"/>
        <v>0</v>
      </c>
      <c r="AR242" s="501">
        <f t="shared" si="248"/>
        <v>470470</v>
      </c>
      <c r="AS242" s="492">
        <f t="shared" si="249"/>
        <v>346443</v>
      </c>
      <c r="AT242" s="492">
        <f t="shared" si="280"/>
        <v>0</v>
      </c>
      <c r="AU242" s="492">
        <f t="shared" si="281"/>
        <v>117098</v>
      </c>
      <c r="AV242" s="492">
        <f t="shared" si="281"/>
        <v>6929</v>
      </c>
      <c r="AW242" s="492">
        <f t="shared" si="250"/>
        <v>0</v>
      </c>
      <c r="AX242" s="493">
        <f t="shared" si="251"/>
        <v>1</v>
      </c>
      <c r="AY242" s="493">
        <f t="shared" si="282"/>
        <v>1</v>
      </c>
      <c r="AZ242" s="495">
        <f t="shared" si="282"/>
        <v>0</v>
      </c>
    </row>
    <row r="243" spans="1:52" s="238" customFormat="1" ht="12.75" customHeight="1" x14ac:dyDescent="0.2">
      <c r="A243" s="225">
        <v>43</v>
      </c>
      <c r="B243" s="226">
        <v>4424</v>
      </c>
      <c r="C243" s="226">
        <v>600074170</v>
      </c>
      <c r="D243" s="226">
        <v>72741562</v>
      </c>
      <c r="E243" s="224" t="s">
        <v>233</v>
      </c>
      <c r="F243" s="226">
        <v>3141</v>
      </c>
      <c r="G243" s="176" t="s">
        <v>316</v>
      </c>
      <c r="H243" s="227" t="s">
        <v>279</v>
      </c>
      <c r="I243" s="494">
        <v>1071465</v>
      </c>
      <c r="J243" s="489">
        <v>785372</v>
      </c>
      <c r="K243" s="489">
        <v>0</v>
      </c>
      <c r="L243" s="489">
        <v>265456</v>
      </c>
      <c r="M243" s="489">
        <v>15707</v>
      </c>
      <c r="N243" s="489">
        <v>4930</v>
      </c>
      <c r="O243" s="490">
        <v>2.4700000000000002</v>
      </c>
      <c r="P243" s="491">
        <v>0</v>
      </c>
      <c r="Q243" s="500">
        <v>2.4700000000000002</v>
      </c>
      <c r="R243" s="502">
        <f t="shared" si="239"/>
        <v>0</v>
      </c>
      <c r="S243" s="492">
        <v>0</v>
      </c>
      <c r="T243" s="492">
        <v>0</v>
      </c>
      <c r="U243" s="492">
        <v>0</v>
      </c>
      <c r="V243" s="492">
        <f t="shared" si="240"/>
        <v>0</v>
      </c>
      <c r="W243" s="492">
        <v>0</v>
      </c>
      <c r="X243" s="492">
        <v>0</v>
      </c>
      <c r="Y243" s="492">
        <v>0</v>
      </c>
      <c r="Z243" s="492">
        <f t="shared" si="241"/>
        <v>0</v>
      </c>
      <c r="AA243" s="492">
        <f t="shared" si="242"/>
        <v>0</v>
      </c>
      <c r="AB243" s="74">
        <f t="shared" si="243"/>
        <v>0</v>
      </c>
      <c r="AC243" s="74">
        <f t="shared" si="244"/>
        <v>0</v>
      </c>
      <c r="AD243" s="492">
        <v>0</v>
      </c>
      <c r="AE243" s="492">
        <v>0</v>
      </c>
      <c r="AF243" s="492">
        <f t="shared" si="245"/>
        <v>0</v>
      </c>
      <c r="AG243" s="492">
        <f t="shared" si="246"/>
        <v>0</v>
      </c>
      <c r="AH243" s="493">
        <v>0</v>
      </c>
      <c r="AI243" s="493">
        <v>0</v>
      </c>
      <c r="AJ243" s="493">
        <v>0</v>
      </c>
      <c r="AK243" s="493">
        <v>0</v>
      </c>
      <c r="AL243" s="493">
        <v>0</v>
      </c>
      <c r="AM243" s="493">
        <v>0</v>
      </c>
      <c r="AN243" s="493">
        <v>0</v>
      </c>
      <c r="AO243" s="493">
        <f t="shared" si="278"/>
        <v>0</v>
      </c>
      <c r="AP243" s="493">
        <f t="shared" si="279"/>
        <v>0</v>
      </c>
      <c r="AQ243" s="495">
        <f t="shared" si="247"/>
        <v>0</v>
      </c>
      <c r="AR243" s="501">
        <f t="shared" si="248"/>
        <v>1071465</v>
      </c>
      <c r="AS243" s="492">
        <f t="shared" si="249"/>
        <v>785372</v>
      </c>
      <c r="AT243" s="492">
        <f t="shared" si="280"/>
        <v>0</v>
      </c>
      <c r="AU243" s="492">
        <f t="shared" si="281"/>
        <v>265456</v>
      </c>
      <c r="AV243" s="492">
        <f t="shared" si="281"/>
        <v>15707</v>
      </c>
      <c r="AW243" s="492">
        <f t="shared" si="250"/>
        <v>4930</v>
      </c>
      <c r="AX243" s="493">
        <f t="shared" si="251"/>
        <v>2.4700000000000002</v>
      </c>
      <c r="AY243" s="493">
        <f t="shared" si="282"/>
        <v>0</v>
      </c>
      <c r="AZ243" s="495">
        <f t="shared" si="282"/>
        <v>2.4700000000000002</v>
      </c>
    </row>
    <row r="244" spans="1:52" s="238" customFormat="1" ht="12.75" customHeight="1" x14ac:dyDescent="0.2">
      <c r="A244" s="166">
        <v>43</v>
      </c>
      <c r="B244" s="20">
        <v>4424</v>
      </c>
      <c r="C244" s="20">
        <v>600074170</v>
      </c>
      <c r="D244" s="20">
        <v>72741562</v>
      </c>
      <c r="E244" s="175" t="s">
        <v>234</v>
      </c>
      <c r="F244" s="20"/>
      <c r="G244" s="165"/>
      <c r="H244" s="199"/>
      <c r="I244" s="553">
        <v>4862985</v>
      </c>
      <c r="J244" s="550">
        <v>3564437</v>
      </c>
      <c r="K244" s="550">
        <v>0</v>
      </c>
      <c r="L244" s="550">
        <v>1204780</v>
      </c>
      <c r="M244" s="550">
        <v>71288</v>
      </c>
      <c r="N244" s="550">
        <v>22480</v>
      </c>
      <c r="O244" s="551">
        <v>9.0855999999999995</v>
      </c>
      <c r="P244" s="551">
        <v>5.2257999999999996</v>
      </c>
      <c r="Q244" s="555">
        <v>3.8598000000000003</v>
      </c>
      <c r="R244" s="553">
        <f t="shared" ref="R244:AZ244" si="283">SUM(R241:R243)</f>
        <v>0</v>
      </c>
      <c r="S244" s="550">
        <f t="shared" si="283"/>
        <v>0</v>
      </c>
      <c r="T244" s="550">
        <f t="shared" si="283"/>
        <v>0</v>
      </c>
      <c r="U244" s="550">
        <f t="shared" si="283"/>
        <v>0</v>
      </c>
      <c r="V244" s="550">
        <f t="shared" si="283"/>
        <v>0</v>
      </c>
      <c r="W244" s="550">
        <f t="shared" si="283"/>
        <v>0</v>
      </c>
      <c r="X244" s="550">
        <f t="shared" si="283"/>
        <v>0</v>
      </c>
      <c r="Y244" s="550">
        <f t="shared" si="283"/>
        <v>0</v>
      </c>
      <c r="Z244" s="550">
        <f t="shared" si="283"/>
        <v>0</v>
      </c>
      <c r="AA244" s="550">
        <f t="shared" si="283"/>
        <v>0</v>
      </c>
      <c r="AB244" s="550">
        <f t="shared" si="283"/>
        <v>0</v>
      </c>
      <c r="AC244" s="550">
        <f t="shared" si="283"/>
        <v>0</v>
      </c>
      <c r="AD244" s="550">
        <f t="shared" si="283"/>
        <v>0</v>
      </c>
      <c r="AE244" s="550">
        <f t="shared" si="283"/>
        <v>0</v>
      </c>
      <c r="AF244" s="550">
        <f t="shared" si="283"/>
        <v>0</v>
      </c>
      <c r="AG244" s="550">
        <f t="shared" si="283"/>
        <v>0</v>
      </c>
      <c r="AH244" s="551">
        <f t="shared" si="283"/>
        <v>0</v>
      </c>
      <c r="AI244" s="551">
        <f t="shared" si="283"/>
        <v>0</v>
      </c>
      <c r="AJ244" s="551">
        <f t="shared" si="283"/>
        <v>0</v>
      </c>
      <c r="AK244" s="551">
        <f t="shared" si="283"/>
        <v>0</v>
      </c>
      <c r="AL244" s="551">
        <f t="shared" si="283"/>
        <v>0</v>
      </c>
      <c r="AM244" s="551">
        <f t="shared" si="283"/>
        <v>0</v>
      </c>
      <c r="AN244" s="551">
        <f t="shared" si="283"/>
        <v>0</v>
      </c>
      <c r="AO244" s="551">
        <f t="shared" si="283"/>
        <v>0</v>
      </c>
      <c r="AP244" s="551">
        <f t="shared" si="283"/>
        <v>0</v>
      </c>
      <c r="AQ244" s="44">
        <f t="shared" si="283"/>
        <v>0</v>
      </c>
      <c r="AR244" s="557">
        <f t="shared" si="283"/>
        <v>4862985</v>
      </c>
      <c r="AS244" s="550">
        <f t="shared" si="283"/>
        <v>3564437</v>
      </c>
      <c r="AT244" s="550">
        <f t="shared" si="283"/>
        <v>0</v>
      </c>
      <c r="AU244" s="550">
        <f t="shared" si="283"/>
        <v>1204780</v>
      </c>
      <c r="AV244" s="550">
        <f t="shared" si="283"/>
        <v>71288</v>
      </c>
      <c r="AW244" s="550">
        <f t="shared" si="283"/>
        <v>22480</v>
      </c>
      <c r="AX244" s="551">
        <f t="shared" si="283"/>
        <v>9.0855999999999995</v>
      </c>
      <c r="AY244" s="551">
        <f t="shared" si="283"/>
        <v>5.2257999999999996</v>
      </c>
      <c r="AZ244" s="44">
        <f t="shared" si="283"/>
        <v>3.8598000000000003</v>
      </c>
    </row>
    <row r="245" spans="1:52" s="238" customFormat="1" ht="12.75" customHeight="1" x14ac:dyDescent="0.2">
      <c r="A245" s="225">
        <v>44</v>
      </c>
      <c r="B245" s="226">
        <v>4489</v>
      </c>
      <c r="C245" s="226">
        <v>600075036</v>
      </c>
      <c r="D245" s="226">
        <v>72742607</v>
      </c>
      <c r="E245" s="224" t="s">
        <v>235</v>
      </c>
      <c r="F245" s="226">
        <v>3111</v>
      </c>
      <c r="G245" s="176" t="s">
        <v>312</v>
      </c>
      <c r="H245" s="227" t="s">
        <v>278</v>
      </c>
      <c r="I245" s="494">
        <v>3260639</v>
      </c>
      <c r="J245" s="489">
        <v>2373295</v>
      </c>
      <c r="K245" s="489">
        <v>11700</v>
      </c>
      <c r="L245" s="489">
        <v>806128</v>
      </c>
      <c r="M245" s="489">
        <v>47466</v>
      </c>
      <c r="N245" s="489">
        <v>22050</v>
      </c>
      <c r="O245" s="490">
        <v>4.9917999999999996</v>
      </c>
      <c r="P245" s="491">
        <v>3.97</v>
      </c>
      <c r="Q245" s="500">
        <v>1.0218</v>
      </c>
      <c r="R245" s="502">
        <f t="shared" si="239"/>
        <v>0</v>
      </c>
      <c r="S245" s="492">
        <v>0</v>
      </c>
      <c r="T245" s="492">
        <v>0</v>
      </c>
      <c r="U245" s="492">
        <v>0</v>
      </c>
      <c r="V245" s="492">
        <f t="shared" si="240"/>
        <v>0</v>
      </c>
      <c r="W245" s="492">
        <v>0</v>
      </c>
      <c r="X245" s="492">
        <v>0</v>
      </c>
      <c r="Y245" s="492">
        <v>0</v>
      </c>
      <c r="Z245" s="492">
        <f t="shared" si="241"/>
        <v>0</v>
      </c>
      <c r="AA245" s="492">
        <f t="shared" si="242"/>
        <v>0</v>
      </c>
      <c r="AB245" s="74">
        <f t="shared" si="243"/>
        <v>0</v>
      </c>
      <c r="AC245" s="74">
        <f t="shared" si="244"/>
        <v>0</v>
      </c>
      <c r="AD245" s="492">
        <v>0</v>
      </c>
      <c r="AE245" s="492">
        <v>0</v>
      </c>
      <c r="AF245" s="492">
        <f t="shared" si="245"/>
        <v>0</v>
      </c>
      <c r="AG245" s="492">
        <f t="shared" si="246"/>
        <v>0</v>
      </c>
      <c r="AH245" s="493">
        <v>0</v>
      </c>
      <c r="AI245" s="493">
        <v>0</v>
      </c>
      <c r="AJ245" s="493">
        <v>0</v>
      </c>
      <c r="AK245" s="493">
        <v>0</v>
      </c>
      <c r="AL245" s="493">
        <v>0</v>
      </c>
      <c r="AM245" s="493">
        <v>0</v>
      </c>
      <c r="AN245" s="493">
        <v>0</v>
      </c>
      <c r="AO245" s="493">
        <f t="shared" ref="AO245:AO250" si="284">AH245+AJ245+AM245+AK245</f>
        <v>0</v>
      </c>
      <c r="AP245" s="493">
        <f t="shared" ref="AP245:AP250" si="285">AI245+AN245+AL245</f>
        <v>0</v>
      </c>
      <c r="AQ245" s="495">
        <f t="shared" si="247"/>
        <v>0</v>
      </c>
      <c r="AR245" s="501">
        <f t="shared" si="248"/>
        <v>3260639</v>
      </c>
      <c r="AS245" s="492">
        <f t="shared" si="249"/>
        <v>2373295</v>
      </c>
      <c r="AT245" s="492">
        <f t="shared" ref="AT245:AT250" si="286">K245+Z245</f>
        <v>11700</v>
      </c>
      <c r="AU245" s="492">
        <f t="shared" ref="AU245:AV250" si="287">L245+AB245</f>
        <v>806128</v>
      </c>
      <c r="AV245" s="492">
        <f t="shared" si="287"/>
        <v>47466</v>
      </c>
      <c r="AW245" s="492">
        <f t="shared" si="250"/>
        <v>22050</v>
      </c>
      <c r="AX245" s="493">
        <f t="shared" si="251"/>
        <v>4.9917999999999996</v>
      </c>
      <c r="AY245" s="493">
        <f t="shared" ref="AY245:AZ250" si="288">P245+AO245</f>
        <v>3.97</v>
      </c>
      <c r="AZ245" s="495">
        <f t="shared" si="288"/>
        <v>1.0218</v>
      </c>
    </row>
    <row r="246" spans="1:52" s="238" customFormat="1" ht="12.75" customHeight="1" x14ac:dyDescent="0.2">
      <c r="A246" s="225">
        <v>44</v>
      </c>
      <c r="B246" s="226">
        <v>4489</v>
      </c>
      <c r="C246" s="226">
        <v>600075036</v>
      </c>
      <c r="D246" s="226">
        <v>72742607</v>
      </c>
      <c r="E246" s="224" t="s">
        <v>235</v>
      </c>
      <c r="F246" s="226">
        <v>3117</v>
      </c>
      <c r="G246" s="176" t="s">
        <v>315</v>
      </c>
      <c r="H246" s="227" t="s">
        <v>278</v>
      </c>
      <c r="I246" s="494">
        <v>3670458</v>
      </c>
      <c r="J246" s="489">
        <v>2643593</v>
      </c>
      <c r="K246" s="489">
        <v>3900</v>
      </c>
      <c r="L246" s="489">
        <v>894853</v>
      </c>
      <c r="M246" s="489">
        <v>52872</v>
      </c>
      <c r="N246" s="489">
        <v>75240</v>
      </c>
      <c r="O246" s="490">
        <v>5.5013000000000005</v>
      </c>
      <c r="P246" s="491">
        <v>3.6708000000000003</v>
      </c>
      <c r="Q246" s="500">
        <v>1.8304999999999998</v>
      </c>
      <c r="R246" s="502">
        <f t="shared" si="239"/>
        <v>0</v>
      </c>
      <c r="S246" s="492">
        <v>0</v>
      </c>
      <c r="T246" s="492">
        <v>0</v>
      </c>
      <c r="U246" s="492">
        <v>0</v>
      </c>
      <c r="V246" s="492">
        <f t="shared" si="240"/>
        <v>0</v>
      </c>
      <c r="W246" s="492">
        <v>0</v>
      </c>
      <c r="X246" s="492">
        <v>0</v>
      </c>
      <c r="Y246" s="492">
        <v>0</v>
      </c>
      <c r="Z246" s="492">
        <f t="shared" si="241"/>
        <v>0</v>
      </c>
      <c r="AA246" s="492">
        <f t="shared" si="242"/>
        <v>0</v>
      </c>
      <c r="AB246" s="74">
        <f t="shared" si="243"/>
        <v>0</v>
      </c>
      <c r="AC246" s="74">
        <f t="shared" si="244"/>
        <v>0</v>
      </c>
      <c r="AD246" s="492">
        <v>0</v>
      </c>
      <c r="AE246" s="492">
        <v>0</v>
      </c>
      <c r="AF246" s="492">
        <f t="shared" si="245"/>
        <v>0</v>
      </c>
      <c r="AG246" s="492">
        <f t="shared" si="246"/>
        <v>0</v>
      </c>
      <c r="AH246" s="493">
        <v>0</v>
      </c>
      <c r="AI246" s="493">
        <v>0</v>
      </c>
      <c r="AJ246" s="493">
        <v>0</v>
      </c>
      <c r="AK246" s="493">
        <v>0</v>
      </c>
      <c r="AL246" s="493">
        <v>0</v>
      </c>
      <c r="AM246" s="493">
        <v>0</v>
      </c>
      <c r="AN246" s="493">
        <v>0</v>
      </c>
      <c r="AO246" s="493">
        <f t="shared" si="284"/>
        <v>0</v>
      </c>
      <c r="AP246" s="493">
        <f t="shared" si="285"/>
        <v>0</v>
      </c>
      <c r="AQ246" s="495">
        <f t="shared" si="247"/>
        <v>0</v>
      </c>
      <c r="AR246" s="501">
        <f t="shared" si="248"/>
        <v>3670458</v>
      </c>
      <c r="AS246" s="492">
        <f t="shared" si="249"/>
        <v>2643593</v>
      </c>
      <c r="AT246" s="492">
        <f t="shared" si="286"/>
        <v>3900</v>
      </c>
      <c r="AU246" s="492">
        <f t="shared" si="287"/>
        <v>894853</v>
      </c>
      <c r="AV246" s="492">
        <f t="shared" si="287"/>
        <v>52872</v>
      </c>
      <c r="AW246" s="492">
        <f t="shared" si="250"/>
        <v>75240</v>
      </c>
      <c r="AX246" s="493">
        <f t="shared" si="251"/>
        <v>5.5013000000000005</v>
      </c>
      <c r="AY246" s="493">
        <f t="shared" si="288"/>
        <v>3.6708000000000003</v>
      </c>
      <c r="AZ246" s="495">
        <f t="shared" si="288"/>
        <v>1.8304999999999998</v>
      </c>
    </row>
    <row r="247" spans="1:52" s="238" customFormat="1" ht="12.75" customHeight="1" x14ac:dyDescent="0.2">
      <c r="A247" s="225">
        <v>44</v>
      </c>
      <c r="B247" s="226">
        <v>4489</v>
      </c>
      <c r="C247" s="226">
        <v>600075036</v>
      </c>
      <c r="D247" s="226">
        <v>72742607</v>
      </c>
      <c r="E247" s="224" t="s">
        <v>235</v>
      </c>
      <c r="F247" s="226">
        <v>3117</v>
      </c>
      <c r="G247" s="176" t="s">
        <v>313</v>
      </c>
      <c r="H247" s="227" t="s">
        <v>279</v>
      </c>
      <c r="I247" s="494">
        <v>1711992</v>
      </c>
      <c r="J247" s="489">
        <v>1260672</v>
      </c>
      <c r="K247" s="489">
        <v>0</v>
      </c>
      <c r="L247" s="489">
        <v>426107</v>
      </c>
      <c r="M247" s="489">
        <v>25213</v>
      </c>
      <c r="N247" s="489">
        <v>0</v>
      </c>
      <c r="O247" s="490">
        <v>3.64</v>
      </c>
      <c r="P247" s="491">
        <v>3.64</v>
      </c>
      <c r="Q247" s="500">
        <v>0</v>
      </c>
      <c r="R247" s="502">
        <f t="shared" si="239"/>
        <v>0</v>
      </c>
      <c r="S247" s="492">
        <v>0</v>
      </c>
      <c r="T247" s="492">
        <v>0</v>
      </c>
      <c r="U247" s="492">
        <v>0</v>
      </c>
      <c r="V247" s="492">
        <f t="shared" si="240"/>
        <v>0</v>
      </c>
      <c r="W247" s="492">
        <v>0</v>
      </c>
      <c r="X247" s="492">
        <v>0</v>
      </c>
      <c r="Y247" s="492">
        <v>0</v>
      </c>
      <c r="Z247" s="492">
        <f t="shared" si="241"/>
        <v>0</v>
      </c>
      <c r="AA247" s="492">
        <f t="shared" si="242"/>
        <v>0</v>
      </c>
      <c r="AB247" s="74">
        <f t="shared" si="243"/>
        <v>0</v>
      </c>
      <c r="AC247" s="74">
        <f t="shared" si="244"/>
        <v>0</v>
      </c>
      <c r="AD247" s="492">
        <v>0</v>
      </c>
      <c r="AE247" s="492">
        <v>0</v>
      </c>
      <c r="AF247" s="492">
        <f t="shared" si="245"/>
        <v>0</v>
      </c>
      <c r="AG247" s="492">
        <f t="shared" si="246"/>
        <v>0</v>
      </c>
      <c r="AH247" s="493">
        <v>0</v>
      </c>
      <c r="AI247" s="493">
        <v>0</v>
      </c>
      <c r="AJ247" s="493">
        <v>0</v>
      </c>
      <c r="AK247" s="493">
        <v>0</v>
      </c>
      <c r="AL247" s="493">
        <v>0</v>
      </c>
      <c r="AM247" s="493">
        <v>0</v>
      </c>
      <c r="AN247" s="493">
        <v>0</v>
      </c>
      <c r="AO247" s="493">
        <f t="shared" si="284"/>
        <v>0</v>
      </c>
      <c r="AP247" s="493">
        <f t="shared" si="285"/>
        <v>0</v>
      </c>
      <c r="AQ247" s="495">
        <f t="shared" si="247"/>
        <v>0</v>
      </c>
      <c r="AR247" s="501">
        <f t="shared" si="248"/>
        <v>1711992</v>
      </c>
      <c r="AS247" s="492">
        <f t="shared" si="249"/>
        <v>1260672</v>
      </c>
      <c r="AT247" s="492">
        <f t="shared" si="286"/>
        <v>0</v>
      </c>
      <c r="AU247" s="492">
        <f t="shared" si="287"/>
        <v>426107</v>
      </c>
      <c r="AV247" s="492">
        <f t="shared" si="287"/>
        <v>25213</v>
      </c>
      <c r="AW247" s="492">
        <f t="shared" si="250"/>
        <v>0</v>
      </c>
      <c r="AX247" s="493">
        <f t="shared" si="251"/>
        <v>3.64</v>
      </c>
      <c r="AY247" s="493">
        <f t="shared" si="288"/>
        <v>3.64</v>
      </c>
      <c r="AZ247" s="495">
        <f t="shared" si="288"/>
        <v>0</v>
      </c>
    </row>
    <row r="248" spans="1:52" s="238" customFormat="1" ht="12.75" customHeight="1" x14ac:dyDescent="0.2">
      <c r="A248" s="225">
        <v>44</v>
      </c>
      <c r="B248" s="226">
        <v>4489</v>
      </c>
      <c r="C248" s="226">
        <v>600075036</v>
      </c>
      <c r="D248" s="226">
        <v>72742607</v>
      </c>
      <c r="E248" s="224" t="s">
        <v>235</v>
      </c>
      <c r="F248" s="226">
        <v>3141</v>
      </c>
      <c r="G248" s="176" t="s">
        <v>316</v>
      </c>
      <c r="H248" s="227" t="s">
        <v>279</v>
      </c>
      <c r="I248" s="494">
        <v>1167449</v>
      </c>
      <c r="J248" s="489">
        <v>846062</v>
      </c>
      <c r="K248" s="489">
        <v>9750</v>
      </c>
      <c r="L248" s="489">
        <v>289264</v>
      </c>
      <c r="M248" s="489">
        <v>16921</v>
      </c>
      <c r="N248" s="489">
        <v>5452</v>
      </c>
      <c r="O248" s="490">
        <v>2.7</v>
      </c>
      <c r="P248" s="491">
        <v>0</v>
      </c>
      <c r="Q248" s="500">
        <v>2.7</v>
      </c>
      <c r="R248" s="502">
        <f t="shared" si="239"/>
        <v>0</v>
      </c>
      <c r="S248" s="492">
        <v>0</v>
      </c>
      <c r="T248" s="492">
        <v>0</v>
      </c>
      <c r="U248" s="492">
        <v>0</v>
      </c>
      <c r="V248" s="492">
        <f t="shared" si="240"/>
        <v>0</v>
      </c>
      <c r="W248" s="492">
        <v>0</v>
      </c>
      <c r="X248" s="492">
        <v>0</v>
      </c>
      <c r="Y248" s="492">
        <v>0</v>
      </c>
      <c r="Z248" s="492">
        <f t="shared" si="241"/>
        <v>0</v>
      </c>
      <c r="AA248" s="492">
        <f t="shared" si="242"/>
        <v>0</v>
      </c>
      <c r="AB248" s="74">
        <f t="shared" si="243"/>
        <v>0</v>
      </c>
      <c r="AC248" s="74">
        <f t="shared" si="244"/>
        <v>0</v>
      </c>
      <c r="AD248" s="492">
        <v>0</v>
      </c>
      <c r="AE248" s="492">
        <v>0</v>
      </c>
      <c r="AF248" s="492">
        <f t="shared" si="245"/>
        <v>0</v>
      </c>
      <c r="AG248" s="492">
        <f t="shared" si="246"/>
        <v>0</v>
      </c>
      <c r="AH248" s="493">
        <v>0</v>
      </c>
      <c r="AI248" s="493">
        <v>0</v>
      </c>
      <c r="AJ248" s="493">
        <v>0</v>
      </c>
      <c r="AK248" s="493">
        <v>0</v>
      </c>
      <c r="AL248" s="493">
        <v>0</v>
      </c>
      <c r="AM248" s="493">
        <v>0</v>
      </c>
      <c r="AN248" s="493">
        <v>0</v>
      </c>
      <c r="AO248" s="493">
        <f t="shared" si="284"/>
        <v>0</v>
      </c>
      <c r="AP248" s="493">
        <f t="shared" si="285"/>
        <v>0</v>
      </c>
      <c r="AQ248" s="495">
        <f t="shared" si="247"/>
        <v>0</v>
      </c>
      <c r="AR248" s="501">
        <f t="shared" si="248"/>
        <v>1167449</v>
      </c>
      <c r="AS248" s="492">
        <f t="shared" si="249"/>
        <v>846062</v>
      </c>
      <c r="AT248" s="492">
        <f t="shared" si="286"/>
        <v>9750</v>
      </c>
      <c r="AU248" s="492">
        <f t="shared" si="287"/>
        <v>289264</v>
      </c>
      <c r="AV248" s="492">
        <f t="shared" si="287"/>
        <v>16921</v>
      </c>
      <c r="AW248" s="492">
        <f t="shared" si="250"/>
        <v>5452</v>
      </c>
      <c r="AX248" s="493">
        <f t="shared" si="251"/>
        <v>2.7</v>
      </c>
      <c r="AY248" s="493">
        <f t="shared" si="288"/>
        <v>0</v>
      </c>
      <c r="AZ248" s="495">
        <f t="shared" si="288"/>
        <v>2.7</v>
      </c>
    </row>
    <row r="249" spans="1:52" s="238" customFormat="1" ht="12.75" customHeight="1" x14ac:dyDescent="0.2">
      <c r="A249" s="225">
        <v>44</v>
      </c>
      <c r="B249" s="226">
        <v>4489</v>
      </c>
      <c r="C249" s="226">
        <v>600075036</v>
      </c>
      <c r="D249" s="226">
        <v>72742607</v>
      </c>
      <c r="E249" s="224" t="s">
        <v>235</v>
      </c>
      <c r="F249" s="226">
        <v>3143</v>
      </c>
      <c r="G249" s="176" t="s">
        <v>629</v>
      </c>
      <c r="H249" s="243" t="s">
        <v>278</v>
      </c>
      <c r="I249" s="494">
        <v>689332</v>
      </c>
      <c r="J249" s="489">
        <v>501204</v>
      </c>
      <c r="K249" s="489">
        <v>6500</v>
      </c>
      <c r="L249" s="489">
        <v>171604</v>
      </c>
      <c r="M249" s="489">
        <v>10024</v>
      </c>
      <c r="N249" s="489">
        <v>0</v>
      </c>
      <c r="O249" s="490">
        <v>0.98</v>
      </c>
      <c r="P249" s="491">
        <v>0.98</v>
      </c>
      <c r="Q249" s="500">
        <v>0</v>
      </c>
      <c r="R249" s="502">
        <f t="shared" si="239"/>
        <v>0</v>
      </c>
      <c r="S249" s="492">
        <v>0</v>
      </c>
      <c r="T249" s="492">
        <v>0</v>
      </c>
      <c r="U249" s="492">
        <v>0</v>
      </c>
      <c r="V249" s="492">
        <f t="shared" si="240"/>
        <v>0</v>
      </c>
      <c r="W249" s="492">
        <v>0</v>
      </c>
      <c r="X249" s="492">
        <v>0</v>
      </c>
      <c r="Y249" s="492">
        <v>0</v>
      </c>
      <c r="Z249" s="492">
        <f t="shared" si="241"/>
        <v>0</v>
      </c>
      <c r="AA249" s="492">
        <f t="shared" si="242"/>
        <v>0</v>
      </c>
      <c r="AB249" s="74">
        <f t="shared" si="243"/>
        <v>0</v>
      </c>
      <c r="AC249" s="74">
        <f t="shared" si="244"/>
        <v>0</v>
      </c>
      <c r="AD249" s="492">
        <v>0</v>
      </c>
      <c r="AE249" s="492">
        <v>0</v>
      </c>
      <c r="AF249" s="492">
        <f t="shared" si="245"/>
        <v>0</v>
      </c>
      <c r="AG249" s="492">
        <f t="shared" si="246"/>
        <v>0</v>
      </c>
      <c r="AH249" s="493">
        <v>0</v>
      </c>
      <c r="AI249" s="493">
        <v>0</v>
      </c>
      <c r="AJ249" s="493">
        <v>0</v>
      </c>
      <c r="AK249" s="493">
        <v>0</v>
      </c>
      <c r="AL249" s="493">
        <v>0</v>
      </c>
      <c r="AM249" s="493">
        <v>0</v>
      </c>
      <c r="AN249" s="493">
        <v>0</v>
      </c>
      <c r="AO249" s="493">
        <f t="shared" si="284"/>
        <v>0</v>
      </c>
      <c r="AP249" s="493">
        <f t="shared" si="285"/>
        <v>0</v>
      </c>
      <c r="AQ249" s="495">
        <f t="shared" si="247"/>
        <v>0</v>
      </c>
      <c r="AR249" s="501">
        <f t="shared" si="248"/>
        <v>689332</v>
      </c>
      <c r="AS249" s="492">
        <f t="shared" si="249"/>
        <v>501204</v>
      </c>
      <c r="AT249" s="492">
        <f t="shared" si="286"/>
        <v>6500</v>
      </c>
      <c r="AU249" s="492">
        <f t="shared" si="287"/>
        <v>171604</v>
      </c>
      <c r="AV249" s="492">
        <f t="shared" si="287"/>
        <v>10024</v>
      </c>
      <c r="AW249" s="492">
        <f t="shared" si="250"/>
        <v>0</v>
      </c>
      <c r="AX249" s="493">
        <f t="shared" si="251"/>
        <v>0.98</v>
      </c>
      <c r="AY249" s="493">
        <f t="shared" si="288"/>
        <v>0.98</v>
      </c>
      <c r="AZ249" s="495">
        <f t="shared" si="288"/>
        <v>0</v>
      </c>
    </row>
    <row r="250" spans="1:52" s="238" customFormat="1" ht="12.75" customHeight="1" x14ac:dyDescent="0.2">
      <c r="A250" s="225">
        <v>44</v>
      </c>
      <c r="B250" s="226">
        <v>4489</v>
      </c>
      <c r="C250" s="226">
        <v>600075036</v>
      </c>
      <c r="D250" s="226">
        <v>72742607</v>
      </c>
      <c r="E250" s="224" t="s">
        <v>235</v>
      </c>
      <c r="F250" s="226">
        <v>3143</v>
      </c>
      <c r="G250" s="176" t="s">
        <v>630</v>
      </c>
      <c r="H250" s="243" t="s">
        <v>279</v>
      </c>
      <c r="I250" s="494">
        <v>18899</v>
      </c>
      <c r="J250" s="489">
        <v>13365</v>
      </c>
      <c r="K250" s="489">
        <v>0</v>
      </c>
      <c r="L250" s="489">
        <v>4517</v>
      </c>
      <c r="M250" s="489">
        <v>267</v>
      </c>
      <c r="N250" s="489">
        <v>750</v>
      </c>
      <c r="O250" s="490">
        <v>0.05</v>
      </c>
      <c r="P250" s="491">
        <v>0</v>
      </c>
      <c r="Q250" s="500">
        <v>0.05</v>
      </c>
      <c r="R250" s="502">
        <f t="shared" si="239"/>
        <v>0</v>
      </c>
      <c r="S250" s="492">
        <v>0</v>
      </c>
      <c r="T250" s="492">
        <v>0</v>
      </c>
      <c r="U250" s="492">
        <v>0</v>
      </c>
      <c r="V250" s="492">
        <f t="shared" si="240"/>
        <v>0</v>
      </c>
      <c r="W250" s="492">
        <v>0</v>
      </c>
      <c r="X250" s="492">
        <v>0</v>
      </c>
      <c r="Y250" s="492">
        <v>0</v>
      </c>
      <c r="Z250" s="492">
        <f t="shared" si="241"/>
        <v>0</v>
      </c>
      <c r="AA250" s="492">
        <f t="shared" si="242"/>
        <v>0</v>
      </c>
      <c r="AB250" s="74">
        <f t="shared" si="243"/>
        <v>0</v>
      </c>
      <c r="AC250" s="74">
        <f t="shared" si="244"/>
        <v>0</v>
      </c>
      <c r="AD250" s="492">
        <v>0</v>
      </c>
      <c r="AE250" s="492">
        <v>0</v>
      </c>
      <c r="AF250" s="492">
        <f t="shared" si="245"/>
        <v>0</v>
      </c>
      <c r="AG250" s="492">
        <f t="shared" si="246"/>
        <v>0</v>
      </c>
      <c r="AH250" s="493">
        <v>0</v>
      </c>
      <c r="AI250" s="493">
        <v>0</v>
      </c>
      <c r="AJ250" s="493">
        <v>0</v>
      </c>
      <c r="AK250" s="493">
        <v>0</v>
      </c>
      <c r="AL250" s="493">
        <v>0</v>
      </c>
      <c r="AM250" s="493">
        <v>0</v>
      </c>
      <c r="AN250" s="493">
        <v>0</v>
      </c>
      <c r="AO250" s="493">
        <f t="shared" si="284"/>
        <v>0</v>
      </c>
      <c r="AP250" s="493">
        <f t="shared" si="285"/>
        <v>0</v>
      </c>
      <c r="AQ250" s="495">
        <f t="shared" si="247"/>
        <v>0</v>
      </c>
      <c r="AR250" s="501">
        <f t="shared" si="248"/>
        <v>18899</v>
      </c>
      <c r="AS250" s="492">
        <f t="shared" si="249"/>
        <v>13365</v>
      </c>
      <c r="AT250" s="492">
        <f t="shared" si="286"/>
        <v>0</v>
      </c>
      <c r="AU250" s="492">
        <f t="shared" si="287"/>
        <v>4517</v>
      </c>
      <c r="AV250" s="492">
        <f t="shared" si="287"/>
        <v>267</v>
      </c>
      <c r="AW250" s="492">
        <f t="shared" si="250"/>
        <v>750</v>
      </c>
      <c r="AX250" s="493">
        <f t="shared" si="251"/>
        <v>0.05</v>
      </c>
      <c r="AY250" s="493">
        <f t="shared" si="288"/>
        <v>0</v>
      </c>
      <c r="AZ250" s="495">
        <f t="shared" si="288"/>
        <v>0.05</v>
      </c>
    </row>
    <row r="251" spans="1:52" s="238" customFormat="1" ht="12.75" customHeight="1" x14ac:dyDescent="0.2">
      <c r="A251" s="166">
        <v>44</v>
      </c>
      <c r="B251" s="20">
        <v>4489</v>
      </c>
      <c r="C251" s="20">
        <v>600075036</v>
      </c>
      <c r="D251" s="20">
        <v>72742607</v>
      </c>
      <c r="E251" s="175" t="s">
        <v>236</v>
      </c>
      <c r="F251" s="20"/>
      <c r="G251" s="165"/>
      <c r="H251" s="199"/>
      <c r="I251" s="553">
        <v>10518769</v>
      </c>
      <c r="J251" s="550">
        <v>7638191</v>
      </c>
      <c r="K251" s="550">
        <v>31850</v>
      </c>
      <c r="L251" s="550">
        <v>2592473</v>
      </c>
      <c r="M251" s="550">
        <v>152763</v>
      </c>
      <c r="N251" s="550">
        <v>103492</v>
      </c>
      <c r="O251" s="551">
        <v>17.863100000000003</v>
      </c>
      <c r="P251" s="551">
        <v>12.260800000000001</v>
      </c>
      <c r="Q251" s="555">
        <v>5.6022999999999996</v>
      </c>
      <c r="R251" s="553">
        <f t="shared" ref="R251:AZ251" si="289">SUM(R245:R250)</f>
        <v>0</v>
      </c>
      <c r="S251" s="550">
        <f t="shared" si="289"/>
        <v>0</v>
      </c>
      <c r="T251" s="550">
        <f t="shared" si="289"/>
        <v>0</v>
      </c>
      <c r="U251" s="550">
        <f t="shared" si="289"/>
        <v>0</v>
      </c>
      <c r="V251" s="550">
        <f t="shared" si="289"/>
        <v>0</v>
      </c>
      <c r="W251" s="550">
        <f t="shared" si="289"/>
        <v>0</v>
      </c>
      <c r="X251" s="550">
        <f t="shared" si="289"/>
        <v>0</v>
      </c>
      <c r="Y251" s="550">
        <f t="shared" si="289"/>
        <v>0</v>
      </c>
      <c r="Z251" s="550">
        <f t="shared" si="289"/>
        <v>0</v>
      </c>
      <c r="AA251" s="550">
        <f t="shared" si="289"/>
        <v>0</v>
      </c>
      <c r="AB251" s="550">
        <f t="shared" si="289"/>
        <v>0</v>
      </c>
      <c r="AC251" s="550">
        <f t="shared" si="289"/>
        <v>0</v>
      </c>
      <c r="AD251" s="550">
        <f t="shared" si="289"/>
        <v>0</v>
      </c>
      <c r="AE251" s="550">
        <f t="shared" si="289"/>
        <v>0</v>
      </c>
      <c r="AF251" s="550">
        <f t="shared" si="289"/>
        <v>0</v>
      </c>
      <c r="AG251" s="550">
        <f t="shared" si="289"/>
        <v>0</v>
      </c>
      <c r="AH251" s="551">
        <f t="shared" si="289"/>
        <v>0</v>
      </c>
      <c r="AI251" s="551">
        <f t="shared" si="289"/>
        <v>0</v>
      </c>
      <c r="AJ251" s="551">
        <f t="shared" si="289"/>
        <v>0</v>
      </c>
      <c r="AK251" s="551">
        <f t="shared" si="289"/>
        <v>0</v>
      </c>
      <c r="AL251" s="551">
        <f t="shared" si="289"/>
        <v>0</v>
      </c>
      <c r="AM251" s="551">
        <f t="shared" si="289"/>
        <v>0</v>
      </c>
      <c r="AN251" s="551">
        <f t="shared" si="289"/>
        <v>0</v>
      </c>
      <c r="AO251" s="551">
        <f t="shared" si="289"/>
        <v>0</v>
      </c>
      <c r="AP251" s="551">
        <f t="shared" si="289"/>
        <v>0</v>
      </c>
      <c r="AQ251" s="44">
        <f t="shared" si="289"/>
        <v>0</v>
      </c>
      <c r="AR251" s="557">
        <f t="shared" si="289"/>
        <v>10518769</v>
      </c>
      <c r="AS251" s="550">
        <f t="shared" si="289"/>
        <v>7638191</v>
      </c>
      <c r="AT251" s="550">
        <f t="shared" si="289"/>
        <v>31850</v>
      </c>
      <c r="AU251" s="550">
        <f t="shared" si="289"/>
        <v>2592473</v>
      </c>
      <c r="AV251" s="550">
        <f t="shared" si="289"/>
        <v>152763</v>
      </c>
      <c r="AW251" s="550">
        <f t="shared" si="289"/>
        <v>103492</v>
      </c>
      <c r="AX251" s="551">
        <f t="shared" si="289"/>
        <v>17.863100000000003</v>
      </c>
      <c r="AY251" s="551">
        <f t="shared" si="289"/>
        <v>12.260800000000001</v>
      </c>
      <c r="AZ251" s="44">
        <f t="shared" si="289"/>
        <v>5.6022999999999996</v>
      </c>
    </row>
    <row r="252" spans="1:52" s="238" customFormat="1" ht="12.75" customHeight="1" x14ac:dyDescent="0.2">
      <c r="A252" s="225">
        <v>45</v>
      </c>
      <c r="B252" s="226">
        <v>4426</v>
      </c>
      <c r="C252" s="226">
        <v>600074129</v>
      </c>
      <c r="D252" s="226">
        <v>72742160</v>
      </c>
      <c r="E252" s="224" t="s">
        <v>237</v>
      </c>
      <c r="F252" s="226">
        <v>3111</v>
      </c>
      <c r="G252" s="176" t="s">
        <v>312</v>
      </c>
      <c r="H252" s="227" t="s">
        <v>278</v>
      </c>
      <c r="I252" s="494">
        <v>3313700</v>
      </c>
      <c r="J252" s="489">
        <v>2430191</v>
      </c>
      <c r="K252" s="489">
        <v>0</v>
      </c>
      <c r="L252" s="489">
        <v>821405</v>
      </c>
      <c r="M252" s="489">
        <v>48604</v>
      </c>
      <c r="N252" s="489">
        <v>13500</v>
      </c>
      <c r="O252" s="490">
        <v>5.3898000000000001</v>
      </c>
      <c r="P252" s="491">
        <v>4</v>
      </c>
      <c r="Q252" s="500">
        <v>1.3898000000000001</v>
      </c>
      <c r="R252" s="502">
        <f t="shared" si="239"/>
        <v>0</v>
      </c>
      <c r="S252" s="492">
        <v>0</v>
      </c>
      <c r="T252" s="492">
        <v>0</v>
      </c>
      <c r="U252" s="492">
        <v>0</v>
      </c>
      <c r="V252" s="492">
        <f t="shared" si="240"/>
        <v>0</v>
      </c>
      <c r="W252" s="492">
        <v>0</v>
      </c>
      <c r="X252" s="492">
        <v>0</v>
      </c>
      <c r="Y252" s="492">
        <v>0</v>
      </c>
      <c r="Z252" s="492">
        <f t="shared" si="241"/>
        <v>0</v>
      </c>
      <c r="AA252" s="492">
        <f t="shared" si="242"/>
        <v>0</v>
      </c>
      <c r="AB252" s="74">
        <f t="shared" si="243"/>
        <v>0</v>
      </c>
      <c r="AC252" s="74">
        <f t="shared" si="244"/>
        <v>0</v>
      </c>
      <c r="AD252" s="492">
        <v>0</v>
      </c>
      <c r="AE252" s="492">
        <v>0</v>
      </c>
      <c r="AF252" s="492">
        <f t="shared" si="245"/>
        <v>0</v>
      </c>
      <c r="AG252" s="492">
        <f t="shared" si="246"/>
        <v>0</v>
      </c>
      <c r="AH252" s="493">
        <v>0</v>
      </c>
      <c r="AI252" s="493">
        <v>0</v>
      </c>
      <c r="AJ252" s="493">
        <v>0</v>
      </c>
      <c r="AK252" s="493">
        <v>0</v>
      </c>
      <c r="AL252" s="493">
        <v>0</v>
      </c>
      <c r="AM252" s="493">
        <v>0</v>
      </c>
      <c r="AN252" s="493">
        <v>0</v>
      </c>
      <c r="AO252" s="493">
        <f t="shared" ref="AO252:AO253" si="290">AH252+AJ252+AM252+AK252</f>
        <v>0</v>
      </c>
      <c r="AP252" s="493">
        <f t="shared" ref="AP252:AP253" si="291">AI252+AN252+AL252</f>
        <v>0</v>
      </c>
      <c r="AQ252" s="495">
        <f t="shared" si="247"/>
        <v>0</v>
      </c>
      <c r="AR252" s="501">
        <f t="shared" si="248"/>
        <v>3313700</v>
      </c>
      <c r="AS252" s="492">
        <f t="shared" si="249"/>
        <v>2430191</v>
      </c>
      <c r="AT252" s="492">
        <f t="shared" ref="AT252:AT253" si="292">K252+Z252</f>
        <v>0</v>
      </c>
      <c r="AU252" s="492">
        <f>L252+AB252</f>
        <v>821405</v>
      </c>
      <c r="AV252" s="492">
        <f>M252+AC252</f>
        <v>48604</v>
      </c>
      <c r="AW252" s="492">
        <f t="shared" si="250"/>
        <v>13500</v>
      </c>
      <c r="AX252" s="493">
        <f t="shared" si="251"/>
        <v>5.3898000000000001</v>
      </c>
      <c r="AY252" s="493">
        <f>P252+AO252</f>
        <v>4</v>
      </c>
      <c r="AZ252" s="495">
        <f>Q252+AP252</f>
        <v>1.3898000000000001</v>
      </c>
    </row>
    <row r="253" spans="1:52" s="238" customFormat="1" ht="12.75" customHeight="1" x14ac:dyDescent="0.2">
      <c r="A253" s="225">
        <v>45</v>
      </c>
      <c r="B253" s="226">
        <v>4426</v>
      </c>
      <c r="C253" s="226">
        <v>600074129</v>
      </c>
      <c r="D253" s="226">
        <v>72742160</v>
      </c>
      <c r="E253" s="224" t="s">
        <v>237</v>
      </c>
      <c r="F253" s="226">
        <v>3141</v>
      </c>
      <c r="G253" s="176" t="s">
        <v>316</v>
      </c>
      <c r="H253" s="227" t="s">
        <v>279</v>
      </c>
      <c r="I253" s="494">
        <v>478888</v>
      </c>
      <c r="J253" s="489">
        <v>351361</v>
      </c>
      <c r="K253" s="489">
        <v>0</v>
      </c>
      <c r="L253" s="489">
        <v>118760</v>
      </c>
      <c r="M253" s="489">
        <v>7027</v>
      </c>
      <c r="N253" s="489">
        <v>1740</v>
      </c>
      <c r="O253" s="490">
        <v>1.1100000000000001</v>
      </c>
      <c r="P253" s="491">
        <v>0</v>
      </c>
      <c r="Q253" s="500">
        <v>1.1100000000000001</v>
      </c>
      <c r="R253" s="502">
        <f t="shared" si="239"/>
        <v>0</v>
      </c>
      <c r="S253" s="492">
        <v>0</v>
      </c>
      <c r="T253" s="492">
        <v>0</v>
      </c>
      <c r="U253" s="492">
        <v>0</v>
      </c>
      <c r="V253" s="492">
        <f t="shared" si="240"/>
        <v>0</v>
      </c>
      <c r="W253" s="492">
        <v>0</v>
      </c>
      <c r="X253" s="492">
        <v>0</v>
      </c>
      <c r="Y253" s="492">
        <v>0</v>
      </c>
      <c r="Z253" s="492">
        <f t="shared" si="241"/>
        <v>0</v>
      </c>
      <c r="AA253" s="492">
        <f t="shared" si="242"/>
        <v>0</v>
      </c>
      <c r="AB253" s="74">
        <f t="shared" si="243"/>
        <v>0</v>
      </c>
      <c r="AC253" s="74">
        <f t="shared" si="244"/>
        <v>0</v>
      </c>
      <c r="AD253" s="492">
        <v>0</v>
      </c>
      <c r="AE253" s="492">
        <v>0</v>
      </c>
      <c r="AF253" s="492">
        <f t="shared" si="245"/>
        <v>0</v>
      </c>
      <c r="AG253" s="492">
        <f t="shared" si="246"/>
        <v>0</v>
      </c>
      <c r="AH253" s="493">
        <v>0</v>
      </c>
      <c r="AI253" s="493">
        <v>0</v>
      </c>
      <c r="AJ253" s="493">
        <v>0</v>
      </c>
      <c r="AK253" s="493">
        <v>0</v>
      </c>
      <c r="AL253" s="493">
        <v>0</v>
      </c>
      <c r="AM253" s="493">
        <v>0</v>
      </c>
      <c r="AN253" s="493">
        <v>0</v>
      </c>
      <c r="AO253" s="493">
        <f t="shared" si="290"/>
        <v>0</v>
      </c>
      <c r="AP253" s="493">
        <f t="shared" si="291"/>
        <v>0</v>
      </c>
      <c r="AQ253" s="495">
        <f t="shared" si="247"/>
        <v>0</v>
      </c>
      <c r="AR253" s="501">
        <f t="shared" si="248"/>
        <v>478888</v>
      </c>
      <c r="AS253" s="492">
        <f t="shared" si="249"/>
        <v>351361</v>
      </c>
      <c r="AT253" s="492">
        <f t="shared" si="292"/>
        <v>0</v>
      </c>
      <c r="AU253" s="492">
        <f>L253+AB253</f>
        <v>118760</v>
      </c>
      <c r="AV253" s="492">
        <f>M253+AC253</f>
        <v>7027</v>
      </c>
      <c r="AW253" s="492">
        <f t="shared" si="250"/>
        <v>1740</v>
      </c>
      <c r="AX253" s="493">
        <f t="shared" si="251"/>
        <v>1.1100000000000001</v>
      </c>
      <c r="AY253" s="493">
        <f>P253+AO253</f>
        <v>0</v>
      </c>
      <c r="AZ253" s="495">
        <f>Q253+AP253</f>
        <v>1.1100000000000001</v>
      </c>
    </row>
    <row r="254" spans="1:52" s="238" customFormat="1" ht="12.75" customHeight="1" x14ac:dyDescent="0.2">
      <c r="A254" s="166">
        <v>45</v>
      </c>
      <c r="B254" s="20">
        <v>4426</v>
      </c>
      <c r="C254" s="20">
        <v>600074129</v>
      </c>
      <c r="D254" s="20">
        <v>72742160</v>
      </c>
      <c r="E254" s="175" t="s">
        <v>238</v>
      </c>
      <c r="F254" s="20"/>
      <c r="G254" s="165"/>
      <c r="H254" s="199"/>
      <c r="I254" s="552">
        <v>3792588</v>
      </c>
      <c r="J254" s="548">
        <v>2781552</v>
      </c>
      <c r="K254" s="548">
        <v>0</v>
      </c>
      <c r="L254" s="548">
        <v>940165</v>
      </c>
      <c r="M254" s="548">
        <v>55631</v>
      </c>
      <c r="N254" s="548">
        <v>15240</v>
      </c>
      <c r="O254" s="549">
        <v>6.4998000000000005</v>
      </c>
      <c r="P254" s="549">
        <v>4</v>
      </c>
      <c r="Q254" s="554">
        <v>2.4998000000000005</v>
      </c>
      <c r="R254" s="552">
        <f t="shared" ref="R254:AZ254" si="293">SUM(R252:R253)</f>
        <v>0</v>
      </c>
      <c r="S254" s="548">
        <f t="shared" si="293"/>
        <v>0</v>
      </c>
      <c r="T254" s="548">
        <f t="shared" si="293"/>
        <v>0</v>
      </c>
      <c r="U254" s="548">
        <f t="shared" si="293"/>
        <v>0</v>
      </c>
      <c r="V254" s="548">
        <f t="shared" si="293"/>
        <v>0</v>
      </c>
      <c r="W254" s="548">
        <f t="shared" si="293"/>
        <v>0</v>
      </c>
      <c r="X254" s="548">
        <f t="shared" si="293"/>
        <v>0</v>
      </c>
      <c r="Y254" s="548">
        <f t="shared" si="293"/>
        <v>0</v>
      </c>
      <c r="Z254" s="548">
        <f t="shared" si="293"/>
        <v>0</v>
      </c>
      <c r="AA254" s="548">
        <f t="shared" si="293"/>
        <v>0</v>
      </c>
      <c r="AB254" s="548">
        <f t="shared" si="293"/>
        <v>0</v>
      </c>
      <c r="AC254" s="548">
        <f t="shared" si="293"/>
        <v>0</v>
      </c>
      <c r="AD254" s="548">
        <f t="shared" si="293"/>
        <v>0</v>
      </c>
      <c r="AE254" s="548">
        <f t="shared" si="293"/>
        <v>0</v>
      </c>
      <c r="AF254" s="548">
        <f t="shared" si="293"/>
        <v>0</v>
      </c>
      <c r="AG254" s="548">
        <f t="shared" si="293"/>
        <v>0</v>
      </c>
      <c r="AH254" s="549">
        <f t="shared" si="293"/>
        <v>0</v>
      </c>
      <c r="AI254" s="549">
        <f t="shared" si="293"/>
        <v>0</v>
      </c>
      <c r="AJ254" s="549">
        <f t="shared" si="293"/>
        <v>0</v>
      </c>
      <c r="AK254" s="549">
        <f t="shared" si="293"/>
        <v>0</v>
      </c>
      <c r="AL254" s="549">
        <f t="shared" si="293"/>
        <v>0</v>
      </c>
      <c r="AM254" s="549">
        <f t="shared" si="293"/>
        <v>0</v>
      </c>
      <c r="AN254" s="549">
        <f t="shared" si="293"/>
        <v>0</v>
      </c>
      <c r="AO254" s="549">
        <f t="shared" si="293"/>
        <v>0</v>
      </c>
      <c r="AP254" s="549">
        <f t="shared" si="293"/>
        <v>0</v>
      </c>
      <c r="AQ254" s="45">
        <f t="shared" si="293"/>
        <v>0</v>
      </c>
      <c r="AR254" s="556">
        <f t="shared" si="293"/>
        <v>3792588</v>
      </c>
      <c r="AS254" s="548">
        <f t="shared" si="293"/>
        <v>2781552</v>
      </c>
      <c r="AT254" s="548">
        <f t="shared" si="293"/>
        <v>0</v>
      </c>
      <c r="AU254" s="548">
        <f t="shared" si="293"/>
        <v>940165</v>
      </c>
      <c r="AV254" s="548">
        <f t="shared" si="293"/>
        <v>55631</v>
      </c>
      <c r="AW254" s="548">
        <f t="shared" si="293"/>
        <v>15240</v>
      </c>
      <c r="AX254" s="549">
        <f t="shared" si="293"/>
        <v>6.4998000000000005</v>
      </c>
      <c r="AY254" s="549">
        <f t="shared" si="293"/>
        <v>4</v>
      </c>
      <c r="AZ254" s="45">
        <f t="shared" si="293"/>
        <v>2.4998000000000005</v>
      </c>
    </row>
    <row r="255" spans="1:52" s="238" customFormat="1" ht="12.75" customHeight="1" x14ac:dyDescent="0.2">
      <c r="A255" s="225">
        <v>46</v>
      </c>
      <c r="B255" s="226">
        <v>4461</v>
      </c>
      <c r="C255" s="226">
        <v>600074765</v>
      </c>
      <c r="D255" s="226">
        <v>46750088</v>
      </c>
      <c r="E255" s="224" t="s">
        <v>239</v>
      </c>
      <c r="F255" s="226">
        <v>3111</v>
      </c>
      <c r="G255" s="176" t="s">
        <v>312</v>
      </c>
      <c r="H255" s="227" t="s">
        <v>278</v>
      </c>
      <c r="I255" s="494">
        <v>9170314</v>
      </c>
      <c r="J255" s="489">
        <v>6709730</v>
      </c>
      <c r="K255" s="489">
        <v>0</v>
      </c>
      <c r="L255" s="489">
        <v>2267889</v>
      </c>
      <c r="M255" s="489">
        <v>134195</v>
      </c>
      <c r="N255" s="489">
        <v>58500</v>
      </c>
      <c r="O255" s="490">
        <v>14.739000000000001</v>
      </c>
      <c r="P255" s="491">
        <v>11.673500000000001</v>
      </c>
      <c r="Q255" s="500">
        <v>3.0655000000000001</v>
      </c>
      <c r="R255" s="502">
        <f t="shared" si="239"/>
        <v>0</v>
      </c>
      <c r="S255" s="492">
        <v>0</v>
      </c>
      <c r="T255" s="492">
        <v>0</v>
      </c>
      <c r="U255" s="492">
        <v>0</v>
      </c>
      <c r="V255" s="492">
        <f t="shared" si="240"/>
        <v>0</v>
      </c>
      <c r="W255" s="492">
        <v>0</v>
      </c>
      <c r="X255" s="492">
        <v>0</v>
      </c>
      <c r="Y255" s="492">
        <v>0</v>
      </c>
      <c r="Z255" s="492">
        <f t="shared" si="241"/>
        <v>0</v>
      </c>
      <c r="AA255" s="492">
        <f t="shared" si="242"/>
        <v>0</v>
      </c>
      <c r="AB255" s="74">
        <f t="shared" si="243"/>
        <v>0</v>
      </c>
      <c r="AC255" s="74">
        <f t="shared" si="244"/>
        <v>0</v>
      </c>
      <c r="AD255" s="492">
        <v>0</v>
      </c>
      <c r="AE255" s="492">
        <v>0</v>
      </c>
      <c r="AF255" s="492">
        <f t="shared" si="245"/>
        <v>0</v>
      </c>
      <c r="AG255" s="492">
        <f t="shared" si="246"/>
        <v>0</v>
      </c>
      <c r="AH255" s="493">
        <v>0</v>
      </c>
      <c r="AI255" s="493">
        <v>0</v>
      </c>
      <c r="AJ255" s="493">
        <v>0</v>
      </c>
      <c r="AK255" s="493">
        <v>0</v>
      </c>
      <c r="AL255" s="493">
        <v>0</v>
      </c>
      <c r="AM255" s="493">
        <v>0</v>
      </c>
      <c r="AN255" s="493">
        <v>0</v>
      </c>
      <c r="AO255" s="493">
        <f t="shared" ref="AO255:AO260" si="294">AH255+AJ255+AM255+AK255</f>
        <v>0</v>
      </c>
      <c r="AP255" s="493">
        <f t="shared" ref="AP255:AP260" si="295">AI255+AN255+AL255</f>
        <v>0</v>
      </c>
      <c r="AQ255" s="495">
        <f t="shared" si="247"/>
        <v>0</v>
      </c>
      <c r="AR255" s="501">
        <f t="shared" si="248"/>
        <v>9170314</v>
      </c>
      <c r="AS255" s="492">
        <f t="shared" si="249"/>
        <v>6709730</v>
      </c>
      <c r="AT255" s="492">
        <f t="shared" ref="AT255:AT260" si="296">K255+Z255</f>
        <v>0</v>
      </c>
      <c r="AU255" s="492">
        <f t="shared" ref="AU255:AV260" si="297">L255+AB255</f>
        <v>2267889</v>
      </c>
      <c r="AV255" s="492">
        <f t="shared" si="297"/>
        <v>134195</v>
      </c>
      <c r="AW255" s="492">
        <f t="shared" si="250"/>
        <v>58500</v>
      </c>
      <c r="AX255" s="493">
        <f t="shared" si="251"/>
        <v>14.739000000000001</v>
      </c>
      <c r="AY255" s="493">
        <f t="shared" ref="AY255:AZ260" si="298">P255+AO255</f>
        <v>11.673500000000001</v>
      </c>
      <c r="AZ255" s="495">
        <f t="shared" si="298"/>
        <v>3.0655000000000001</v>
      </c>
    </row>
    <row r="256" spans="1:52" s="238" customFormat="1" ht="12.75" customHeight="1" x14ac:dyDescent="0.2">
      <c r="A256" s="225">
        <v>46</v>
      </c>
      <c r="B256" s="226">
        <v>4461</v>
      </c>
      <c r="C256" s="226">
        <v>600074765</v>
      </c>
      <c r="D256" s="226">
        <v>46750088</v>
      </c>
      <c r="E256" s="224" t="s">
        <v>239</v>
      </c>
      <c r="F256" s="226">
        <v>3113</v>
      </c>
      <c r="G256" s="176" t="s">
        <v>315</v>
      </c>
      <c r="H256" s="227" t="s">
        <v>278</v>
      </c>
      <c r="I256" s="494">
        <v>26900686</v>
      </c>
      <c r="J256" s="489">
        <v>19175288</v>
      </c>
      <c r="K256" s="489">
        <v>171470</v>
      </c>
      <c r="L256" s="489">
        <v>6539203</v>
      </c>
      <c r="M256" s="489">
        <v>383505</v>
      </c>
      <c r="N256" s="489">
        <v>631220</v>
      </c>
      <c r="O256" s="490">
        <v>34.409399999999998</v>
      </c>
      <c r="P256" s="491">
        <v>25.9236</v>
      </c>
      <c r="Q256" s="500">
        <v>8.4857999999999993</v>
      </c>
      <c r="R256" s="502">
        <f t="shared" si="239"/>
        <v>0</v>
      </c>
      <c r="S256" s="492">
        <v>0</v>
      </c>
      <c r="T256" s="492">
        <v>0</v>
      </c>
      <c r="U256" s="492">
        <v>0</v>
      </c>
      <c r="V256" s="492">
        <f t="shared" si="240"/>
        <v>0</v>
      </c>
      <c r="W256" s="492">
        <v>0</v>
      </c>
      <c r="X256" s="492">
        <v>0</v>
      </c>
      <c r="Y256" s="492">
        <v>0</v>
      </c>
      <c r="Z256" s="492">
        <f t="shared" si="241"/>
        <v>0</v>
      </c>
      <c r="AA256" s="492">
        <f t="shared" si="242"/>
        <v>0</v>
      </c>
      <c r="AB256" s="74">
        <f t="shared" si="243"/>
        <v>0</v>
      </c>
      <c r="AC256" s="74">
        <f t="shared" si="244"/>
        <v>0</v>
      </c>
      <c r="AD256" s="492">
        <v>0</v>
      </c>
      <c r="AE256" s="492">
        <v>0</v>
      </c>
      <c r="AF256" s="492">
        <f t="shared" si="245"/>
        <v>0</v>
      </c>
      <c r="AG256" s="492">
        <f t="shared" si="246"/>
        <v>0</v>
      </c>
      <c r="AH256" s="493">
        <v>0</v>
      </c>
      <c r="AI256" s="493">
        <v>0</v>
      </c>
      <c r="AJ256" s="493">
        <v>0</v>
      </c>
      <c r="AK256" s="493">
        <v>0</v>
      </c>
      <c r="AL256" s="493">
        <v>0</v>
      </c>
      <c r="AM256" s="493">
        <v>0</v>
      </c>
      <c r="AN256" s="493">
        <v>0</v>
      </c>
      <c r="AO256" s="493">
        <f t="shared" si="294"/>
        <v>0</v>
      </c>
      <c r="AP256" s="493">
        <f t="shared" si="295"/>
        <v>0</v>
      </c>
      <c r="AQ256" s="495">
        <f t="shared" si="247"/>
        <v>0</v>
      </c>
      <c r="AR256" s="501">
        <f t="shared" si="248"/>
        <v>26900686</v>
      </c>
      <c r="AS256" s="492">
        <f t="shared" si="249"/>
        <v>19175288</v>
      </c>
      <c r="AT256" s="492">
        <f t="shared" si="296"/>
        <v>171470</v>
      </c>
      <c r="AU256" s="492">
        <f t="shared" si="297"/>
        <v>6539203</v>
      </c>
      <c r="AV256" s="492">
        <f t="shared" si="297"/>
        <v>383505</v>
      </c>
      <c r="AW256" s="492">
        <f t="shared" si="250"/>
        <v>631220</v>
      </c>
      <c r="AX256" s="493">
        <f t="shared" si="251"/>
        <v>34.409399999999998</v>
      </c>
      <c r="AY256" s="493">
        <f t="shared" si="298"/>
        <v>25.9236</v>
      </c>
      <c r="AZ256" s="495">
        <f t="shared" si="298"/>
        <v>8.4857999999999993</v>
      </c>
    </row>
    <row r="257" spans="1:52" s="238" customFormat="1" ht="12.75" customHeight="1" x14ac:dyDescent="0.2">
      <c r="A257" s="225">
        <v>46</v>
      </c>
      <c r="B257" s="226">
        <v>4461</v>
      </c>
      <c r="C257" s="226">
        <v>600074765</v>
      </c>
      <c r="D257" s="226">
        <v>46750088</v>
      </c>
      <c r="E257" s="224" t="s">
        <v>239</v>
      </c>
      <c r="F257" s="226">
        <v>3113</v>
      </c>
      <c r="G257" s="176" t="s">
        <v>313</v>
      </c>
      <c r="H257" s="227" t="s">
        <v>279</v>
      </c>
      <c r="I257" s="494">
        <v>1952230</v>
      </c>
      <c r="J257" s="489">
        <v>1433895</v>
      </c>
      <c r="K257" s="489">
        <v>0</v>
      </c>
      <c r="L257" s="489">
        <v>484657</v>
      </c>
      <c r="M257" s="489">
        <v>28678</v>
      </c>
      <c r="N257" s="489">
        <v>5000</v>
      </c>
      <c r="O257" s="490">
        <v>4.1399999999999997</v>
      </c>
      <c r="P257" s="491">
        <v>4.1399999999999997</v>
      </c>
      <c r="Q257" s="500">
        <v>0</v>
      </c>
      <c r="R257" s="502">
        <f t="shared" si="239"/>
        <v>0</v>
      </c>
      <c r="S257" s="492">
        <v>0</v>
      </c>
      <c r="T257" s="492">
        <v>0</v>
      </c>
      <c r="U257" s="492">
        <v>0</v>
      </c>
      <c r="V257" s="492">
        <f t="shared" si="240"/>
        <v>0</v>
      </c>
      <c r="W257" s="492">
        <v>0</v>
      </c>
      <c r="X257" s="492">
        <v>0</v>
      </c>
      <c r="Y257" s="492">
        <v>0</v>
      </c>
      <c r="Z257" s="492">
        <f t="shared" si="241"/>
        <v>0</v>
      </c>
      <c r="AA257" s="492">
        <f t="shared" si="242"/>
        <v>0</v>
      </c>
      <c r="AB257" s="74">
        <f t="shared" si="243"/>
        <v>0</v>
      </c>
      <c r="AC257" s="74">
        <f t="shared" si="244"/>
        <v>0</v>
      </c>
      <c r="AD257" s="492">
        <v>0</v>
      </c>
      <c r="AE257" s="492">
        <v>0</v>
      </c>
      <c r="AF257" s="492">
        <f t="shared" si="245"/>
        <v>0</v>
      </c>
      <c r="AG257" s="492">
        <f t="shared" si="246"/>
        <v>0</v>
      </c>
      <c r="AH257" s="493">
        <v>0</v>
      </c>
      <c r="AI257" s="493">
        <v>0</v>
      </c>
      <c r="AJ257" s="493">
        <v>0</v>
      </c>
      <c r="AK257" s="493">
        <v>0</v>
      </c>
      <c r="AL257" s="493">
        <v>0</v>
      </c>
      <c r="AM257" s="493">
        <v>0</v>
      </c>
      <c r="AN257" s="493">
        <v>0</v>
      </c>
      <c r="AO257" s="493">
        <f t="shared" si="294"/>
        <v>0</v>
      </c>
      <c r="AP257" s="493">
        <f t="shared" si="295"/>
        <v>0</v>
      </c>
      <c r="AQ257" s="495">
        <f t="shared" si="247"/>
        <v>0</v>
      </c>
      <c r="AR257" s="501">
        <f t="shared" si="248"/>
        <v>1952230</v>
      </c>
      <c r="AS257" s="492">
        <f t="shared" si="249"/>
        <v>1433895</v>
      </c>
      <c r="AT257" s="492">
        <f t="shared" si="296"/>
        <v>0</v>
      </c>
      <c r="AU257" s="492">
        <f t="shared" si="297"/>
        <v>484657</v>
      </c>
      <c r="AV257" s="492">
        <f t="shared" si="297"/>
        <v>28678</v>
      </c>
      <c r="AW257" s="492">
        <f t="shared" si="250"/>
        <v>5000</v>
      </c>
      <c r="AX257" s="493">
        <f t="shared" si="251"/>
        <v>4.1399999999999997</v>
      </c>
      <c r="AY257" s="493">
        <f t="shared" si="298"/>
        <v>4.1399999999999997</v>
      </c>
      <c r="AZ257" s="495">
        <f t="shared" si="298"/>
        <v>0</v>
      </c>
    </row>
    <row r="258" spans="1:52" s="238" customFormat="1" ht="12.75" customHeight="1" x14ac:dyDescent="0.2">
      <c r="A258" s="225">
        <v>46</v>
      </c>
      <c r="B258" s="226">
        <v>4461</v>
      </c>
      <c r="C258" s="226">
        <v>600074765</v>
      </c>
      <c r="D258" s="226">
        <v>46750088</v>
      </c>
      <c r="E258" s="219" t="s">
        <v>239</v>
      </c>
      <c r="F258" s="226">
        <v>3141</v>
      </c>
      <c r="G258" s="176" t="s">
        <v>316</v>
      </c>
      <c r="H258" s="227" t="s">
        <v>279</v>
      </c>
      <c r="I258" s="494">
        <v>3238508</v>
      </c>
      <c r="J258" s="489">
        <v>2345761</v>
      </c>
      <c r="K258" s="489">
        <v>20800</v>
      </c>
      <c r="L258" s="489">
        <v>799898</v>
      </c>
      <c r="M258" s="489">
        <v>46915</v>
      </c>
      <c r="N258" s="489">
        <v>25134</v>
      </c>
      <c r="O258" s="490">
        <v>7.45</v>
      </c>
      <c r="P258" s="491">
        <v>0</v>
      </c>
      <c r="Q258" s="500">
        <v>7.45</v>
      </c>
      <c r="R258" s="502">
        <f t="shared" si="239"/>
        <v>0</v>
      </c>
      <c r="S258" s="492">
        <v>0</v>
      </c>
      <c r="T258" s="492">
        <v>0</v>
      </c>
      <c r="U258" s="492">
        <v>0</v>
      </c>
      <c r="V258" s="492">
        <f t="shared" si="240"/>
        <v>0</v>
      </c>
      <c r="W258" s="492">
        <v>0</v>
      </c>
      <c r="X258" s="492">
        <v>0</v>
      </c>
      <c r="Y258" s="492">
        <v>0</v>
      </c>
      <c r="Z258" s="492">
        <f t="shared" si="241"/>
        <v>0</v>
      </c>
      <c r="AA258" s="492">
        <f t="shared" si="242"/>
        <v>0</v>
      </c>
      <c r="AB258" s="74">
        <f t="shared" si="243"/>
        <v>0</v>
      </c>
      <c r="AC258" s="74">
        <f t="shared" si="244"/>
        <v>0</v>
      </c>
      <c r="AD258" s="492">
        <v>0</v>
      </c>
      <c r="AE258" s="492">
        <v>0</v>
      </c>
      <c r="AF258" s="492">
        <f t="shared" si="245"/>
        <v>0</v>
      </c>
      <c r="AG258" s="492">
        <f t="shared" si="246"/>
        <v>0</v>
      </c>
      <c r="AH258" s="493">
        <v>0</v>
      </c>
      <c r="AI258" s="493">
        <v>0</v>
      </c>
      <c r="AJ258" s="493">
        <v>0</v>
      </c>
      <c r="AK258" s="493">
        <v>0</v>
      </c>
      <c r="AL258" s="493">
        <v>0</v>
      </c>
      <c r="AM258" s="493">
        <v>0</v>
      </c>
      <c r="AN258" s="493">
        <v>0</v>
      </c>
      <c r="AO258" s="493">
        <f t="shared" si="294"/>
        <v>0</v>
      </c>
      <c r="AP258" s="493">
        <f t="shared" si="295"/>
        <v>0</v>
      </c>
      <c r="AQ258" s="495">
        <f t="shared" si="247"/>
        <v>0</v>
      </c>
      <c r="AR258" s="501">
        <f t="shared" si="248"/>
        <v>3238508</v>
      </c>
      <c r="AS258" s="492">
        <f t="shared" si="249"/>
        <v>2345761</v>
      </c>
      <c r="AT258" s="492">
        <f t="shared" si="296"/>
        <v>20800</v>
      </c>
      <c r="AU258" s="492">
        <f t="shared" si="297"/>
        <v>799898</v>
      </c>
      <c r="AV258" s="492">
        <f t="shared" si="297"/>
        <v>46915</v>
      </c>
      <c r="AW258" s="492">
        <f t="shared" si="250"/>
        <v>25134</v>
      </c>
      <c r="AX258" s="493">
        <f t="shared" si="251"/>
        <v>7.45</v>
      </c>
      <c r="AY258" s="493">
        <f t="shared" si="298"/>
        <v>0</v>
      </c>
      <c r="AZ258" s="495">
        <f t="shared" si="298"/>
        <v>7.45</v>
      </c>
    </row>
    <row r="259" spans="1:52" s="238" customFormat="1" ht="12.75" customHeight="1" x14ac:dyDescent="0.2">
      <c r="A259" s="225">
        <v>46</v>
      </c>
      <c r="B259" s="226">
        <v>4461</v>
      </c>
      <c r="C259" s="226">
        <v>600074765</v>
      </c>
      <c r="D259" s="226">
        <v>46750088</v>
      </c>
      <c r="E259" s="224" t="s">
        <v>239</v>
      </c>
      <c r="F259" s="226">
        <v>3143</v>
      </c>
      <c r="G259" s="176" t="s">
        <v>629</v>
      </c>
      <c r="H259" s="243" t="s">
        <v>278</v>
      </c>
      <c r="I259" s="494">
        <v>2084822</v>
      </c>
      <c r="J259" s="489">
        <v>1526121</v>
      </c>
      <c r="K259" s="489">
        <v>9230</v>
      </c>
      <c r="L259" s="489">
        <v>518949</v>
      </c>
      <c r="M259" s="489">
        <v>30522</v>
      </c>
      <c r="N259" s="489">
        <v>0</v>
      </c>
      <c r="O259" s="490">
        <v>3.3214000000000001</v>
      </c>
      <c r="P259" s="491">
        <v>3.3214000000000001</v>
      </c>
      <c r="Q259" s="500">
        <v>0</v>
      </c>
      <c r="R259" s="502">
        <f t="shared" si="239"/>
        <v>0</v>
      </c>
      <c r="S259" s="492">
        <v>0</v>
      </c>
      <c r="T259" s="492">
        <v>0</v>
      </c>
      <c r="U259" s="492">
        <v>0</v>
      </c>
      <c r="V259" s="492">
        <f t="shared" si="240"/>
        <v>0</v>
      </c>
      <c r="W259" s="492">
        <v>0</v>
      </c>
      <c r="X259" s="492">
        <v>0</v>
      </c>
      <c r="Y259" s="492">
        <v>0</v>
      </c>
      <c r="Z259" s="492">
        <f t="shared" si="241"/>
        <v>0</v>
      </c>
      <c r="AA259" s="492">
        <f t="shared" si="242"/>
        <v>0</v>
      </c>
      <c r="AB259" s="74">
        <f t="shared" si="243"/>
        <v>0</v>
      </c>
      <c r="AC259" s="74">
        <f t="shared" si="244"/>
        <v>0</v>
      </c>
      <c r="AD259" s="492">
        <v>0</v>
      </c>
      <c r="AE259" s="492">
        <v>0</v>
      </c>
      <c r="AF259" s="492">
        <f t="shared" si="245"/>
        <v>0</v>
      </c>
      <c r="AG259" s="492">
        <f t="shared" si="246"/>
        <v>0</v>
      </c>
      <c r="AH259" s="493">
        <v>0</v>
      </c>
      <c r="AI259" s="493">
        <v>0</v>
      </c>
      <c r="AJ259" s="493">
        <v>0</v>
      </c>
      <c r="AK259" s="493">
        <v>0</v>
      </c>
      <c r="AL259" s="493">
        <v>0</v>
      </c>
      <c r="AM259" s="493">
        <v>0</v>
      </c>
      <c r="AN259" s="493">
        <v>0</v>
      </c>
      <c r="AO259" s="493">
        <f t="shared" si="294"/>
        <v>0</v>
      </c>
      <c r="AP259" s="493">
        <f t="shared" si="295"/>
        <v>0</v>
      </c>
      <c r="AQ259" s="495">
        <f t="shared" si="247"/>
        <v>0</v>
      </c>
      <c r="AR259" s="501">
        <f t="shared" si="248"/>
        <v>2084822</v>
      </c>
      <c r="AS259" s="492">
        <f t="shared" si="249"/>
        <v>1526121</v>
      </c>
      <c r="AT259" s="492">
        <f t="shared" si="296"/>
        <v>9230</v>
      </c>
      <c r="AU259" s="492">
        <f t="shared" si="297"/>
        <v>518949</v>
      </c>
      <c r="AV259" s="492">
        <f t="shared" si="297"/>
        <v>30522</v>
      </c>
      <c r="AW259" s="492">
        <f t="shared" si="250"/>
        <v>0</v>
      </c>
      <c r="AX259" s="493">
        <f t="shared" si="251"/>
        <v>3.3214000000000001</v>
      </c>
      <c r="AY259" s="493">
        <f t="shared" si="298"/>
        <v>3.3214000000000001</v>
      </c>
      <c r="AZ259" s="495">
        <f t="shared" si="298"/>
        <v>0</v>
      </c>
    </row>
    <row r="260" spans="1:52" s="238" customFormat="1" ht="12.75" customHeight="1" x14ac:dyDescent="0.2">
      <c r="A260" s="225">
        <v>46</v>
      </c>
      <c r="B260" s="226">
        <v>4461</v>
      </c>
      <c r="C260" s="226">
        <v>600074765</v>
      </c>
      <c r="D260" s="226">
        <v>46750088</v>
      </c>
      <c r="E260" s="224" t="s">
        <v>239</v>
      </c>
      <c r="F260" s="226">
        <v>3143</v>
      </c>
      <c r="G260" s="176" t="s">
        <v>630</v>
      </c>
      <c r="H260" s="243" t="s">
        <v>279</v>
      </c>
      <c r="I260" s="494">
        <v>82403</v>
      </c>
      <c r="J260" s="489">
        <v>58272</v>
      </c>
      <c r="K260" s="489">
        <v>0</v>
      </c>
      <c r="L260" s="489">
        <v>19696</v>
      </c>
      <c r="M260" s="489">
        <v>1165</v>
      </c>
      <c r="N260" s="489">
        <v>3270</v>
      </c>
      <c r="O260" s="490">
        <v>0.23</v>
      </c>
      <c r="P260" s="491">
        <v>0</v>
      </c>
      <c r="Q260" s="500">
        <v>0.23</v>
      </c>
      <c r="R260" s="502">
        <f t="shared" si="239"/>
        <v>0</v>
      </c>
      <c r="S260" s="492">
        <v>0</v>
      </c>
      <c r="T260" s="492">
        <v>0</v>
      </c>
      <c r="U260" s="492">
        <v>0</v>
      </c>
      <c r="V260" s="492">
        <f t="shared" si="240"/>
        <v>0</v>
      </c>
      <c r="W260" s="492">
        <v>0</v>
      </c>
      <c r="X260" s="492">
        <v>0</v>
      </c>
      <c r="Y260" s="492">
        <v>0</v>
      </c>
      <c r="Z260" s="492">
        <f t="shared" si="241"/>
        <v>0</v>
      </c>
      <c r="AA260" s="492">
        <f t="shared" si="242"/>
        <v>0</v>
      </c>
      <c r="AB260" s="74">
        <f t="shared" si="243"/>
        <v>0</v>
      </c>
      <c r="AC260" s="74">
        <f t="shared" si="244"/>
        <v>0</v>
      </c>
      <c r="AD260" s="492">
        <v>0</v>
      </c>
      <c r="AE260" s="492">
        <v>0</v>
      </c>
      <c r="AF260" s="492">
        <f t="shared" si="245"/>
        <v>0</v>
      </c>
      <c r="AG260" s="492">
        <f t="shared" si="246"/>
        <v>0</v>
      </c>
      <c r="AH260" s="493">
        <v>0</v>
      </c>
      <c r="AI260" s="493">
        <v>0</v>
      </c>
      <c r="AJ260" s="493">
        <v>0</v>
      </c>
      <c r="AK260" s="493">
        <v>0</v>
      </c>
      <c r="AL260" s="493">
        <v>0</v>
      </c>
      <c r="AM260" s="493">
        <v>0</v>
      </c>
      <c r="AN260" s="493">
        <v>0</v>
      </c>
      <c r="AO260" s="493">
        <f t="shared" si="294"/>
        <v>0</v>
      </c>
      <c r="AP260" s="493">
        <f t="shared" si="295"/>
        <v>0</v>
      </c>
      <c r="AQ260" s="495">
        <f t="shared" si="247"/>
        <v>0</v>
      </c>
      <c r="AR260" s="501">
        <f t="shared" si="248"/>
        <v>82403</v>
      </c>
      <c r="AS260" s="492">
        <f t="shared" si="249"/>
        <v>58272</v>
      </c>
      <c r="AT260" s="492">
        <f t="shared" si="296"/>
        <v>0</v>
      </c>
      <c r="AU260" s="492">
        <f t="shared" si="297"/>
        <v>19696</v>
      </c>
      <c r="AV260" s="492">
        <f t="shared" si="297"/>
        <v>1165</v>
      </c>
      <c r="AW260" s="492">
        <f t="shared" si="250"/>
        <v>3270</v>
      </c>
      <c r="AX260" s="493">
        <f t="shared" si="251"/>
        <v>0.23</v>
      </c>
      <c r="AY260" s="493">
        <f t="shared" si="298"/>
        <v>0</v>
      </c>
      <c r="AZ260" s="495">
        <f t="shared" si="298"/>
        <v>0.23</v>
      </c>
    </row>
    <row r="261" spans="1:52" s="238" customFormat="1" ht="12.75" customHeight="1" x14ac:dyDescent="0.2">
      <c r="A261" s="166">
        <v>46</v>
      </c>
      <c r="B261" s="20">
        <v>4461</v>
      </c>
      <c r="C261" s="20">
        <v>600074765</v>
      </c>
      <c r="D261" s="20">
        <v>46750088</v>
      </c>
      <c r="E261" s="175" t="s">
        <v>240</v>
      </c>
      <c r="F261" s="20"/>
      <c r="G261" s="165"/>
      <c r="H261" s="199"/>
      <c r="I261" s="553">
        <v>43428963</v>
      </c>
      <c r="J261" s="550">
        <v>31249067</v>
      </c>
      <c r="K261" s="550">
        <v>201500</v>
      </c>
      <c r="L261" s="550">
        <v>10630292</v>
      </c>
      <c r="M261" s="550">
        <v>624980</v>
      </c>
      <c r="N261" s="550">
        <v>723124</v>
      </c>
      <c r="O261" s="551">
        <v>64.2898</v>
      </c>
      <c r="P261" s="551">
        <v>45.058499999999995</v>
      </c>
      <c r="Q261" s="555">
        <v>19.231300000000001</v>
      </c>
      <c r="R261" s="553">
        <f t="shared" ref="R261:AZ261" si="299">SUM(R255:R260)</f>
        <v>0</v>
      </c>
      <c r="S261" s="550">
        <f t="shared" si="299"/>
        <v>0</v>
      </c>
      <c r="T261" s="550">
        <f t="shared" si="299"/>
        <v>0</v>
      </c>
      <c r="U261" s="550">
        <f t="shared" si="299"/>
        <v>0</v>
      </c>
      <c r="V261" s="550">
        <f t="shared" si="299"/>
        <v>0</v>
      </c>
      <c r="W261" s="550">
        <f t="shared" si="299"/>
        <v>0</v>
      </c>
      <c r="X261" s="550">
        <f t="shared" si="299"/>
        <v>0</v>
      </c>
      <c r="Y261" s="550">
        <f t="shared" si="299"/>
        <v>0</v>
      </c>
      <c r="Z261" s="550">
        <f t="shared" si="299"/>
        <v>0</v>
      </c>
      <c r="AA261" s="550">
        <f t="shared" si="299"/>
        <v>0</v>
      </c>
      <c r="AB261" s="550">
        <f t="shared" si="299"/>
        <v>0</v>
      </c>
      <c r="AC261" s="550">
        <f t="shared" si="299"/>
        <v>0</v>
      </c>
      <c r="AD261" s="550">
        <f t="shared" si="299"/>
        <v>0</v>
      </c>
      <c r="AE261" s="550">
        <f t="shared" si="299"/>
        <v>0</v>
      </c>
      <c r="AF261" s="550">
        <f t="shared" si="299"/>
        <v>0</v>
      </c>
      <c r="AG261" s="550">
        <f t="shared" si="299"/>
        <v>0</v>
      </c>
      <c r="AH261" s="551">
        <f t="shared" si="299"/>
        <v>0</v>
      </c>
      <c r="AI261" s="551">
        <f t="shared" si="299"/>
        <v>0</v>
      </c>
      <c r="AJ261" s="551">
        <f t="shared" si="299"/>
        <v>0</v>
      </c>
      <c r="AK261" s="551">
        <f t="shared" si="299"/>
        <v>0</v>
      </c>
      <c r="AL261" s="551">
        <f t="shared" si="299"/>
        <v>0</v>
      </c>
      <c r="AM261" s="551">
        <f t="shared" si="299"/>
        <v>0</v>
      </c>
      <c r="AN261" s="551">
        <f t="shared" si="299"/>
        <v>0</v>
      </c>
      <c r="AO261" s="551">
        <f t="shared" si="299"/>
        <v>0</v>
      </c>
      <c r="AP261" s="551">
        <f t="shared" si="299"/>
        <v>0</v>
      </c>
      <c r="AQ261" s="44">
        <f t="shared" si="299"/>
        <v>0</v>
      </c>
      <c r="AR261" s="557">
        <f t="shared" si="299"/>
        <v>43428963</v>
      </c>
      <c r="AS261" s="550">
        <f t="shared" si="299"/>
        <v>31249067</v>
      </c>
      <c r="AT261" s="550">
        <f t="shared" si="299"/>
        <v>201500</v>
      </c>
      <c r="AU261" s="550">
        <f t="shared" si="299"/>
        <v>10630292</v>
      </c>
      <c r="AV261" s="550">
        <f t="shared" si="299"/>
        <v>624980</v>
      </c>
      <c r="AW261" s="550">
        <f t="shared" si="299"/>
        <v>723124</v>
      </c>
      <c r="AX261" s="551">
        <f t="shared" si="299"/>
        <v>64.2898</v>
      </c>
      <c r="AY261" s="551">
        <f t="shared" si="299"/>
        <v>45.058499999999995</v>
      </c>
      <c r="AZ261" s="44">
        <f t="shared" si="299"/>
        <v>19.231300000000001</v>
      </c>
    </row>
    <row r="262" spans="1:52" s="238" customFormat="1" ht="12.75" customHeight="1" x14ac:dyDescent="0.2">
      <c r="A262" s="225">
        <v>47</v>
      </c>
      <c r="B262" s="226">
        <v>4427</v>
      </c>
      <c r="C262" s="226">
        <v>600074188</v>
      </c>
      <c r="D262" s="226">
        <v>70982678</v>
      </c>
      <c r="E262" s="224" t="s">
        <v>834</v>
      </c>
      <c r="F262" s="226">
        <v>3111</v>
      </c>
      <c r="G262" s="176" t="s">
        <v>312</v>
      </c>
      <c r="H262" s="227" t="s">
        <v>278</v>
      </c>
      <c r="I262" s="494">
        <v>2900043</v>
      </c>
      <c r="J262" s="489">
        <v>2117854</v>
      </c>
      <c r="K262" s="489">
        <v>6500</v>
      </c>
      <c r="L262" s="489">
        <v>718032</v>
      </c>
      <c r="M262" s="489">
        <v>42357</v>
      </c>
      <c r="N262" s="489">
        <v>15300</v>
      </c>
      <c r="O262" s="490">
        <v>4.9218000000000002</v>
      </c>
      <c r="P262" s="491">
        <v>4</v>
      </c>
      <c r="Q262" s="500">
        <v>0.92179999999999995</v>
      </c>
      <c r="R262" s="502">
        <f t="shared" si="239"/>
        <v>0</v>
      </c>
      <c r="S262" s="492">
        <v>0</v>
      </c>
      <c r="T262" s="492">
        <v>0</v>
      </c>
      <c r="U262" s="492">
        <v>0</v>
      </c>
      <c r="V262" s="492">
        <f t="shared" si="240"/>
        <v>0</v>
      </c>
      <c r="W262" s="492">
        <v>0</v>
      </c>
      <c r="X262" s="492">
        <v>0</v>
      </c>
      <c r="Y262" s="492">
        <v>0</v>
      </c>
      <c r="Z262" s="492">
        <f t="shared" si="241"/>
        <v>0</v>
      </c>
      <c r="AA262" s="492">
        <f t="shared" si="242"/>
        <v>0</v>
      </c>
      <c r="AB262" s="74">
        <f t="shared" si="243"/>
        <v>0</v>
      </c>
      <c r="AC262" s="74">
        <f t="shared" si="244"/>
        <v>0</v>
      </c>
      <c r="AD262" s="492">
        <v>0</v>
      </c>
      <c r="AE262" s="492">
        <v>0</v>
      </c>
      <c r="AF262" s="492">
        <f t="shared" si="245"/>
        <v>0</v>
      </c>
      <c r="AG262" s="492">
        <f t="shared" si="246"/>
        <v>0</v>
      </c>
      <c r="AH262" s="493">
        <v>0</v>
      </c>
      <c r="AI262" s="493">
        <v>0</v>
      </c>
      <c r="AJ262" s="493">
        <v>0</v>
      </c>
      <c r="AK262" s="493">
        <v>0</v>
      </c>
      <c r="AL262" s="493">
        <v>0</v>
      </c>
      <c r="AM262" s="493">
        <v>0</v>
      </c>
      <c r="AN262" s="493">
        <v>0</v>
      </c>
      <c r="AO262" s="493">
        <f t="shared" ref="AO262:AO267" si="300">AH262+AJ262+AM262+AK262</f>
        <v>0</v>
      </c>
      <c r="AP262" s="493">
        <f t="shared" ref="AP262:AP267" si="301">AI262+AN262+AL262</f>
        <v>0</v>
      </c>
      <c r="AQ262" s="495">
        <f t="shared" si="247"/>
        <v>0</v>
      </c>
      <c r="AR262" s="501">
        <f t="shared" si="248"/>
        <v>2900043</v>
      </c>
      <c r="AS262" s="492">
        <f t="shared" si="249"/>
        <v>2117854</v>
      </c>
      <c r="AT262" s="492">
        <f t="shared" ref="AT262:AT267" si="302">K262+Z262</f>
        <v>6500</v>
      </c>
      <c r="AU262" s="492">
        <f t="shared" ref="AU262:AV267" si="303">L262+AB262</f>
        <v>718032</v>
      </c>
      <c r="AV262" s="492">
        <f t="shared" si="303"/>
        <v>42357</v>
      </c>
      <c r="AW262" s="492">
        <f t="shared" si="250"/>
        <v>15300</v>
      </c>
      <c r="AX262" s="493">
        <f t="shared" si="251"/>
        <v>4.9218000000000002</v>
      </c>
      <c r="AY262" s="493">
        <f t="shared" ref="AY262:AZ267" si="304">P262+AO262</f>
        <v>4</v>
      </c>
      <c r="AZ262" s="495">
        <f t="shared" si="304"/>
        <v>0.92179999999999995</v>
      </c>
    </row>
    <row r="263" spans="1:52" s="238" customFormat="1" ht="12.75" customHeight="1" x14ac:dyDescent="0.2">
      <c r="A263" s="225">
        <v>47</v>
      </c>
      <c r="B263" s="226">
        <v>4427</v>
      </c>
      <c r="C263" s="226">
        <v>600074676</v>
      </c>
      <c r="D263" s="226">
        <v>70982660</v>
      </c>
      <c r="E263" s="224" t="s">
        <v>830</v>
      </c>
      <c r="F263" s="226">
        <v>3117</v>
      </c>
      <c r="G263" s="176" t="s">
        <v>315</v>
      </c>
      <c r="H263" s="227" t="s">
        <v>278</v>
      </c>
      <c r="I263" s="494">
        <v>1124248</v>
      </c>
      <c r="J263" s="489">
        <v>790921</v>
      </c>
      <c r="K263" s="489">
        <v>26000</v>
      </c>
      <c r="L263" s="489">
        <v>276119</v>
      </c>
      <c r="M263" s="489">
        <v>15818</v>
      </c>
      <c r="N263" s="489">
        <v>15390</v>
      </c>
      <c r="O263" s="490">
        <v>1.9654999999999996</v>
      </c>
      <c r="P263" s="491">
        <v>0.47</v>
      </c>
      <c r="Q263" s="500">
        <v>1.4954999999999998</v>
      </c>
      <c r="R263" s="502">
        <f t="shared" si="239"/>
        <v>0</v>
      </c>
      <c r="S263" s="492">
        <v>0</v>
      </c>
      <c r="T263" s="492">
        <v>309276</v>
      </c>
      <c r="U263" s="492">
        <v>0</v>
      </c>
      <c r="V263" s="492">
        <f t="shared" si="240"/>
        <v>309276</v>
      </c>
      <c r="W263" s="492">
        <v>0</v>
      </c>
      <c r="X263" s="492">
        <v>0</v>
      </c>
      <c r="Y263" s="492">
        <v>0</v>
      </c>
      <c r="Z263" s="492">
        <f t="shared" si="241"/>
        <v>0</v>
      </c>
      <c r="AA263" s="492">
        <f t="shared" si="242"/>
        <v>309276</v>
      </c>
      <c r="AB263" s="74">
        <f t="shared" si="243"/>
        <v>104535</v>
      </c>
      <c r="AC263" s="74">
        <f t="shared" si="244"/>
        <v>6186</v>
      </c>
      <c r="AD263" s="492">
        <v>0</v>
      </c>
      <c r="AE263" s="492">
        <v>0</v>
      </c>
      <c r="AF263" s="492">
        <f t="shared" si="245"/>
        <v>0</v>
      </c>
      <c r="AG263" s="492">
        <f t="shared" si="246"/>
        <v>419997</v>
      </c>
      <c r="AH263" s="493">
        <v>0</v>
      </c>
      <c r="AI263" s="493">
        <v>0</v>
      </c>
      <c r="AJ263" s="493">
        <v>0</v>
      </c>
      <c r="AK263" s="493">
        <v>0.71</v>
      </c>
      <c r="AL263" s="493">
        <v>0</v>
      </c>
      <c r="AM263" s="493">
        <v>0</v>
      </c>
      <c r="AN263" s="493">
        <v>0</v>
      </c>
      <c r="AO263" s="493">
        <f t="shared" si="300"/>
        <v>0.71</v>
      </c>
      <c r="AP263" s="493">
        <f t="shared" si="301"/>
        <v>0</v>
      </c>
      <c r="AQ263" s="495">
        <f t="shared" si="247"/>
        <v>0.71</v>
      </c>
      <c r="AR263" s="501">
        <f t="shared" si="248"/>
        <v>1544245</v>
      </c>
      <c r="AS263" s="492">
        <f t="shared" si="249"/>
        <v>1100197</v>
      </c>
      <c r="AT263" s="492">
        <f t="shared" si="302"/>
        <v>26000</v>
      </c>
      <c r="AU263" s="492">
        <f t="shared" si="303"/>
        <v>380654</v>
      </c>
      <c r="AV263" s="492">
        <f t="shared" si="303"/>
        <v>22004</v>
      </c>
      <c r="AW263" s="492">
        <f t="shared" si="250"/>
        <v>15390</v>
      </c>
      <c r="AX263" s="493">
        <f t="shared" si="251"/>
        <v>2.6754999999999995</v>
      </c>
      <c r="AY263" s="493">
        <f t="shared" si="304"/>
        <v>1.18</v>
      </c>
      <c r="AZ263" s="495">
        <f t="shared" si="304"/>
        <v>1.4954999999999998</v>
      </c>
    </row>
    <row r="264" spans="1:52" s="238" customFormat="1" ht="12.75" customHeight="1" x14ac:dyDescent="0.2">
      <c r="A264" s="225">
        <v>47</v>
      </c>
      <c r="B264" s="226">
        <v>4427</v>
      </c>
      <c r="C264" s="226">
        <v>600074676</v>
      </c>
      <c r="D264" s="226">
        <v>70982660</v>
      </c>
      <c r="E264" s="224" t="s">
        <v>830</v>
      </c>
      <c r="F264" s="226">
        <v>3117</v>
      </c>
      <c r="G264" s="176" t="s">
        <v>313</v>
      </c>
      <c r="H264" s="227" t="s">
        <v>279</v>
      </c>
      <c r="I264" s="494">
        <v>0</v>
      </c>
      <c r="J264" s="489">
        <v>0</v>
      </c>
      <c r="K264" s="489">
        <v>0</v>
      </c>
      <c r="L264" s="489">
        <v>0</v>
      </c>
      <c r="M264" s="489">
        <v>0</v>
      </c>
      <c r="N264" s="489">
        <v>0</v>
      </c>
      <c r="O264" s="490">
        <v>0</v>
      </c>
      <c r="P264" s="491">
        <v>0</v>
      </c>
      <c r="Q264" s="500">
        <v>0</v>
      </c>
      <c r="R264" s="502">
        <f t="shared" si="239"/>
        <v>0</v>
      </c>
      <c r="S264" s="492">
        <v>0</v>
      </c>
      <c r="T264" s="492">
        <v>0</v>
      </c>
      <c r="U264" s="492">
        <v>0</v>
      </c>
      <c r="V264" s="492">
        <f t="shared" si="240"/>
        <v>0</v>
      </c>
      <c r="W264" s="492">
        <v>0</v>
      </c>
      <c r="X264" s="492">
        <v>0</v>
      </c>
      <c r="Y264" s="492">
        <v>0</v>
      </c>
      <c r="Z264" s="492">
        <f t="shared" si="241"/>
        <v>0</v>
      </c>
      <c r="AA264" s="492">
        <f t="shared" si="242"/>
        <v>0</v>
      </c>
      <c r="AB264" s="74">
        <f t="shared" si="243"/>
        <v>0</v>
      </c>
      <c r="AC264" s="74">
        <f t="shared" si="244"/>
        <v>0</v>
      </c>
      <c r="AD264" s="492">
        <v>0</v>
      </c>
      <c r="AE264" s="492">
        <v>0</v>
      </c>
      <c r="AF264" s="492">
        <f t="shared" si="245"/>
        <v>0</v>
      </c>
      <c r="AG264" s="492">
        <f t="shared" si="246"/>
        <v>0</v>
      </c>
      <c r="AH264" s="493">
        <v>0</v>
      </c>
      <c r="AI264" s="493">
        <v>0</v>
      </c>
      <c r="AJ264" s="493">
        <v>0</v>
      </c>
      <c r="AK264" s="493">
        <v>0</v>
      </c>
      <c r="AL264" s="493">
        <v>0</v>
      </c>
      <c r="AM264" s="493">
        <v>0</v>
      </c>
      <c r="AN264" s="493">
        <v>0</v>
      </c>
      <c r="AO264" s="493">
        <f t="shared" si="300"/>
        <v>0</v>
      </c>
      <c r="AP264" s="493">
        <f t="shared" si="301"/>
        <v>0</v>
      </c>
      <c r="AQ264" s="495">
        <f t="shared" si="247"/>
        <v>0</v>
      </c>
      <c r="AR264" s="501">
        <f t="shared" si="248"/>
        <v>0</v>
      </c>
      <c r="AS264" s="492">
        <f t="shared" si="249"/>
        <v>0</v>
      </c>
      <c r="AT264" s="492">
        <f t="shared" si="302"/>
        <v>0</v>
      </c>
      <c r="AU264" s="492">
        <f t="shared" si="303"/>
        <v>0</v>
      </c>
      <c r="AV264" s="492">
        <f t="shared" si="303"/>
        <v>0</v>
      </c>
      <c r="AW264" s="492">
        <f t="shared" si="250"/>
        <v>0</v>
      </c>
      <c r="AX264" s="493">
        <f t="shared" si="251"/>
        <v>0</v>
      </c>
      <c r="AY264" s="493">
        <f t="shared" si="304"/>
        <v>0</v>
      </c>
      <c r="AZ264" s="495">
        <f t="shared" si="304"/>
        <v>0</v>
      </c>
    </row>
    <row r="265" spans="1:52" s="238" customFormat="1" ht="12.75" customHeight="1" x14ac:dyDescent="0.2">
      <c r="A265" s="225">
        <v>47</v>
      </c>
      <c r="B265" s="226">
        <v>4427</v>
      </c>
      <c r="C265" s="226">
        <v>600074676</v>
      </c>
      <c r="D265" s="226">
        <v>70982660</v>
      </c>
      <c r="E265" s="224" t="s">
        <v>830</v>
      </c>
      <c r="F265" s="226">
        <v>3141</v>
      </c>
      <c r="G265" s="176" t="s">
        <v>316</v>
      </c>
      <c r="H265" s="227" t="s">
        <v>279</v>
      </c>
      <c r="I265" s="494">
        <v>644961</v>
      </c>
      <c r="J265" s="489">
        <v>472936</v>
      </c>
      <c r="K265" s="489">
        <v>0</v>
      </c>
      <c r="L265" s="489">
        <v>159852</v>
      </c>
      <c r="M265" s="489">
        <v>9459</v>
      </c>
      <c r="N265" s="489">
        <v>2714</v>
      </c>
      <c r="O265" s="490">
        <v>1.49</v>
      </c>
      <c r="P265" s="491">
        <v>0</v>
      </c>
      <c r="Q265" s="500">
        <v>1.49</v>
      </c>
      <c r="R265" s="502">
        <f t="shared" si="239"/>
        <v>0</v>
      </c>
      <c r="S265" s="492">
        <v>0</v>
      </c>
      <c r="T265" s="492">
        <v>0</v>
      </c>
      <c r="U265" s="492">
        <v>0</v>
      </c>
      <c r="V265" s="492">
        <f t="shared" si="240"/>
        <v>0</v>
      </c>
      <c r="W265" s="492">
        <v>0</v>
      </c>
      <c r="X265" s="492">
        <v>0</v>
      </c>
      <c r="Y265" s="492">
        <v>0</v>
      </c>
      <c r="Z265" s="492">
        <f t="shared" si="241"/>
        <v>0</v>
      </c>
      <c r="AA265" s="492">
        <f t="shared" si="242"/>
        <v>0</v>
      </c>
      <c r="AB265" s="74">
        <f t="shared" si="243"/>
        <v>0</v>
      </c>
      <c r="AC265" s="74">
        <f t="shared" si="244"/>
        <v>0</v>
      </c>
      <c r="AD265" s="492">
        <v>0</v>
      </c>
      <c r="AE265" s="492">
        <v>0</v>
      </c>
      <c r="AF265" s="492">
        <f t="shared" si="245"/>
        <v>0</v>
      </c>
      <c r="AG265" s="492">
        <f t="shared" si="246"/>
        <v>0</v>
      </c>
      <c r="AH265" s="493">
        <v>0</v>
      </c>
      <c r="AI265" s="493">
        <v>0</v>
      </c>
      <c r="AJ265" s="493">
        <v>0</v>
      </c>
      <c r="AK265" s="493">
        <v>0</v>
      </c>
      <c r="AL265" s="493">
        <v>0</v>
      </c>
      <c r="AM265" s="493">
        <v>0</v>
      </c>
      <c r="AN265" s="493">
        <v>0</v>
      </c>
      <c r="AO265" s="493">
        <f t="shared" si="300"/>
        <v>0</v>
      </c>
      <c r="AP265" s="493">
        <f t="shared" si="301"/>
        <v>0</v>
      </c>
      <c r="AQ265" s="495">
        <f t="shared" si="247"/>
        <v>0</v>
      </c>
      <c r="AR265" s="501">
        <f t="shared" si="248"/>
        <v>644961</v>
      </c>
      <c r="AS265" s="492">
        <f t="shared" si="249"/>
        <v>472936</v>
      </c>
      <c r="AT265" s="492">
        <f t="shared" si="302"/>
        <v>0</v>
      </c>
      <c r="AU265" s="492">
        <f t="shared" si="303"/>
        <v>159852</v>
      </c>
      <c r="AV265" s="492">
        <f t="shared" si="303"/>
        <v>9459</v>
      </c>
      <c r="AW265" s="492">
        <f t="shared" si="250"/>
        <v>2714</v>
      </c>
      <c r="AX265" s="493">
        <f t="shared" si="251"/>
        <v>1.49</v>
      </c>
      <c r="AY265" s="493">
        <f t="shared" si="304"/>
        <v>0</v>
      </c>
      <c r="AZ265" s="495">
        <f t="shared" si="304"/>
        <v>1.49</v>
      </c>
    </row>
    <row r="266" spans="1:52" s="238" customFormat="1" ht="12.75" customHeight="1" x14ac:dyDescent="0.2">
      <c r="A266" s="225">
        <v>47</v>
      </c>
      <c r="B266" s="226">
        <v>4427</v>
      </c>
      <c r="C266" s="226">
        <v>600074676</v>
      </c>
      <c r="D266" s="226">
        <v>70982660</v>
      </c>
      <c r="E266" s="224" t="s">
        <v>830</v>
      </c>
      <c r="F266" s="226">
        <v>3143</v>
      </c>
      <c r="G266" s="176" t="s">
        <v>629</v>
      </c>
      <c r="H266" s="243" t="s">
        <v>278</v>
      </c>
      <c r="I266" s="494">
        <v>189217</v>
      </c>
      <c r="J266" s="489">
        <v>139335</v>
      </c>
      <c r="K266" s="489">
        <v>0</v>
      </c>
      <c r="L266" s="489">
        <v>47095</v>
      </c>
      <c r="M266" s="489">
        <v>2787</v>
      </c>
      <c r="N266" s="489">
        <v>0</v>
      </c>
      <c r="O266" s="490">
        <v>0.33</v>
      </c>
      <c r="P266" s="491">
        <v>0.33</v>
      </c>
      <c r="Q266" s="500">
        <v>0</v>
      </c>
      <c r="R266" s="502">
        <f t="shared" si="239"/>
        <v>0</v>
      </c>
      <c r="S266" s="492">
        <v>0</v>
      </c>
      <c r="T266" s="492">
        <v>144700</v>
      </c>
      <c r="U266" s="492">
        <v>0</v>
      </c>
      <c r="V266" s="492">
        <f t="shared" si="240"/>
        <v>144700</v>
      </c>
      <c r="W266" s="492">
        <v>0</v>
      </c>
      <c r="X266" s="492">
        <v>0</v>
      </c>
      <c r="Y266" s="492">
        <v>0</v>
      </c>
      <c r="Z266" s="492">
        <f t="shared" si="241"/>
        <v>0</v>
      </c>
      <c r="AA266" s="492">
        <f t="shared" si="242"/>
        <v>144700</v>
      </c>
      <c r="AB266" s="74">
        <f t="shared" si="243"/>
        <v>48909</v>
      </c>
      <c r="AC266" s="74">
        <f t="shared" si="244"/>
        <v>2894</v>
      </c>
      <c r="AD266" s="492">
        <v>0</v>
      </c>
      <c r="AE266" s="492">
        <v>0</v>
      </c>
      <c r="AF266" s="492">
        <f t="shared" si="245"/>
        <v>0</v>
      </c>
      <c r="AG266" s="492">
        <f t="shared" si="246"/>
        <v>196503</v>
      </c>
      <c r="AH266" s="493">
        <v>0</v>
      </c>
      <c r="AI266" s="493">
        <v>0</v>
      </c>
      <c r="AJ266" s="493">
        <v>0</v>
      </c>
      <c r="AK266" s="493">
        <v>0.37</v>
      </c>
      <c r="AL266" s="493">
        <v>0</v>
      </c>
      <c r="AM266" s="493">
        <v>0</v>
      </c>
      <c r="AN266" s="493">
        <v>0</v>
      </c>
      <c r="AO266" s="493">
        <f t="shared" si="300"/>
        <v>0.37</v>
      </c>
      <c r="AP266" s="493">
        <f t="shared" si="301"/>
        <v>0</v>
      </c>
      <c r="AQ266" s="495">
        <f t="shared" si="247"/>
        <v>0.37</v>
      </c>
      <c r="AR266" s="501">
        <f t="shared" si="248"/>
        <v>385720</v>
      </c>
      <c r="AS266" s="492">
        <f t="shared" si="249"/>
        <v>284035</v>
      </c>
      <c r="AT266" s="492">
        <f t="shared" si="302"/>
        <v>0</v>
      </c>
      <c r="AU266" s="492">
        <f t="shared" si="303"/>
        <v>96004</v>
      </c>
      <c r="AV266" s="492">
        <f t="shared" si="303"/>
        <v>5681</v>
      </c>
      <c r="AW266" s="492">
        <f t="shared" si="250"/>
        <v>0</v>
      </c>
      <c r="AX266" s="493">
        <f t="shared" si="251"/>
        <v>0.7</v>
      </c>
      <c r="AY266" s="493">
        <f t="shared" si="304"/>
        <v>0.7</v>
      </c>
      <c r="AZ266" s="495">
        <f t="shared" si="304"/>
        <v>0</v>
      </c>
    </row>
    <row r="267" spans="1:52" s="238" customFormat="1" ht="12.75" customHeight="1" x14ac:dyDescent="0.2">
      <c r="A267" s="225">
        <v>47</v>
      </c>
      <c r="B267" s="226">
        <v>4427</v>
      </c>
      <c r="C267" s="226">
        <v>600074676</v>
      </c>
      <c r="D267" s="226">
        <v>70982660</v>
      </c>
      <c r="E267" s="224" t="s">
        <v>830</v>
      </c>
      <c r="F267" s="226">
        <v>3143</v>
      </c>
      <c r="G267" s="176" t="s">
        <v>630</v>
      </c>
      <c r="H267" s="243" t="s">
        <v>279</v>
      </c>
      <c r="I267" s="494">
        <v>6803</v>
      </c>
      <c r="J267" s="489">
        <v>4811</v>
      </c>
      <c r="K267" s="489">
        <v>0</v>
      </c>
      <c r="L267" s="489">
        <v>1626</v>
      </c>
      <c r="M267" s="489">
        <v>96</v>
      </c>
      <c r="N267" s="489">
        <v>270</v>
      </c>
      <c r="O267" s="490">
        <v>0.02</v>
      </c>
      <c r="P267" s="491">
        <v>0</v>
      </c>
      <c r="Q267" s="500">
        <v>0.02</v>
      </c>
      <c r="R267" s="502">
        <f t="shared" si="239"/>
        <v>0</v>
      </c>
      <c r="S267" s="492">
        <v>0</v>
      </c>
      <c r="T267" s="492">
        <v>0</v>
      </c>
      <c r="U267" s="492">
        <v>0</v>
      </c>
      <c r="V267" s="492">
        <f t="shared" si="240"/>
        <v>0</v>
      </c>
      <c r="W267" s="492">
        <v>0</v>
      </c>
      <c r="X267" s="492">
        <v>0</v>
      </c>
      <c r="Y267" s="492">
        <v>0</v>
      </c>
      <c r="Z267" s="492">
        <f t="shared" si="241"/>
        <v>0</v>
      </c>
      <c r="AA267" s="492">
        <f t="shared" si="242"/>
        <v>0</v>
      </c>
      <c r="AB267" s="74">
        <f t="shared" si="243"/>
        <v>0</v>
      </c>
      <c r="AC267" s="74">
        <f t="shared" si="244"/>
        <v>0</v>
      </c>
      <c r="AD267" s="492">
        <v>0</v>
      </c>
      <c r="AE267" s="492">
        <v>0</v>
      </c>
      <c r="AF267" s="492">
        <f t="shared" si="245"/>
        <v>0</v>
      </c>
      <c r="AG267" s="492">
        <f t="shared" si="246"/>
        <v>0</v>
      </c>
      <c r="AH267" s="493">
        <v>0</v>
      </c>
      <c r="AI267" s="493">
        <v>0</v>
      </c>
      <c r="AJ267" s="493">
        <v>0</v>
      </c>
      <c r="AK267" s="493">
        <v>0</v>
      </c>
      <c r="AL267" s="493">
        <v>0</v>
      </c>
      <c r="AM267" s="493">
        <v>0</v>
      </c>
      <c r="AN267" s="493">
        <v>0</v>
      </c>
      <c r="AO267" s="493">
        <f t="shared" si="300"/>
        <v>0</v>
      </c>
      <c r="AP267" s="493">
        <f t="shared" si="301"/>
        <v>0</v>
      </c>
      <c r="AQ267" s="495">
        <f t="shared" si="247"/>
        <v>0</v>
      </c>
      <c r="AR267" s="501">
        <f t="shared" si="248"/>
        <v>6803</v>
      </c>
      <c r="AS267" s="492">
        <f t="shared" si="249"/>
        <v>4811</v>
      </c>
      <c r="AT267" s="492">
        <f t="shared" si="302"/>
        <v>0</v>
      </c>
      <c r="AU267" s="492">
        <f t="shared" si="303"/>
        <v>1626</v>
      </c>
      <c r="AV267" s="492">
        <f t="shared" si="303"/>
        <v>96</v>
      </c>
      <c r="AW267" s="492">
        <f t="shared" si="250"/>
        <v>270</v>
      </c>
      <c r="AX267" s="493">
        <f t="shared" si="251"/>
        <v>0.02</v>
      </c>
      <c r="AY267" s="493">
        <f t="shared" si="304"/>
        <v>0</v>
      </c>
      <c r="AZ267" s="495">
        <f t="shared" si="304"/>
        <v>0.02</v>
      </c>
    </row>
    <row r="268" spans="1:52" s="238" customFormat="1" ht="12.75" customHeight="1" x14ac:dyDescent="0.2">
      <c r="A268" s="166">
        <v>47</v>
      </c>
      <c r="B268" s="20">
        <v>4427</v>
      </c>
      <c r="C268" s="20">
        <v>600074188</v>
      </c>
      <c r="D268" s="20">
        <v>70982678</v>
      </c>
      <c r="E268" s="175" t="s">
        <v>831</v>
      </c>
      <c r="F268" s="20"/>
      <c r="G268" s="165"/>
      <c r="H268" s="199"/>
      <c r="I268" s="553">
        <v>4865272</v>
      </c>
      <c r="J268" s="550">
        <v>3525857</v>
      </c>
      <c r="K268" s="550">
        <v>32500</v>
      </c>
      <c r="L268" s="550">
        <v>1202724</v>
      </c>
      <c r="M268" s="550">
        <v>70517</v>
      </c>
      <c r="N268" s="550">
        <v>33674</v>
      </c>
      <c r="O268" s="551">
        <v>8.7272999999999996</v>
      </c>
      <c r="P268" s="551">
        <v>4.8</v>
      </c>
      <c r="Q268" s="555">
        <v>3.9273000000000002</v>
      </c>
      <c r="R268" s="553">
        <f t="shared" ref="R268:AZ268" si="305">SUM(R262:R267)</f>
        <v>0</v>
      </c>
      <c r="S268" s="550">
        <f t="shared" si="305"/>
        <v>0</v>
      </c>
      <c r="T268" s="550">
        <f t="shared" si="305"/>
        <v>453976</v>
      </c>
      <c r="U268" s="550">
        <f t="shared" si="305"/>
        <v>0</v>
      </c>
      <c r="V268" s="550">
        <f t="shared" si="305"/>
        <v>453976</v>
      </c>
      <c r="W268" s="550">
        <f t="shared" si="305"/>
        <v>0</v>
      </c>
      <c r="X268" s="550">
        <f t="shared" si="305"/>
        <v>0</v>
      </c>
      <c r="Y268" s="550">
        <f t="shared" si="305"/>
        <v>0</v>
      </c>
      <c r="Z268" s="550">
        <f t="shared" si="305"/>
        <v>0</v>
      </c>
      <c r="AA268" s="550">
        <f t="shared" si="305"/>
        <v>453976</v>
      </c>
      <c r="AB268" s="550">
        <f t="shared" si="305"/>
        <v>153444</v>
      </c>
      <c r="AC268" s="550">
        <f t="shared" si="305"/>
        <v>9080</v>
      </c>
      <c r="AD268" s="550">
        <f t="shared" si="305"/>
        <v>0</v>
      </c>
      <c r="AE268" s="550">
        <f t="shared" si="305"/>
        <v>0</v>
      </c>
      <c r="AF268" s="550">
        <f t="shared" si="305"/>
        <v>0</v>
      </c>
      <c r="AG268" s="550">
        <f t="shared" si="305"/>
        <v>616500</v>
      </c>
      <c r="AH268" s="551">
        <f t="shared" si="305"/>
        <v>0</v>
      </c>
      <c r="AI268" s="551">
        <f t="shared" si="305"/>
        <v>0</v>
      </c>
      <c r="AJ268" s="551">
        <f t="shared" si="305"/>
        <v>0</v>
      </c>
      <c r="AK268" s="551">
        <f t="shared" si="305"/>
        <v>1.08</v>
      </c>
      <c r="AL268" s="551">
        <f t="shared" si="305"/>
        <v>0</v>
      </c>
      <c r="AM268" s="551">
        <f t="shared" si="305"/>
        <v>0</v>
      </c>
      <c r="AN268" s="551">
        <f t="shared" si="305"/>
        <v>0</v>
      </c>
      <c r="AO268" s="551">
        <f t="shared" si="305"/>
        <v>1.08</v>
      </c>
      <c r="AP268" s="551">
        <f t="shared" si="305"/>
        <v>0</v>
      </c>
      <c r="AQ268" s="44">
        <f t="shared" si="305"/>
        <v>1.08</v>
      </c>
      <c r="AR268" s="557">
        <f t="shared" si="305"/>
        <v>5481772</v>
      </c>
      <c r="AS268" s="550">
        <f t="shared" si="305"/>
        <v>3979833</v>
      </c>
      <c r="AT268" s="550">
        <f t="shared" si="305"/>
        <v>32500</v>
      </c>
      <c r="AU268" s="550">
        <f t="shared" si="305"/>
        <v>1356168</v>
      </c>
      <c r="AV268" s="550">
        <f t="shared" si="305"/>
        <v>79597</v>
      </c>
      <c r="AW268" s="550">
        <f t="shared" si="305"/>
        <v>33674</v>
      </c>
      <c r="AX268" s="551">
        <f t="shared" si="305"/>
        <v>9.8072999999999979</v>
      </c>
      <c r="AY268" s="551">
        <f t="shared" si="305"/>
        <v>5.88</v>
      </c>
      <c r="AZ268" s="44">
        <f t="shared" si="305"/>
        <v>3.9273000000000002</v>
      </c>
    </row>
    <row r="269" spans="1:52" s="238" customFormat="1" ht="12.75" customHeight="1" x14ac:dyDescent="0.2">
      <c r="A269" s="225">
        <v>49</v>
      </c>
      <c r="B269" s="226">
        <v>4490</v>
      </c>
      <c r="C269" s="226">
        <v>600074692</v>
      </c>
      <c r="D269" s="226">
        <v>72745088</v>
      </c>
      <c r="E269" s="224" t="s">
        <v>241</v>
      </c>
      <c r="F269" s="226">
        <v>3111</v>
      </c>
      <c r="G269" s="176" t="s">
        <v>312</v>
      </c>
      <c r="H269" s="227" t="s">
        <v>278</v>
      </c>
      <c r="I269" s="494">
        <v>1230549</v>
      </c>
      <c r="J269" s="489">
        <v>901509</v>
      </c>
      <c r="K269" s="489">
        <v>0</v>
      </c>
      <c r="L269" s="489">
        <v>304710</v>
      </c>
      <c r="M269" s="489">
        <v>18030</v>
      </c>
      <c r="N269" s="489">
        <v>6300</v>
      </c>
      <c r="O269" s="490">
        <v>2.2673999999999999</v>
      </c>
      <c r="P269" s="491">
        <v>1.8065</v>
      </c>
      <c r="Q269" s="500">
        <v>0.46089999999999998</v>
      </c>
      <c r="R269" s="502">
        <f t="shared" ref="R269:R297" si="306">W269*-1</f>
        <v>0</v>
      </c>
      <c r="S269" s="492">
        <v>0</v>
      </c>
      <c r="T269" s="492">
        <v>0</v>
      </c>
      <c r="U269" s="492">
        <v>0</v>
      </c>
      <c r="V269" s="492">
        <f t="shared" ref="V269:V297" si="307">SUM(R269:U269)</f>
        <v>0</v>
      </c>
      <c r="W269" s="492">
        <v>0</v>
      </c>
      <c r="X269" s="492">
        <v>0</v>
      </c>
      <c r="Y269" s="492">
        <v>0</v>
      </c>
      <c r="Z269" s="492">
        <f t="shared" ref="Z269:Z297" si="308">SUM(W269:Y269)</f>
        <v>0</v>
      </c>
      <c r="AA269" s="492">
        <f t="shared" ref="AA269:AA297" si="309">V269+Z269</f>
        <v>0</v>
      </c>
      <c r="AB269" s="74">
        <f t="shared" ref="AB269:AB297" si="310">ROUND((V269+W269+X269)*33.8%,0)</f>
        <v>0</v>
      </c>
      <c r="AC269" s="74">
        <f t="shared" ref="AC269:AC297" si="311">ROUND(V269*2%,0)</f>
        <v>0</v>
      </c>
      <c r="AD269" s="492">
        <v>0</v>
      </c>
      <c r="AE269" s="492">
        <v>0</v>
      </c>
      <c r="AF269" s="492">
        <f t="shared" ref="AF269:AF297" si="312">SUM(AD269:AE269)</f>
        <v>0</v>
      </c>
      <c r="AG269" s="492">
        <f t="shared" ref="AG269:AG297" si="313">AA269+AB269+AC269+AF269</f>
        <v>0</v>
      </c>
      <c r="AH269" s="493">
        <v>0</v>
      </c>
      <c r="AI269" s="493">
        <v>0</v>
      </c>
      <c r="AJ269" s="493">
        <v>0</v>
      </c>
      <c r="AK269" s="493">
        <v>0</v>
      </c>
      <c r="AL269" s="493">
        <v>0</v>
      </c>
      <c r="AM269" s="493">
        <v>0</v>
      </c>
      <c r="AN269" s="493">
        <v>0</v>
      </c>
      <c r="AO269" s="493">
        <f t="shared" ref="AO269:AO274" si="314">AH269+AJ269+AM269+AK269</f>
        <v>0</v>
      </c>
      <c r="AP269" s="493">
        <f t="shared" ref="AP269:AP274" si="315">AI269+AN269+AL269</f>
        <v>0</v>
      </c>
      <c r="AQ269" s="495">
        <f t="shared" ref="AQ269:AQ297" si="316">SUM(AO269:AP269)</f>
        <v>0</v>
      </c>
      <c r="AR269" s="501">
        <f t="shared" ref="AR269:AR297" si="317">I269+AG269</f>
        <v>1230549</v>
      </c>
      <c r="AS269" s="492">
        <f t="shared" ref="AS269:AS297" si="318">J269+V269</f>
        <v>901509</v>
      </c>
      <c r="AT269" s="492">
        <f t="shared" ref="AT269:AT274" si="319">K269+Z269</f>
        <v>0</v>
      </c>
      <c r="AU269" s="492">
        <f t="shared" ref="AU269:AV274" si="320">L269+AB269</f>
        <v>304710</v>
      </c>
      <c r="AV269" s="492">
        <f t="shared" si="320"/>
        <v>18030</v>
      </c>
      <c r="AW269" s="492">
        <f t="shared" ref="AW269:AW297" si="321">N269+AF269</f>
        <v>6300</v>
      </c>
      <c r="AX269" s="493">
        <f t="shared" ref="AX269:AX297" si="322">O269+AQ269</f>
        <v>2.2673999999999999</v>
      </c>
      <c r="AY269" s="493">
        <f t="shared" ref="AY269:AZ274" si="323">P269+AO269</f>
        <v>1.8065</v>
      </c>
      <c r="AZ269" s="495">
        <f t="shared" si="323"/>
        <v>0.46089999999999998</v>
      </c>
    </row>
    <row r="270" spans="1:52" s="238" customFormat="1" ht="12.75" customHeight="1" x14ac:dyDescent="0.2">
      <c r="A270" s="225">
        <v>49</v>
      </c>
      <c r="B270" s="226">
        <v>4490</v>
      </c>
      <c r="C270" s="226">
        <v>600074692</v>
      </c>
      <c r="D270" s="226">
        <v>72745088</v>
      </c>
      <c r="E270" s="224" t="s">
        <v>241</v>
      </c>
      <c r="F270" s="226">
        <v>3117</v>
      </c>
      <c r="G270" s="176" t="s">
        <v>315</v>
      </c>
      <c r="H270" s="227" t="s">
        <v>278</v>
      </c>
      <c r="I270" s="494">
        <v>2408902</v>
      </c>
      <c r="J270" s="489">
        <v>1745473</v>
      </c>
      <c r="K270" s="489">
        <v>3250</v>
      </c>
      <c r="L270" s="489">
        <v>591069</v>
      </c>
      <c r="M270" s="489">
        <v>34910</v>
      </c>
      <c r="N270" s="489">
        <v>34200</v>
      </c>
      <c r="O270" s="490">
        <v>3.6339999999999999</v>
      </c>
      <c r="P270" s="491">
        <v>2.5829</v>
      </c>
      <c r="Q270" s="500">
        <v>1.0510999999999999</v>
      </c>
      <c r="R270" s="502">
        <f t="shared" si="306"/>
        <v>0</v>
      </c>
      <c r="S270" s="492">
        <v>0</v>
      </c>
      <c r="T270" s="492">
        <v>0</v>
      </c>
      <c r="U270" s="492">
        <v>0</v>
      </c>
      <c r="V270" s="492">
        <f t="shared" si="307"/>
        <v>0</v>
      </c>
      <c r="W270" s="492">
        <v>0</v>
      </c>
      <c r="X270" s="492">
        <v>0</v>
      </c>
      <c r="Y270" s="492">
        <v>0</v>
      </c>
      <c r="Z270" s="492">
        <f t="shared" si="308"/>
        <v>0</v>
      </c>
      <c r="AA270" s="492">
        <f t="shared" si="309"/>
        <v>0</v>
      </c>
      <c r="AB270" s="74">
        <f t="shared" si="310"/>
        <v>0</v>
      </c>
      <c r="AC270" s="74">
        <f t="shared" si="311"/>
        <v>0</v>
      </c>
      <c r="AD270" s="492">
        <v>0</v>
      </c>
      <c r="AE270" s="492">
        <v>0</v>
      </c>
      <c r="AF270" s="492">
        <f t="shared" si="312"/>
        <v>0</v>
      </c>
      <c r="AG270" s="492">
        <f t="shared" si="313"/>
        <v>0</v>
      </c>
      <c r="AH270" s="493">
        <v>0</v>
      </c>
      <c r="AI270" s="493">
        <v>0</v>
      </c>
      <c r="AJ270" s="493">
        <v>0</v>
      </c>
      <c r="AK270" s="493">
        <v>0</v>
      </c>
      <c r="AL270" s="493">
        <v>0</v>
      </c>
      <c r="AM270" s="493">
        <v>0</v>
      </c>
      <c r="AN270" s="493">
        <v>0</v>
      </c>
      <c r="AO270" s="493">
        <f t="shared" si="314"/>
        <v>0</v>
      </c>
      <c r="AP270" s="493">
        <f t="shared" si="315"/>
        <v>0</v>
      </c>
      <c r="AQ270" s="495">
        <f t="shared" si="316"/>
        <v>0</v>
      </c>
      <c r="AR270" s="501">
        <f t="shared" si="317"/>
        <v>2408902</v>
      </c>
      <c r="AS270" s="492">
        <f t="shared" si="318"/>
        <v>1745473</v>
      </c>
      <c r="AT270" s="492">
        <f t="shared" si="319"/>
        <v>3250</v>
      </c>
      <c r="AU270" s="492">
        <f t="shared" si="320"/>
        <v>591069</v>
      </c>
      <c r="AV270" s="492">
        <f t="shared" si="320"/>
        <v>34910</v>
      </c>
      <c r="AW270" s="492">
        <f t="shared" si="321"/>
        <v>34200</v>
      </c>
      <c r="AX270" s="493">
        <f t="shared" si="322"/>
        <v>3.6339999999999999</v>
      </c>
      <c r="AY270" s="493">
        <f t="shared" si="323"/>
        <v>2.5829</v>
      </c>
      <c r="AZ270" s="495">
        <f t="shared" si="323"/>
        <v>1.0510999999999999</v>
      </c>
    </row>
    <row r="271" spans="1:52" s="238" customFormat="1" ht="12.75" customHeight="1" x14ac:dyDescent="0.2">
      <c r="A271" s="225">
        <v>49</v>
      </c>
      <c r="B271" s="226">
        <v>4490</v>
      </c>
      <c r="C271" s="226">
        <v>600074692</v>
      </c>
      <c r="D271" s="226">
        <v>72745088</v>
      </c>
      <c r="E271" s="224" t="s">
        <v>241</v>
      </c>
      <c r="F271" s="226">
        <v>3117</v>
      </c>
      <c r="G271" s="176" t="s">
        <v>313</v>
      </c>
      <c r="H271" s="227" t="s">
        <v>279</v>
      </c>
      <c r="I271" s="494">
        <v>0</v>
      </c>
      <c r="J271" s="489">
        <v>0</v>
      </c>
      <c r="K271" s="489">
        <v>0</v>
      </c>
      <c r="L271" s="489">
        <v>0</v>
      </c>
      <c r="M271" s="489">
        <v>0</v>
      </c>
      <c r="N271" s="489">
        <v>0</v>
      </c>
      <c r="O271" s="490">
        <v>0</v>
      </c>
      <c r="P271" s="491">
        <v>0</v>
      </c>
      <c r="Q271" s="500">
        <v>0</v>
      </c>
      <c r="R271" s="502">
        <f t="shared" si="306"/>
        <v>0</v>
      </c>
      <c r="S271" s="492">
        <v>0</v>
      </c>
      <c r="T271" s="492">
        <v>0</v>
      </c>
      <c r="U271" s="492">
        <v>0</v>
      </c>
      <c r="V271" s="492">
        <f t="shared" si="307"/>
        <v>0</v>
      </c>
      <c r="W271" s="492">
        <v>0</v>
      </c>
      <c r="X271" s="492">
        <v>0</v>
      </c>
      <c r="Y271" s="492">
        <v>0</v>
      </c>
      <c r="Z271" s="492">
        <f t="shared" si="308"/>
        <v>0</v>
      </c>
      <c r="AA271" s="492">
        <f t="shared" si="309"/>
        <v>0</v>
      </c>
      <c r="AB271" s="74">
        <f t="shared" si="310"/>
        <v>0</v>
      </c>
      <c r="AC271" s="74">
        <f t="shared" si="311"/>
        <v>0</v>
      </c>
      <c r="AD271" s="492">
        <v>0</v>
      </c>
      <c r="AE271" s="492">
        <v>0</v>
      </c>
      <c r="AF271" s="492">
        <f t="shared" si="312"/>
        <v>0</v>
      </c>
      <c r="AG271" s="492">
        <f t="shared" si="313"/>
        <v>0</v>
      </c>
      <c r="AH271" s="493">
        <v>0</v>
      </c>
      <c r="AI271" s="493">
        <v>0</v>
      </c>
      <c r="AJ271" s="493">
        <v>0</v>
      </c>
      <c r="AK271" s="493">
        <v>0</v>
      </c>
      <c r="AL271" s="493">
        <v>0</v>
      </c>
      <c r="AM271" s="493">
        <v>0</v>
      </c>
      <c r="AN271" s="493">
        <v>0</v>
      </c>
      <c r="AO271" s="493">
        <f t="shared" si="314"/>
        <v>0</v>
      </c>
      <c r="AP271" s="493">
        <f t="shared" si="315"/>
        <v>0</v>
      </c>
      <c r="AQ271" s="495">
        <f t="shared" si="316"/>
        <v>0</v>
      </c>
      <c r="AR271" s="501">
        <f t="shared" si="317"/>
        <v>0</v>
      </c>
      <c r="AS271" s="492">
        <f t="shared" si="318"/>
        <v>0</v>
      </c>
      <c r="AT271" s="492">
        <f t="shared" si="319"/>
        <v>0</v>
      </c>
      <c r="AU271" s="492">
        <f t="shared" si="320"/>
        <v>0</v>
      </c>
      <c r="AV271" s="492">
        <f t="shared" si="320"/>
        <v>0</v>
      </c>
      <c r="AW271" s="492">
        <f t="shared" si="321"/>
        <v>0</v>
      </c>
      <c r="AX271" s="493">
        <f t="shared" si="322"/>
        <v>0</v>
      </c>
      <c r="AY271" s="493">
        <f t="shared" si="323"/>
        <v>0</v>
      </c>
      <c r="AZ271" s="495">
        <f t="shared" si="323"/>
        <v>0</v>
      </c>
    </row>
    <row r="272" spans="1:52" s="238" customFormat="1" ht="12.75" customHeight="1" x14ac:dyDescent="0.2">
      <c r="A272" s="225">
        <v>49</v>
      </c>
      <c r="B272" s="226">
        <v>4490</v>
      </c>
      <c r="C272" s="226">
        <v>600074692</v>
      </c>
      <c r="D272" s="226">
        <v>72745088</v>
      </c>
      <c r="E272" s="224" t="s">
        <v>241</v>
      </c>
      <c r="F272" s="226">
        <v>3141</v>
      </c>
      <c r="G272" s="176" t="s">
        <v>316</v>
      </c>
      <c r="H272" s="227" t="s">
        <v>279</v>
      </c>
      <c r="I272" s="494">
        <v>480915</v>
      </c>
      <c r="J272" s="489">
        <v>349566</v>
      </c>
      <c r="K272" s="489">
        <v>3250</v>
      </c>
      <c r="L272" s="489">
        <v>119252</v>
      </c>
      <c r="M272" s="489">
        <v>6991</v>
      </c>
      <c r="N272" s="489">
        <v>1856</v>
      </c>
      <c r="O272" s="490">
        <v>1.1100000000000001</v>
      </c>
      <c r="P272" s="491">
        <v>0</v>
      </c>
      <c r="Q272" s="500">
        <v>1.1100000000000001</v>
      </c>
      <c r="R272" s="502">
        <f t="shared" si="306"/>
        <v>0</v>
      </c>
      <c r="S272" s="492">
        <v>0</v>
      </c>
      <c r="T272" s="492">
        <v>0</v>
      </c>
      <c r="U272" s="492">
        <v>0</v>
      </c>
      <c r="V272" s="492">
        <f t="shared" si="307"/>
        <v>0</v>
      </c>
      <c r="W272" s="492">
        <v>0</v>
      </c>
      <c r="X272" s="492">
        <v>0</v>
      </c>
      <c r="Y272" s="492">
        <v>0</v>
      </c>
      <c r="Z272" s="492">
        <f t="shared" si="308"/>
        <v>0</v>
      </c>
      <c r="AA272" s="492">
        <f t="shared" si="309"/>
        <v>0</v>
      </c>
      <c r="AB272" s="74">
        <f t="shared" si="310"/>
        <v>0</v>
      </c>
      <c r="AC272" s="74">
        <f t="shared" si="311"/>
        <v>0</v>
      </c>
      <c r="AD272" s="492">
        <v>0</v>
      </c>
      <c r="AE272" s="492">
        <v>0</v>
      </c>
      <c r="AF272" s="492">
        <f t="shared" si="312"/>
        <v>0</v>
      </c>
      <c r="AG272" s="492">
        <f t="shared" si="313"/>
        <v>0</v>
      </c>
      <c r="AH272" s="493">
        <v>0</v>
      </c>
      <c r="AI272" s="493">
        <v>0</v>
      </c>
      <c r="AJ272" s="493">
        <v>0</v>
      </c>
      <c r="AK272" s="493">
        <v>0</v>
      </c>
      <c r="AL272" s="493">
        <v>0</v>
      </c>
      <c r="AM272" s="493">
        <v>0</v>
      </c>
      <c r="AN272" s="493">
        <v>0</v>
      </c>
      <c r="AO272" s="493">
        <f t="shared" si="314"/>
        <v>0</v>
      </c>
      <c r="AP272" s="493">
        <f t="shared" si="315"/>
        <v>0</v>
      </c>
      <c r="AQ272" s="495">
        <f t="shared" si="316"/>
        <v>0</v>
      </c>
      <c r="AR272" s="501">
        <f t="shared" si="317"/>
        <v>480915</v>
      </c>
      <c r="AS272" s="492">
        <f t="shared" si="318"/>
        <v>349566</v>
      </c>
      <c r="AT272" s="492">
        <f t="shared" si="319"/>
        <v>3250</v>
      </c>
      <c r="AU272" s="492">
        <f t="shared" si="320"/>
        <v>119252</v>
      </c>
      <c r="AV272" s="492">
        <f t="shared" si="320"/>
        <v>6991</v>
      </c>
      <c r="AW272" s="492">
        <f t="shared" si="321"/>
        <v>1856</v>
      </c>
      <c r="AX272" s="493">
        <f t="shared" si="322"/>
        <v>1.1100000000000001</v>
      </c>
      <c r="AY272" s="493">
        <f t="shared" si="323"/>
        <v>0</v>
      </c>
      <c r="AZ272" s="495">
        <f t="shared" si="323"/>
        <v>1.1100000000000001</v>
      </c>
    </row>
    <row r="273" spans="1:52" s="238" customFormat="1" ht="12.75" customHeight="1" x14ac:dyDescent="0.2">
      <c r="A273" s="225">
        <v>49</v>
      </c>
      <c r="B273" s="226">
        <v>4490</v>
      </c>
      <c r="C273" s="226">
        <v>600074692</v>
      </c>
      <c r="D273" s="226">
        <v>72745088</v>
      </c>
      <c r="E273" s="224" t="s">
        <v>241</v>
      </c>
      <c r="F273" s="226">
        <v>3143</v>
      </c>
      <c r="G273" s="176" t="s">
        <v>629</v>
      </c>
      <c r="H273" s="243" t="s">
        <v>278</v>
      </c>
      <c r="I273" s="494">
        <v>649941</v>
      </c>
      <c r="J273" s="489">
        <v>478602</v>
      </c>
      <c r="K273" s="489">
        <v>0</v>
      </c>
      <c r="L273" s="489">
        <v>161767</v>
      </c>
      <c r="M273" s="489">
        <v>9572</v>
      </c>
      <c r="N273" s="489">
        <v>0</v>
      </c>
      <c r="O273" s="490">
        <v>1</v>
      </c>
      <c r="P273" s="491">
        <v>1</v>
      </c>
      <c r="Q273" s="500">
        <v>0</v>
      </c>
      <c r="R273" s="502">
        <f t="shared" si="306"/>
        <v>0</v>
      </c>
      <c r="S273" s="492">
        <v>0</v>
      </c>
      <c r="T273" s="492">
        <v>0</v>
      </c>
      <c r="U273" s="492">
        <v>0</v>
      </c>
      <c r="V273" s="492">
        <f t="shared" si="307"/>
        <v>0</v>
      </c>
      <c r="W273" s="492">
        <v>0</v>
      </c>
      <c r="X273" s="492">
        <v>0</v>
      </c>
      <c r="Y273" s="492">
        <v>0</v>
      </c>
      <c r="Z273" s="492">
        <f t="shared" si="308"/>
        <v>0</v>
      </c>
      <c r="AA273" s="492">
        <f t="shared" si="309"/>
        <v>0</v>
      </c>
      <c r="AB273" s="74">
        <f t="shared" si="310"/>
        <v>0</v>
      </c>
      <c r="AC273" s="74">
        <f t="shared" si="311"/>
        <v>0</v>
      </c>
      <c r="AD273" s="492">
        <v>0</v>
      </c>
      <c r="AE273" s="492">
        <v>0</v>
      </c>
      <c r="AF273" s="492">
        <f t="shared" si="312"/>
        <v>0</v>
      </c>
      <c r="AG273" s="492">
        <f t="shared" si="313"/>
        <v>0</v>
      </c>
      <c r="AH273" s="493">
        <v>0</v>
      </c>
      <c r="AI273" s="493">
        <v>0</v>
      </c>
      <c r="AJ273" s="493">
        <v>0</v>
      </c>
      <c r="AK273" s="493">
        <v>0</v>
      </c>
      <c r="AL273" s="493">
        <v>0</v>
      </c>
      <c r="AM273" s="493">
        <v>0</v>
      </c>
      <c r="AN273" s="493">
        <v>0</v>
      </c>
      <c r="AO273" s="493">
        <f t="shared" si="314"/>
        <v>0</v>
      </c>
      <c r="AP273" s="493">
        <f t="shared" si="315"/>
        <v>0</v>
      </c>
      <c r="AQ273" s="495">
        <f t="shared" si="316"/>
        <v>0</v>
      </c>
      <c r="AR273" s="501">
        <f t="shared" si="317"/>
        <v>649941</v>
      </c>
      <c r="AS273" s="492">
        <f t="shared" si="318"/>
        <v>478602</v>
      </c>
      <c r="AT273" s="492">
        <f t="shared" si="319"/>
        <v>0</v>
      </c>
      <c r="AU273" s="492">
        <f t="shared" si="320"/>
        <v>161767</v>
      </c>
      <c r="AV273" s="492">
        <f t="shared" si="320"/>
        <v>9572</v>
      </c>
      <c r="AW273" s="492">
        <f t="shared" si="321"/>
        <v>0</v>
      </c>
      <c r="AX273" s="493">
        <f t="shared" si="322"/>
        <v>1</v>
      </c>
      <c r="AY273" s="493">
        <f t="shared" si="323"/>
        <v>1</v>
      </c>
      <c r="AZ273" s="495">
        <f t="shared" si="323"/>
        <v>0</v>
      </c>
    </row>
    <row r="274" spans="1:52" s="238" customFormat="1" ht="12.75" customHeight="1" x14ac:dyDescent="0.2">
      <c r="A274" s="225">
        <v>49</v>
      </c>
      <c r="B274" s="226">
        <v>4490</v>
      </c>
      <c r="C274" s="226">
        <v>600074692</v>
      </c>
      <c r="D274" s="226">
        <v>72745088</v>
      </c>
      <c r="E274" s="224" t="s">
        <v>241</v>
      </c>
      <c r="F274" s="226">
        <v>3143</v>
      </c>
      <c r="G274" s="176" t="s">
        <v>630</v>
      </c>
      <c r="H274" s="243" t="s">
        <v>279</v>
      </c>
      <c r="I274" s="494">
        <v>13608</v>
      </c>
      <c r="J274" s="489">
        <v>9623</v>
      </c>
      <c r="K274" s="489">
        <v>0</v>
      </c>
      <c r="L274" s="489">
        <v>3253</v>
      </c>
      <c r="M274" s="489">
        <v>192</v>
      </c>
      <c r="N274" s="489">
        <v>540</v>
      </c>
      <c r="O274" s="490">
        <v>0.04</v>
      </c>
      <c r="P274" s="491">
        <v>0</v>
      </c>
      <c r="Q274" s="500">
        <v>0.04</v>
      </c>
      <c r="R274" s="502">
        <f t="shared" si="306"/>
        <v>0</v>
      </c>
      <c r="S274" s="492">
        <v>0</v>
      </c>
      <c r="T274" s="492">
        <v>0</v>
      </c>
      <c r="U274" s="492">
        <v>0</v>
      </c>
      <c r="V274" s="492">
        <f t="shared" si="307"/>
        <v>0</v>
      </c>
      <c r="W274" s="492">
        <v>0</v>
      </c>
      <c r="X274" s="492">
        <v>0</v>
      </c>
      <c r="Y274" s="492">
        <v>0</v>
      </c>
      <c r="Z274" s="492">
        <f t="shared" si="308"/>
        <v>0</v>
      </c>
      <c r="AA274" s="492">
        <f t="shared" si="309"/>
        <v>0</v>
      </c>
      <c r="AB274" s="74">
        <f t="shared" si="310"/>
        <v>0</v>
      </c>
      <c r="AC274" s="74">
        <f t="shared" si="311"/>
        <v>0</v>
      </c>
      <c r="AD274" s="492">
        <v>0</v>
      </c>
      <c r="AE274" s="492">
        <v>0</v>
      </c>
      <c r="AF274" s="492">
        <f t="shared" si="312"/>
        <v>0</v>
      </c>
      <c r="AG274" s="492">
        <f t="shared" si="313"/>
        <v>0</v>
      </c>
      <c r="AH274" s="493">
        <v>0</v>
      </c>
      <c r="AI274" s="493">
        <v>0</v>
      </c>
      <c r="AJ274" s="493">
        <v>0</v>
      </c>
      <c r="AK274" s="493">
        <v>0</v>
      </c>
      <c r="AL274" s="493">
        <v>0</v>
      </c>
      <c r="AM274" s="493">
        <v>0</v>
      </c>
      <c r="AN274" s="493">
        <v>0</v>
      </c>
      <c r="AO274" s="493">
        <f t="shared" si="314"/>
        <v>0</v>
      </c>
      <c r="AP274" s="493">
        <f t="shared" si="315"/>
        <v>0</v>
      </c>
      <c r="AQ274" s="495">
        <f t="shared" si="316"/>
        <v>0</v>
      </c>
      <c r="AR274" s="501">
        <f t="shared" si="317"/>
        <v>13608</v>
      </c>
      <c r="AS274" s="492">
        <f t="shared" si="318"/>
        <v>9623</v>
      </c>
      <c r="AT274" s="492">
        <f t="shared" si="319"/>
        <v>0</v>
      </c>
      <c r="AU274" s="492">
        <f t="shared" si="320"/>
        <v>3253</v>
      </c>
      <c r="AV274" s="492">
        <f t="shared" si="320"/>
        <v>192</v>
      </c>
      <c r="AW274" s="492">
        <f t="shared" si="321"/>
        <v>540</v>
      </c>
      <c r="AX274" s="493">
        <f t="shared" si="322"/>
        <v>0.04</v>
      </c>
      <c r="AY274" s="493">
        <f t="shared" si="323"/>
        <v>0</v>
      </c>
      <c r="AZ274" s="495">
        <f t="shared" si="323"/>
        <v>0.04</v>
      </c>
    </row>
    <row r="275" spans="1:52" s="238" customFormat="1" ht="12.75" customHeight="1" x14ac:dyDescent="0.2">
      <c r="A275" s="166">
        <v>49</v>
      </c>
      <c r="B275" s="20">
        <v>4490</v>
      </c>
      <c r="C275" s="20">
        <v>600074692</v>
      </c>
      <c r="D275" s="20">
        <v>72745088</v>
      </c>
      <c r="E275" s="175" t="s">
        <v>242</v>
      </c>
      <c r="F275" s="20"/>
      <c r="G275" s="165"/>
      <c r="H275" s="199"/>
      <c r="I275" s="552">
        <v>4783915</v>
      </c>
      <c r="J275" s="548">
        <v>3484773</v>
      </c>
      <c r="K275" s="548">
        <v>6500</v>
      </c>
      <c r="L275" s="548">
        <v>1180051</v>
      </c>
      <c r="M275" s="548">
        <v>69695</v>
      </c>
      <c r="N275" s="548">
        <v>42896</v>
      </c>
      <c r="O275" s="549">
        <v>8.0513999999999992</v>
      </c>
      <c r="P275" s="549">
        <v>5.3894000000000002</v>
      </c>
      <c r="Q275" s="554">
        <v>2.6619999999999999</v>
      </c>
      <c r="R275" s="552">
        <f t="shared" ref="R275:AZ275" si="324">SUM(R269:R274)</f>
        <v>0</v>
      </c>
      <c r="S275" s="548">
        <f t="shared" si="324"/>
        <v>0</v>
      </c>
      <c r="T275" s="548">
        <f t="shared" si="324"/>
        <v>0</v>
      </c>
      <c r="U275" s="548">
        <f t="shared" si="324"/>
        <v>0</v>
      </c>
      <c r="V275" s="548">
        <f t="shared" si="324"/>
        <v>0</v>
      </c>
      <c r="W275" s="548">
        <f t="shared" si="324"/>
        <v>0</v>
      </c>
      <c r="X275" s="548">
        <f t="shared" si="324"/>
        <v>0</v>
      </c>
      <c r="Y275" s="548">
        <f t="shared" si="324"/>
        <v>0</v>
      </c>
      <c r="Z275" s="548">
        <f t="shared" si="324"/>
        <v>0</v>
      </c>
      <c r="AA275" s="548">
        <f t="shared" si="324"/>
        <v>0</v>
      </c>
      <c r="AB275" s="548">
        <f t="shared" si="324"/>
        <v>0</v>
      </c>
      <c r="AC275" s="548">
        <f t="shared" si="324"/>
        <v>0</v>
      </c>
      <c r="AD275" s="548">
        <f t="shared" si="324"/>
        <v>0</v>
      </c>
      <c r="AE275" s="548">
        <f t="shared" si="324"/>
        <v>0</v>
      </c>
      <c r="AF275" s="548">
        <f t="shared" si="324"/>
        <v>0</v>
      </c>
      <c r="AG275" s="548">
        <f t="shared" si="324"/>
        <v>0</v>
      </c>
      <c r="AH275" s="549">
        <f t="shared" si="324"/>
        <v>0</v>
      </c>
      <c r="AI275" s="549">
        <f t="shared" si="324"/>
        <v>0</v>
      </c>
      <c r="AJ275" s="549">
        <f t="shared" si="324"/>
        <v>0</v>
      </c>
      <c r="AK275" s="549">
        <f t="shared" si="324"/>
        <v>0</v>
      </c>
      <c r="AL275" s="549">
        <f t="shared" si="324"/>
        <v>0</v>
      </c>
      <c r="AM275" s="549">
        <f t="shared" si="324"/>
        <v>0</v>
      </c>
      <c r="AN275" s="549">
        <f t="shared" si="324"/>
        <v>0</v>
      </c>
      <c r="AO275" s="549">
        <f t="shared" si="324"/>
        <v>0</v>
      </c>
      <c r="AP275" s="549">
        <f t="shared" si="324"/>
        <v>0</v>
      </c>
      <c r="AQ275" s="45">
        <f t="shared" si="324"/>
        <v>0</v>
      </c>
      <c r="AR275" s="556">
        <f t="shared" si="324"/>
        <v>4783915</v>
      </c>
      <c r="AS275" s="548">
        <f t="shared" si="324"/>
        <v>3484773</v>
      </c>
      <c r="AT275" s="548">
        <f t="shared" si="324"/>
        <v>6500</v>
      </c>
      <c r="AU275" s="548">
        <f t="shared" si="324"/>
        <v>1180051</v>
      </c>
      <c r="AV275" s="548">
        <f t="shared" si="324"/>
        <v>69695</v>
      </c>
      <c r="AW275" s="548">
        <f t="shared" si="324"/>
        <v>42896</v>
      </c>
      <c r="AX275" s="549">
        <f t="shared" si="324"/>
        <v>8.0513999999999992</v>
      </c>
      <c r="AY275" s="549">
        <f t="shared" si="324"/>
        <v>5.3894000000000002</v>
      </c>
      <c r="AZ275" s="45">
        <f t="shared" si="324"/>
        <v>2.6619999999999999</v>
      </c>
    </row>
    <row r="276" spans="1:52" s="238" customFormat="1" ht="12.75" customHeight="1" x14ac:dyDescent="0.2">
      <c r="A276" s="225">
        <v>50</v>
      </c>
      <c r="B276" s="226">
        <v>4491</v>
      </c>
      <c r="C276" s="226">
        <v>650050517</v>
      </c>
      <c r="D276" s="226">
        <v>72742437</v>
      </c>
      <c r="E276" s="224" t="s">
        <v>243</v>
      </c>
      <c r="F276" s="226">
        <v>3111</v>
      </c>
      <c r="G276" s="176" t="s">
        <v>312</v>
      </c>
      <c r="H276" s="227" t="s">
        <v>278</v>
      </c>
      <c r="I276" s="494">
        <v>1590426</v>
      </c>
      <c r="J276" s="489">
        <v>1163245</v>
      </c>
      <c r="K276" s="489">
        <v>1300</v>
      </c>
      <c r="L276" s="489">
        <v>393616</v>
      </c>
      <c r="M276" s="489">
        <v>23265</v>
      </c>
      <c r="N276" s="489">
        <v>9000</v>
      </c>
      <c r="O276" s="490">
        <v>2.4609000000000001</v>
      </c>
      <c r="P276" s="491">
        <v>2</v>
      </c>
      <c r="Q276" s="500">
        <v>0.46089999999999998</v>
      </c>
      <c r="R276" s="502">
        <f t="shared" si="306"/>
        <v>0</v>
      </c>
      <c r="S276" s="492">
        <v>0</v>
      </c>
      <c r="T276" s="492">
        <v>0</v>
      </c>
      <c r="U276" s="492">
        <v>0</v>
      </c>
      <c r="V276" s="492">
        <f t="shared" si="307"/>
        <v>0</v>
      </c>
      <c r="W276" s="492">
        <v>0</v>
      </c>
      <c r="X276" s="492">
        <v>0</v>
      </c>
      <c r="Y276" s="492">
        <v>0</v>
      </c>
      <c r="Z276" s="492">
        <f t="shared" si="308"/>
        <v>0</v>
      </c>
      <c r="AA276" s="492">
        <f t="shared" si="309"/>
        <v>0</v>
      </c>
      <c r="AB276" s="74">
        <f t="shared" si="310"/>
        <v>0</v>
      </c>
      <c r="AC276" s="74">
        <f t="shared" si="311"/>
        <v>0</v>
      </c>
      <c r="AD276" s="492">
        <v>0</v>
      </c>
      <c r="AE276" s="492">
        <v>0</v>
      </c>
      <c r="AF276" s="492">
        <f t="shared" si="312"/>
        <v>0</v>
      </c>
      <c r="AG276" s="492">
        <f t="shared" si="313"/>
        <v>0</v>
      </c>
      <c r="AH276" s="493">
        <v>0</v>
      </c>
      <c r="AI276" s="493">
        <v>0</v>
      </c>
      <c r="AJ276" s="493">
        <v>0</v>
      </c>
      <c r="AK276" s="493">
        <v>0</v>
      </c>
      <c r="AL276" s="493">
        <v>0</v>
      </c>
      <c r="AM276" s="493">
        <v>0</v>
      </c>
      <c r="AN276" s="493">
        <v>0</v>
      </c>
      <c r="AO276" s="493">
        <f t="shared" ref="AO276:AO281" si="325">AH276+AJ276+AM276+AK276</f>
        <v>0</v>
      </c>
      <c r="AP276" s="493">
        <f t="shared" ref="AP276:AP281" si="326">AI276+AN276+AL276</f>
        <v>0</v>
      </c>
      <c r="AQ276" s="495">
        <f t="shared" si="316"/>
        <v>0</v>
      </c>
      <c r="AR276" s="501">
        <f t="shared" si="317"/>
        <v>1590426</v>
      </c>
      <c r="AS276" s="492">
        <f t="shared" si="318"/>
        <v>1163245</v>
      </c>
      <c r="AT276" s="492">
        <f t="shared" ref="AT276:AT281" si="327">K276+Z276</f>
        <v>1300</v>
      </c>
      <c r="AU276" s="492">
        <f t="shared" ref="AU276:AV281" si="328">L276+AB276</f>
        <v>393616</v>
      </c>
      <c r="AV276" s="492">
        <f t="shared" si="328"/>
        <v>23265</v>
      </c>
      <c r="AW276" s="492">
        <f t="shared" si="321"/>
        <v>9000</v>
      </c>
      <c r="AX276" s="493">
        <f t="shared" si="322"/>
        <v>2.4609000000000001</v>
      </c>
      <c r="AY276" s="493">
        <f t="shared" ref="AY276:AZ281" si="329">P276+AO276</f>
        <v>2</v>
      </c>
      <c r="AZ276" s="495">
        <f t="shared" si="329"/>
        <v>0.46089999999999998</v>
      </c>
    </row>
    <row r="277" spans="1:52" s="238" customFormat="1" ht="12.75" customHeight="1" x14ac:dyDescent="0.2">
      <c r="A277" s="225">
        <v>50</v>
      </c>
      <c r="B277" s="226">
        <v>4491</v>
      </c>
      <c r="C277" s="226">
        <v>650050517</v>
      </c>
      <c r="D277" s="226">
        <v>72742437</v>
      </c>
      <c r="E277" s="224" t="s">
        <v>243</v>
      </c>
      <c r="F277" s="226">
        <v>3117</v>
      </c>
      <c r="G277" s="176" t="s">
        <v>315</v>
      </c>
      <c r="H277" s="227" t="s">
        <v>278</v>
      </c>
      <c r="I277" s="494">
        <v>3569163</v>
      </c>
      <c r="J277" s="489">
        <v>2575277</v>
      </c>
      <c r="K277" s="489">
        <v>5200</v>
      </c>
      <c r="L277" s="489">
        <v>872201</v>
      </c>
      <c r="M277" s="489">
        <v>51505</v>
      </c>
      <c r="N277" s="489">
        <v>64980</v>
      </c>
      <c r="O277" s="490">
        <v>4.4371</v>
      </c>
      <c r="P277" s="491">
        <v>2.99</v>
      </c>
      <c r="Q277" s="500">
        <v>1.4471000000000001</v>
      </c>
      <c r="R277" s="502">
        <f t="shared" si="306"/>
        <v>0</v>
      </c>
      <c r="S277" s="492">
        <v>0</v>
      </c>
      <c r="T277" s="492">
        <v>0</v>
      </c>
      <c r="U277" s="492">
        <v>0</v>
      </c>
      <c r="V277" s="492">
        <f t="shared" si="307"/>
        <v>0</v>
      </c>
      <c r="W277" s="492">
        <v>0</v>
      </c>
      <c r="X277" s="492">
        <v>0</v>
      </c>
      <c r="Y277" s="492">
        <v>0</v>
      </c>
      <c r="Z277" s="492">
        <f t="shared" si="308"/>
        <v>0</v>
      </c>
      <c r="AA277" s="492">
        <f t="shared" si="309"/>
        <v>0</v>
      </c>
      <c r="AB277" s="74">
        <f t="shared" si="310"/>
        <v>0</v>
      </c>
      <c r="AC277" s="74">
        <f t="shared" si="311"/>
        <v>0</v>
      </c>
      <c r="AD277" s="492">
        <v>0</v>
      </c>
      <c r="AE277" s="492">
        <v>0</v>
      </c>
      <c r="AF277" s="492">
        <f t="shared" si="312"/>
        <v>0</v>
      </c>
      <c r="AG277" s="492">
        <f t="shared" si="313"/>
        <v>0</v>
      </c>
      <c r="AH277" s="493">
        <v>0</v>
      </c>
      <c r="AI277" s="493">
        <v>0</v>
      </c>
      <c r="AJ277" s="493">
        <v>0</v>
      </c>
      <c r="AK277" s="493">
        <v>0</v>
      </c>
      <c r="AL277" s="493">
        <v>0</v>
      </c>
      <c r="AM277" s="493">
        <v>0</v>
      </c>
      <c r="AN277" s="493">
        <v>0</v>
      </c>
      <c r="AO277" s="493">
        <f t="shared" si="325"/>
        <v>0</v>
      </c>
      <c r="AP277" s="493">
        <f t="shared" si="326"/>
        <v>0</v>
      </c>
      <c r="AQ277" s="495">
        <f t="shared" si="316"/>
        <v>0</v>
      </c>
      <c r="AR277" s="501">
        <f t="shared" si="317"/>
        <v>3569163</v>
      </c>
      <c r="AS277" s="492">
        <f t="shared" si="318"/>
        <v>2575277</v>
      </c>
      <c r="AT277" s="492">
        <f t="shared" si="327"/>
        <v>5200</v>
      </c>
      <c r="AU277" s="492">
        <f t="shared" si="328"/>
        <v>872201</v>
      </c>
      <c r="AV277" s="492">
        <f t="shared" si="328"/>
        <v>51505</v>
      </c>
      <c r="AW277" s="492">
        <f t="shared" si="321"/>
        <v>64980</v>
      </c>
      <c r="AX277" s="493">
        <f t="shared" si="322"/>
        <v>4.4371</v>
      </c>
      <c r="AY277" s="493">
        <f t="shared" si="329"/>
        <v>2.99</v>
      </c>
      <c r="AZ277" s="495">
        <f t="shared" si="329"/>
        <v>1.4471000000000001</v>
      </c>
    </row>
    <row r="278" spans="1:52" s="238" customFormat="1" ht="12.75" customHeight="1" x14ac:dyDescent="0.2">
      <c r="A278" s="225">
        <v>50</v>
      </c>
      <c r="B278" s="226">
        <v>4491</v>
      </c>
      <c r="C278" s="226">
        <v>650050517</v>
      </c>
      <c r="D278" s="226">
        <v>72742437</v>
      </c>
      <c r="E278" s="224" t="s">
        <v>243</v>
      </c>
      <c r="F278" s="226">
        <v>3117</v>
      </c>
      <c r="G278" s="176" t="s">
        <v>313</v>
      </c>
      <c r="H278" s="227" t="s">
        <v>279</v>
      </c>
      <c r="I278" s="494">
        <v>470470</v>
      </c>
      <c r="J278" s="489">
        <v>346443</v>
      </c>
      <c r="K278" s="489">
        <v>0</v>
      </c>
      <c r="L278" s="489">
        <v>117098</v>
      </c>
      <c r="M278" s="489">
        <v>6929</v>
      </c>
      <c r="N278" s="489">
        <v>0</v>
      </c>
      <c r="O278" s="490">
        <v>1</v>
      </c>
      <c r="P278" s="491">
        <v>1</v>
      </c>
      <c r="Q278" s="500">
        <v>0</v>
      </c>
      <c r="R278" s="502">
        <f t="shared" si="306"/>
        <v>0</v>
      </c>
      <c r="S278" s="492">
        <v>0</v>
      </c>
      <c r="T278" s="492">
        <v>0</v>
      </c>
      <c r="U278" s="492">
        <v>0</v>
      </c>
      <c r="V278" s="492">
        <f t="shared" si="307"/>
        <v>0</v>
      </c>
      <c r="W278" s="492">
        <v>0</v>
      </c>
      <c r="X278" s="492">
        <v>0</v>
      </c>
      <c r="Y278" s="492">
        <v>0</v>
      </c>
      <c r="Z278" s="492">
        <f t="shared" si="308"/>
        <v>0</v>
      </c>
      <c r="AA278" s="492">
        <f t="shared" si="309"/>
        <v>0</v>
      </c>
      <c r="AB278" s="74">
        <f t="shared" si="310"/>
        <v>0</v>
      </c>
      <c r="AC278" s="74">
        <f t="shared" si="311"/>
        <v>0</v>
      </c>
      <c r="AD278" s="492">
        <v>0</v>
      </c>
      <c r="AE278" s="492">
        <v>0</v>
      </c>
      <c r="AF278" s="492">
        <f t="shared" si="312"/>
        <v>0</v>
      </c>
      <c r="AG278" s="492">
        <f t="shared" si="313"/>
        <v>0</v>
      </c>
      <c r="AH278" s="493">
        <v>0</v>
      </c>
      <c r="AI278" s="493">
        <v>0</v>
      </c>
      <c r="AJ278" s="493">
        <v>0</v>
      </c>
      <c r="AK278" s="493">
        <v>0</v>
      </c>
      <c r="AL278" s="493">
        <v>0</v>
      </c>
      <c r="AM278" s="493">
        <v>0</v>
      </c>
      <c r="AN278" s="493">
        <v>0</v>
      </c>
      <c r="AO278" s="493">
        <f t="shared" si="325"/>
        <v>0</v>
      </c>
      <c r="AP278" s="493">
        <f t="shared" si="326"/>
        <v>0</v>
      </c>
      <c r="AQ278" s="495">
        <f t="shared" si="316"/>
        <v>0</v>
      </c>
      <c r="AR278" s="501">
        <f t="shared" si="317"/>
        <v>470470</v>
      </c>
      <c r="AS278" s="492">
        <f t="shared" si="318"/>
        <v>346443</v>
      </c>
      <c r="AT278" s="492">
        <f t="shared" si="327"/>
        <v>0</v>
      </c>
      <c r="AU278" s="492">
        <f t="shared" si="328"/>
        <v>117098</v>
      </c>
      <c r="AV278" s="492">
        <f t="shared" si="328"/>
        <v>6929</v>
      </c>
      <c r="AW278" s="492">
        <f t="shared" si="321"/>
        <v>0</v>
      </c>
      <c r="AX278" s="493">
        <f t="shared" si="322"/>
        <v>1</v>
      </c>
      <c r="AY278" s="493">
        <f t="shared" si="329"/>
        <v>1</v>
      </c>
      <c r="AZ278" s="495">
        <f t="shared" si="329"/>
        <v>0</v>
      </c>
    </row>
    <row r="279" spans="1:52" s="238" customFormat="1" ht="12.75" customHeight="1" x14ac:dyDescent="0.2">
      <c r="A279" s="225">
        <v>50</v>
      </c>
      <c r="B279" s="226">
        <v>4491</v>
      </c>
      <c r="C279" s="226">
        <v>650050517</v>
      </c>
      <c r="D279" s="226">
        <v>72742437</v>
      </c>
      <c r="E279" s="224" t="s">
        <v>243</v>
      </c>
      <c r="F279" s="226">
        <v>3141</v>
      </c>
      <c r="G279" s="176" t="s">
        <v>316</v>
      </c>
      <c r="H279" s="227" t="s">
        <v>279</v>
      </c>
      <c r="I279" s="494">
        <v>790287</v>
      </c>
      <c r="J279" s="489">
        <v>578703</v>
      </c>
      <c r="K279" s="489">
        <v>0</v>
      </c>
      <c r="L279" s="489">
        <v>195602</v>
      </c>
      <c r="M279" s="489">
        <v>11574</v>
      </c>
      <c r="N279" s="489">
        <v>4408</v>
      </c>
      <c r="O279" s="490">
        <v>1.82</v>
      </c>
      <c r="P279" s="491">
        <v>0</v>
      </c>
      <c r="Q279" s="500">
        <v>1.82</v>
      </c>
      <c r="R279" s="502">
        <f t="shared" si="306"/>
        <v>0</v>
      </c>
      <c r="S279" s="492">
        <v>0</v>
      </c>
      <c r="T279" s="492">
        <v>0</v>
      </c>
      <c r="U279" s="492">
        <v>0</v>
      </c>
      <c r="V279" s="492">
        <f t="shared" si="307"/>
        <v>0</v>
      </c>
      <c r="W279" s="492">
        <v>0</v>
      </c>
      <c r="X279" s="492">
        <v>0</v>
      </c>
      <c r="Y279" s="492">
        <v>0</v>
      </c>
      <c r="Z279" s="492">
        <f t="shared" si="308"/>
        <v>0</v>
      </c>
      <c r="AA279" s="492">
        <f t="shared" si="309"/>
        <v>0</v>
      </c>
      <c r="AB279" s="74">
        <f t="shared" si="310"/>
        <v>0</v>
      </c>
      <c r="AC279" s="74">
        <f t="shared" si="311"/>
        <v>0</v>
      </c>
      <c r="AD279" s="492">
        <v>0</v>
      </c>
      <c r="AE279" s="492">
        <v>0</v>
      </c>
      <c r="AF279" s="492">
        <f t="shared" si="312"/>
        <v>0</v>
      </c>
      <c r="AG279" s="492">
        <f t="shared" si="313"/>
        <v>0</v>
      </c>
      <c r="AH279" s="493">
        <v>0</v>
      </c>
      <c r="AI279" s="493">
        <v>0</v>
      </c>
      <c r="AJ279" s="493">
        <v>0</v>
      </c>
      <c r="AK279" s="493">
        <v>0</v>
      </c>
      <c r="AL279" s="493">
        <v>0</v>
      </c>
      <c r="AM279" s="493">
        <v>0</v>
      </c>
      <c r="AN279" s="493">
        <v>0</v>
      </c>
      <c r="AO279" s="493">
        <f t="shared" si="325"/>
        <v>0</v>
      </c>
      <c r="AP279" s="493">
        <f t="shared" si="326"/>
        <v>0</v>
      </c>
      <c r="AQ279" s="495">
        <f t="shared" si="316"/>
        <v>0</v>
      </c>
      <c r="AR279" s="501">
        <f t="shared" si="317"/>
        <v>790287</v>
      </c>
      <c r="AS279" s="492">
        <f t="shared" si="318"/>
        <v>578703</v>
      </c>
      <c r="AT279" s="492">
        <f t="shared" si="327"/>
        <v>0</v>
      </c>
      <c r="AU279" s="492">
        <f t="shared" si="328"/>
        <v>195602</v>
      </c>
      <c r="AV279" s="492">
        <f t="shared" si="328"/>
        <v>11574</v>
      </c>
      <c r="AW279" s="492">
        <f t="shared" si="321"/>
        <v>4408</v>
      </c>
      <c r="AX279" s="493">
        <f t="shared" si="322"/>
        <v>1.82</v>
      </c>
      <c r="AY279" s="493">
        <f t="shared" si="329"/>
        <v>0</v>
      </c>
      <c r="AZ279" s="495">
        <f t="shared" si="329"/>
        <v>1.82</v>
      </c>
    </row>
    <row r="280" spans="1:52" s="238" customFormat="1" ht="12.75" customHeight="1" x14ac:dyDescent="0.2">
      <c r="A280" s="225">
        <v>50</v>
      </c>
      <c r="B280" s="226">
        <v>4491</v>
      </c>
      <c r="C280" s="226">
        <v>650050517</v>
      </c>
      <c r="D280" s="226">
        <v>72742437</v>
      </c>
      <c r="E280" s="224" t="s">
        <v>243</v>
      </c>
      <c r="F280" s="226">
        <v>3143</v>
      </c>
      <c r="G280" s="176" t="s">
        <v>629</v>
      </c>
      <c r="H280" s="243" t="s">
        <v>278</v>
      </c>
      <c r="I280" s="494">
        <v>690782</v>
      </c>
      <c r="J280" s="489">
        <v>507395</v>
      </c>
      <c r="K280" s="489">
        <v>1300</v>
      </c>
      <c r="L280" s="489">
        <v>171939</v>
      </c>
      <c r="M280" s="489">
        <v>10148</v>
      </c>
      <c r="N280" s="489">
        <v>0</v>
      </c>
      <c r="O280" s="490">
        <v>1.0179</v>
      </c>
      <c r="P280" s="491">
        <v>1.0179</v>
      </c>
      <c r="Q280" s="500">
        <v>0</v>
      </c>
      <c r="R280" s="502">
        <f t="shared" si="306"/>
        <v>0</v>
      </c>
      <c r="S280" s="492">
        <v>0</v>
      </c>
      <c r="T280" s="492">
        <v>0</v>
      </c>
      <c r="U280" s="492">
        <v>0</v>
      </c>
      <c r="V280" s="492">
        <f t="shared" si="307"/>
        <v>0</v>
      </c>
      <c r="W280" s="492">
        <v>0</v>
      </c>
      <c r="X280" s="492">
        <v>0</v>
      </c>
      <c r="Y280" s="492">
        <v>0</v>
      </c>
      <c r="Z280" s="492">
        <f t="shared" si="308"/>
        <v>0</v>
      </c>
      <c r="AA280" s="492">
        <f t="shared" si="309"/>
        <v>0</v>
      </c>
      <c r="AB280" s="74">
        <f t="shared" si="310"/>
        <v>0</v>
      </c>
      <c r="AC280" s="74">
        <f t="shared" si="311"/>
        <v>0</v>
      </c>
      <c r="AD280" s="492">
        <v>0</v>
      </c>
      <c r="AE280" s="492">
        <v>0</v>
      </c>
      <c r="AF280" s="492">
        <f t="shared" si="312"/>
        <v>0</v>
      </c>
      <c r="AG280" s="492">
        <f t="shared" si="313"/>
        <v>0</v>
      </c>
      <c r="AH280" s="493">
        <v>0</v>
      </c>
      <c r="AI280" s="493">
        <v>0</v>
      </c>
      <c r="AJ280" s="493">
        <v>0</v>
      </c>
      <c r="AK280" s="493">
        <v>0</v>
      </c>
      <c r="AL280" s="493">
        <v>0</v>
      </c>
      <c r="AM280" s="493">
        <v>0</v>
      </c>
      <c r="AN280" s="493">
        <v>0</v>
      </c>
      <c r="AO280" s="493">
        <f t="shared" si="325"/>
        <v>0</v>
      </c>
      <c r="AP280" s="493">
        <f t="shared" si="326"/>
        <v>0</v>
      </c>
      <c r="AQ280" s="495">
        <f t="shared" si="316"/>
        <v>0</v>
      </c>
      <c r="AR280" s="501">
        <f t="shared" si="317"/>
        <v>690782</v>
      </c>
      <c r="AS280" s="492">
        <f t="shared" si="318"/>
        <v>507395</v>
      </c>
      <c r="AT280" s="492">
        <f t="shared" si="327"/>
        <v>1300</v>
      </c>
      <c r="AU280" s="492">
        <f t="shared" si="328"/>
        <v>171939</v>
      </c>
      <c r="AV280" s="492">
        <f t="shared" si="328"/>
        <v>10148</v>
      </c>
      <c r="AW280" s="492">
        <f t="shared" si="321"/>
        <v>0</v>
      </c>
      <c r="AX280" s="493">
        <f t="shared" si="322"/>
        <v>1.0179</v>
      </c>
      <c r="AY280" s="493">
        <f t="shared" si="329"/>
        <v>1.0179</v>
      </c>
      <c r="AZ280" s="495">
        <f t="shared" si="329"/>
        <v>0</v>
      </c>
    </row>
    <row r="281" spans="1:52" s="238" customFormat="1" ht="12.75" customHeight="1" x14ac:dyDescent="0.2">
      <c r="A281" s="225">
        <v>50</v>
      </c>
      <c r="B281" s="226">
        <v>4491</v>
      </c>
      <c r="C281" s="226">
        <v>650050517</v>
      </c>
      <c r="D281" s="226">
        <v>72742437</v>
      </c>
      <c r="E281" s="224" t="s">
        <v>243</v>
      </c>
      <c r="F281" s="226">
        <v>3143</v>
      </c>
      <c r="G281" s="176" t="s">
        <v>630</v>
      </c>
      <c r="H281" s="243" t="s">
        <v>279</v>
      </c>
      <c r="I281" s="494">
        <v>22680</v>
      </c>
      <c r="J281" s="489">
        <v>16038</v>
      </c>
      <c r="K281" s="489">
        <v>0</v>
      </c>
      <c r="L281" s="489">
        <v>5421</v>
      </c>
      <c r="M281" s="489">
        <v>321</v>
      </c>
      <c r="N281" s="489">
        <v>900</v>
      </c>
      <c r="O281" s="490">
        <v>0.06</v>
      </c>
      <c r="P281" s="491">
        <v>0</v>
      </c>
      <c r="Q281" s="500">
        <v>0.06</v>
      </c>
      <c r="R281" s="502">
        <f t="shared" si="306"/>
        <v>0</v>
      </c>
      <c r="S281" s="492">
        <v>0</v>
      </c>
      <c r="T281" s="492">
        <v>0</v>
      </c>
      <c r="U281" s="492">
        <v>0</v>
      </c>
      <c r="V281" s="492">
        <f t="shared" si="307"/>
        <v>0</v>
      </c>
      <c r="W281" s="492">
        <v>0</v>
      </c>
      <c r="X281" s="492">
        <v>0</v>
      </c>
      <c r="Y281" s="492">
        <v>0</v>
      </c>
      <c r="Z281" s="492">
        <f t="shared" si="308"/>
        <v>0</v>
      </c>
      <c r="AA281" s="492">
        <f t="shared" si="309"/>
        <v>0</v>
      </c>
      <c r="AB281" s="74">
        <f t="shared" si="310"/>
        <v>0</v>
      </c>
      <c r="AC281" s="74">
        <f t="shared" si="311"/>
        <v>0</v>
      </c>
      <c r="AD281" s="492">
        <v>0</v>
      </c>
      <c r="AE281" s="492">
        <v>0</v>
      </c>
      <c r="AF281" s="492">
        <f t="shared" si="312"/>
        <v>0</v>
      </c>
      <c r="AG281" s="492">
        <f t="shared" si="313"/>
        <v>0</v>
      </c>
      <c r="AH281" s="493">
        <v>0</v>
      </c>
      <c r="AI281" s="493">
        <v>0</v>
      </c>
      <c r="AJ281" s="493">
        <v>0</v>
      </c>
      <c r="AK281" s="493">
        <v>0</v>
      </c>
      <c r="AL281" s="493">
        <v>0</v>
      </c>
      <c r="AM281" s="493">
        <v>0</v>
      </c>
      <c r="AN281" s="493">
        <v>0</v>
      </c>
      <c r="AO281" s="493">
        <f t="shared" si="325"/>
        <v>0</v>
      </c>
      <c r="AP281" s="493">
        <f t="shared" si="326"/>
        <v>0</v>
      </c>
      <c r="AQ281" s="495">
        <f t="shared" si="316"/>
        <v>0</v>
      </c>
      <c r="AR281" s="501">
        <f t="shared" si="317"/>
        <v>22680</v>
      </c>
      <c r="AS281" s="492">
        <f t="shared" si="318"/>
        <v>16038</v>
      </c>
      <c r="AT281" s="492">
        <f t="shared" si="327"/>
        <v>0</v>
      </c>
      <c r="AU281" s="492">
        <f t="shared" si="328"/>
        <v>5421</v>
      </c>
      <c r="AV281" s="492">
        <f t="shared" si="328"/>
        <v>321</v>
      </c>
      <c r="AW281" s="492">
        <f t="shared" si="321"/>
        <v>900</v>
      </c>
      <c r="AX281" s="493">
        <f t="shared" si="322"/>
        <v>0.06</v>
      </c>
      <c r="AY281" s="493">
        <f t="shared" si="329"/>
        <v>0</v>
      </c>
      <c r="AZ281" s="495">
        <f t="shared" si="329"/>
        <v>0.06</v>
      </c>
    </row>
    <row r="282" spans="1:52" s="238" customFormat="1" ht="12.75" customHeight="1" x14ac:dyDescent="0.2">
      <c r="A282" s="166">
        <v>50</v>
      </c>
      <c r="B282" s="20">
        <v>4491</v>
      </c>
      <c r="C282" s="20">
        <v>650050517</v>
      </c>
      <c r="D282" s="20">
        <v>72742437</v>
      </c>
      <c r="E282" s="175" t="s">
        <v>244</v>
      </c>
      <c r="F282" s="20"/>
      <c r="G282" s="165"/>
      <c r="H282" s="199"/>
      <c r="I282" s="553">
        <v>7133808</v>
      </c>
      <c r="J282" s="550">
        <v>5187101</v>
      </c>
      <c r="K282" s="550">
        <v>7800</v>
      </c>
      <c r="L282" s="550">
        <v>1755877</v>
      </c>
      <c r="M282" s="550">
        <v>103742</v>
      </c>
      <c r="N282" s="550">
        <v>79288</v>
      </c>
      <c r="O282" s="551">
        <v>10.795900000000001</v>
      </c>
      <c r="P282" s="551">
        <v>7.0079000000000002</v>
      </c>
      <c r="Q282" s="555">
        <v>3.7879999999999998</v>
      </c>
      <c r="R282" s="553">
        <f t="shared" ref="R282:AZ282" si="330">SUM(R276:R281)</f>
        <v>0</v>
      </c>
      <c r="S282" s="550">
        <f t="shared" si="330"/>
        <v>0</v>
      </c>
      <c r="T282" s="550">
        <f t="shared" si="330"/>
        <v>0</v>
      </c>
      <c r="U282" s="550">
        <f t="shared" si="330"/>
        <v>0</v>
      </c>
      <c r="V282" s="550">
        <f t="shared" si="330"/>
        <v>0</v>
      </c>
      <c r="W282" s="550">
        <f t="shared" si="330"/>
        <v>0</v>
      </c>
      <c r="X282" s="550">
        <f t="shared" si="330"/>
        <v>0</v>
      </c>
      <c r="Y282" s="550">
        <f t="shared" si="330"/>
        <v>0</v>
      </c>
      <c r="Z282" s="550">
        <f t="shared" si="330"/>
        <v>0</v>
      </c>
      <c r="AA282" s="550">
        <f t="shared" si="330"/>
        <v>0</v>
      </c>
      <c r="AB282" s="550">
        <f t="shared" si="330"/>
        <v>0</v>
      </c>
      <c r="AC282" s="550">
        <f t="shared" si="330"/>
        <v>0</v>
      </c>
      <c r="AD282" s="550">
        <f t="shared" si="330"/>
        <v>0</v>
      </c>
      <c r="AE282" s="550">
        <f t="shared" si="330"/>
        <v>0</v>
      </c>
      <c r="AF282" s="550">
        <f t="shared" si="330"/>
        <v>0</v>
      </c>
      <c r="AG282" s="550">
        <f t="shared" si="330"/>
        <v>0</v>
      </c>
      <c r="AH282" s="551">
        <f t="shared" si="330"/>
        <v>0</v>
      </c>
      <c r="AI282" s="551">
        <f t="shared" si="330"/>
        <v>0</v>
      </c>
      <c r="AJ282" s="551">
        <f t="shared" si="330"/>
        <v>0</v>
      </c>
      <c r="AK282" s="551">
        <f t="shared" si="330"/>
        <v>0</v>
      </c>
      <c r="AL282" s="551">
        <f t="shared" si="330"/>
        <v>0</v>
      </c>
      <c r="AM282" s="551">
        <f t="shared" si="330"/>
        <v>0</v>
      </c>
      <c r="AN282" s="551">
        <f t="shared" si="330"/>
        <v>0</v>
      </c>
      <c r="AO282" s="551">
        <f t="shared" si="330"/>
        <v>0</v>
      </c>
      <c r="AP282" s="551">
        <f t="shared" si="330"/>
        <v>0</v>
      </c>
      <c r="AQ282" s="44">
        <f t="shared" si="330"/>
        <v>0</v>
      </c>
      <c r="AR282" s="557">
        <f t="shared" si="330"/>
        <v>7133808</v>
      </c>
      <c r="AS282" s="550">
        <f t="shared" si="330"/>
        <v>5187101</v>
      </c>
      <c r="AT282" s="550">
        <f t="shared" si="330"/>
        <v>7800</v>
      </c>
      <c r="AU282" s="550">
        <f t="shared" si="330"/>
        <v>1755877</v>
      </c>
      <c r="AV282" s="550">
        <f t="shared" si="330"/>
        <v>103742</v>
      </c>
      <c r="AW282" s="550">
        <f t="shared" si="330"/>
        <v>79288</v>
      </c>
      <c r="AX282" s="551">
        <f t="shared" si="330"/>
        <v>10.795900000000001</v>
      </c>
      <c r="AY282" s="551">
        <f t="shared" si="330"/>
        <v>7.0079000000000002</v>
      </c>
      <c r="AZ282" s="44">
        <f t="shared" si="330"/>
        <v>3.7879999999999998</v>
      </c>
    </row>
    <row r="283" spans="1:52" s="238" customFormat="1" ht="12.75" customHeight="1" x14ac:dyDescent="0.2">
      <c r="A283" s="225">
        <v>51</v>
      </c>
      <c r="B283" s="226">
        <v>4465</v>
      </c>
      <c r="C283" s="226">
        <v>600074757</v>
      </c>
      <c r="D283" s="226">
        <v>46750428</v>
      </c>
      <c r="E283" s="224" t="s">
        <v>245</v>
      </c>
      <c r="F283" s="226">
        <v>3111</v>
      </c>
      <c r="G283" s="176" t="s">
        <v>312</v>
      </c>
      <c r="H283" s="227" t="s">
        <v>278</v>
      </c>
      <c r="I283" s="494">
        <v>7531525</v>
      </c>
      <c r="J283" s="489">
        <v>5495032</v>
      </c>
      <c r="K283" s="489">
        <v>15113</v>
      </c>
      <c r="L283" s="489">
        <v>1862429</v>
      </c>
      <c r="M283" s="489">
        <v>109901</v>
      </c>
      <c r="N283" s="489">
        <v>49050</v>
      </c>
      <c r="O283" s="490">
        <v>12.151300000000001</v>
      </c>
      <c r="P283" s="491">
        <v>9.5967000000000002</v>
      </c>
      <c r="Q283" s="500">
        <v>2.5546000000000002</v>
      </c>
      <c r="R283" s="502">
        <f t="shared" si="306"/>
        <v>0</v>
      </c>
      <c r="S283" s="492">
        <v>0</v>
      </c>
      <c r="T283" s="492">
        <v>0</v>
      </c>
      <c r="U283" s="492">
        <v>0</v>
      </c>
      <c r="V283" s="492">
        <f t="shared" si="307"/>
        <v>0</v>
      </c>
      <c r="W283" s="492">
        <v>0</v>
      </c>
      <c r="X283" s="492">
        <v>0</v>
      </c>
      <c r="Y283" s="492">
        <v>0</v>
      </c>
      <c r="Z283" s="492">
        <f t="shared" si="308"/>
        <v>0</v>
      </c>
      <c r="AA283" s="492">
        <f t="shared" si="309"/>
        <v>0</v>
      </c>
      <c r="AB283" s="74">
        <f t="shared" si="310"/>
        <v>0</v>
      </c>
      <c r="AC283" s="74">
        <f t="shared" si="311"/>
        <v>0</v>
      </c>
      <c r="AD283" s="492">
        <v>0</v>
      </c>
      <c r="AE283" s="492">
        <v>0</v>
      </c>
      <c r="AF283" s="492">
        <f t="shared" si="312"/>
        <v>0</v>
      </c>
      <c r="AG283" s="492">
        <f t="shared" si="313"/>
        <v>0</v>
      </c>
      <c r="AH283" s="493">
        <v>0</v>
      </c>
      <c r="AI283" s="493">
        <v>0</v>
      </c>
      <c r="AJ283" s="493">
        <v>0</v>
      </c>
      <c r="AK283" s="493">
        <v>0</v>
      </c>
      <c r="AL283" s="493">
        <v>0</v>
      </c>
      <c r="AM283" s="493">
        <v>0</v>
      </c>
      <c r="AN283" s="493">
        <v>0</v>
      </c>
      <c r="AO283" s="493">
        <f t="shared" ref="AO283:AO288" si="331">AH283+AJ283+AM283+AK283</f>
        <v>0</v>
      </c>
      <c r="AP283" s="493">
        <f t="shared" ref="AP283:AP288" si="332">AI283+AN283+AL283</f>
        <v>0</v>
      </c>
      <c r="AQ283" s="495">
        <f t="shared" si="316"/>
        <v>0</v>
      </c>
      <c r="AR283" s="501">
        <f t="shared" si="317"/>
        <v>7531525</v>
      </c>
      <c r="AS283" s="492">
        <f t="shared" si="318"/>
        <v>5495032</v>
      </c>
      <c r="AT283" s="492">
        <f t="shared" ref="AT283:AT288" si="333">K283+Z283</f>
        <v>15113</v>
      </c>
      <c r="AU283" s="492">
        <f t="shared" ref="AU283:AV288" si="334">L283+AB283</f>
        <v>1862429</v>
      </c>
      <c r="AV283" s="492">
        <f t="shared" si="334"/>
        <v>109901</v>
      </c>
      <c r="AW283" s="492">
        <f t="shared" si="321"/>
        <v>49050</v>
      </c>
      <c r="AX283" s="493">
        <f t="shared" si="322"/>
        <v>12.151300000000001</v>
      </c>
      <c r="AY283" s="493">
        <f t="shared" ref="AY283:AZ288" si="335">P283+AO283</f>
        <v>9.5967000000000002</v>
      </c>
      <c r="AZ283" s="495">
        <f t="shared" si="335"/>
        <v>2.5546000000000002</v>
      </c>
    </row>
    <row r="284" spans="1:52" s="238" customFormat="1" ht="12.75" customHeight="1" x14ac:dyDescent="0.2">
      <c r="A284" s="225">
        <v>51</v>
      </c>
      <c r="B284" s="226">
        <v>4465</v>
      </c>
      <c r="C284" s="226">
        <v>600074757</v>
      </c>
      <c r="D284" s="226">
        <v>46750428</v>
      </c>
      <c r="E284" s="224" t="s">
        <v>245</v>
      </c>
      <c r="F284" s="226">
        <v>3113</v>
      </c>
      <c r="G284" s="176" t="s">
        <v>315</v>
      </c>
      <c r="H284" s="227" t="s">
        <v>278</v>
      </c>
      <c r="I284" s="494">
        <v>24624091</v>
      </c>
      <c r="J284" s="489">
        <v>17672253</v>
      </c>
      <c r="K284" s="489">
        <v>82176</v>
      </c>
      <c r="L284" s="489">
        <v>6000997</v>
      </c>
      <c r="M284" s="489">
        <v>353445</v>
      </c>
      <c r="N284" s="489">
        <v>515220</v>
      </c>
      <c r="O284" s="490">
        <v>32.390900000000002</v>
      </c>
      <c r="P284" s="491">
        <v>24.2181</v>
      </c>
      <c r="Q284" s="500">
        <v>8.1728000000000005</v>
      </c>
      <c r="R284" s="502">
        <f t="shared" si="306"/>
        <v>0</v>
      </c>
      <c r="S284" s="492">
        <v>0</v>
      </c>
      <c r="T284" s="492">
        <v>0</v>
      </c>
      <c r="U284" s="492">
        <v>0</v>
      </c>
      <c r="V284" s="492">
        <f t="shared" si="307"/>
        <v>0</v>
      </c>
      <c r="W284" s="492">
        <v>0</v>
      </c>
      <c r="X284" s="492">
        <v>0</v>
      </c>
      <c r="Y284" s="492">
        <v>0</v>
      </c>
      <c r="Z284" s="492">
        <f t="shared" si="308"/>
        <v>0</v>
      </c>
      <c r="AA284" s="492">
        <f t="shared" si="309"/>
        <v>0</v>
      </c>
      <c r="AB284" s="74">
        <f t="shared" si="310"/>
        <v>0</v>
      </c>
      <c r="AC284" s="74">
        <f t="shared" si="311"/>
        <v>0</v>
      </c>
      <c r="AD284" s="492">
        <v>0</v>
      </c>
      <c r="AE284" s="492">
        <v>0</v>
      </c>
      <c r="AF284" s="492">
        <f t="shared" si="312"/>
        <v>0</v>
      </c>
      <c r="AG284" s="492">
        <f t="shared" si="313"/>
        <v>0</v>
      </c>
      <c r="AH284" s="493">
        <v>0</v>
      </c>
      <c r="AI284" s="493">
        <v>0</v>
      </c>
      <c r="AJ284" s="493">
        <v>0</v>
      </c>
      <c r="AK284" s="493">
        <v>0</v>
      </c>
      <c r="AL284" s="493">
        <v>0</v>
      </c>
      <c r="AM284" s="493">
        <v>0</v>
      </c>
      <c r="AN284" s="493">
        <v>0</v>
      </c>
      <c r="AO284" s="493">
        <f t="shared" si="331"/>
        <v>0</v>
      </c>
      <c r="AP284" s="493">
        <f t="shared" si="332"/>
        <v>0</v>
      </c>
      <c r="AQ284" s="495">
        <f t="shared" si="316"/>
        <v>0</v>
      </c>
      <c r="AR284" s="501">
        <f t="shared" si="317"/>
        <v>24624091</v>
      </c>
      <c r="AS284" s="492">
        <f t="shared" si="318"/>
        <v>17672253</v>
      </c>
      <c r="AT284" s="492">
        <f t="shared" si="333"/>
        <v>82176</v>
      </c>
      <c r="AU284" s="492">
        <f t="shared" si="334"/>
        <v>6000997</v>
      </c>
      <c r="AV284" s="492">
        <f t="shared" si="334"/>
        <v>353445</v>
      </c>
      <c r="AW284" s="492">
        <f t="shared" si="321"/>
        <v>515220</v>
      </c>
      <c r="AX284" s="493">
        <f t="shared" si="322"/>
        <v>32.390900000000002</v>
      </c>
      <c r="AY284" s="493">
        <f t="shared" si="335"/>
        <v>24.2181</v>
      </c>
      <c r="AZ284" s="495">
        <f t="shared" si="335"/>
        <v>8.1728000000000005</v>
      </c>
    </row>
    <row r="285" spans="1:52" s="238" customFormat="1" ht="12.75" customHeight="1" x14ac:dyDescent="0.2">
      <c r="A285" s="225">
        <v>51</v>
      </c>
      <c r="B285" s="226">
        <v>4465</v>
      </c>
      <c r="C285" s="226">
        <v>600074757</v>
      </c>
      <c r="D285" s="226">
        <v>46750428</v>
      </c>
      <c r="E285" s="224" t="s">
        <v>245</v>
      </c>
      <c r="F285" s="226">
        <v>3113</v>
      </c>
      <c r="G285" s="176" t="s">
        <v>313</v>
      </c>
      <c r="H285" s="227" t="s">
        <v>279</v>
      </c>
      <c r="I285" s="494">
        <v>2130196</v>
      </c>
      <c r="J285" s="489">
        <v>1568627</v>
      </c>
      <c r="K285" s="489">
        <v>0</v>
      </c>
      <c r="L285" s="489">
        <v>530196</v>
      </c>
      <c r="M285" s="489">
        <v>31373</v>
      </c>
      <c r="N285" s="489">
        <v>0</v>
      </c>
      <c r="O285" s="490">
        <v>4.53</v>
      </c>
      <c r="P285" s="491">
        <v>4.53</v>
      </c>
      <c r="Q285" s="500">
        <v>0</v>
      </c>
      <c r="R285" s="502">
        <f t="shared" si="306"/>
        <v>0</v>
      </c>
      <c r="S285" s="492">
        <v>0</v>
      </c>
      <c r="T285" s="492">
        <v>0</v>
      </c>
      <c r="U285" s="492">
        <v>0</v>
      </c>
      <c r="V285" s="492">
        <f t="shared" si="307"/>
        <v>0</v>
      </c>
      <c r="W285" s="492">
        <v>0</v>
      </c>
      <c r="X285" s="492">
        <v>0</v>
      </c>
      <c r="Y285" s="492">
        <v>0</v>
      </c>
      <c r="Z285" s="492">
        <f t="shared" si="308"/>
        <v>0</v>
      </c>
      <c r="AA285" s="492">
        <f t="shared" si="309"/>
        <v>0</v>
      </c>
      <c r="AB285" s="74">
        <f t="shared" si="310"/>
        <v>0</v>
      </c>
      <c r="AC285" s="74">
        <f t="shared" si="311"/>
        <v>0</v>
      </c>
      <c r="AD285" s="492">
        <v>0</v>
      </c>
      <c r="AE285" s="492">
        <v>0</v>
      </c>
      <c r="AF285" s="492">
        <f t="shared" si="312"/>
        <v>0</v>
      </c>
      <c r="AG285" s="492">
        <f t="shared" si="313"/>
        <v>0</v>
      </c>
      <c r="AH285" s="493">
        <v>0</v>
      </c>
      <c r="AI285" s="493">
        <v>0</v>
      </c>
      <c r="AJ285" s="493">
        <v>0</v>
      </c>
      <c r="AK285" s="493">
        <v>0</v>
      </c>
      <c r="AL285" s="493">
        <v>0</v>
      </c>
      <c r="AM285" s="493">
        <v>0</v>
      </c>
      <c r="AN285" s="493">
        <v>0</v>
      </c>
      <c r="AO285" s="493">
        <f t="shared" si="331"/>
        <v>0</v>
      </c>
      <c r="AP285" s="493">
        <f t="shared" si="332"/>
        <v>0</v>
      </c>
      <c r="AQ285" s="495">
        <f t="shared" si="316"/>
        <v>0</v>
      </c>
      <c r="AR285" s="501">
        <f t="shared" si="317"/>
        <v>2130196</v>
      </c>
      <c r="AS285" s="492">
        <f t="shared" si="318"/>
        <v>1568627</v>
      </c>
      <c r="AT285" s="492">
        <f t="shared" si="333"/>
        <v>0</v>
      </c>
      <c r="AU285" s="492">
        <f t="shared" si="334"/>
        <v>530196</v>
      </c>
      <c r="AV285" s="492">
        <f t="shared" si="334"/>
        <v>31373</v>
      </c>
      <c r="AW285" s="492">
        <f t="shared" si="321"/>
        <v>0</v>
      </c>
      <c r="AX285" s="493">
        <f t="shared" si="322"/>
        <v>4.53</v>
      </c>
      <c r="AY285" s="493">
        <f t="shared" si="335"/>
        <v>4.53</v>
      </c>
      <c r="AZ285" s="495">
        <f t="shared" si="335"/>
        <v>0</v>
      </c>
    </row>
    <row r="286" spans="1:52" s="238" customFormat="1" ht="12.75" customHeight="1" x14ac:dyDescent="0.2">
      <c r="A286" s="225">
        <v>51</v>
      </c>
      <c r="B286" s="226">
        <v>4465</v>
      </c>
      <c r="C286" s="226">
        <v>600074757</v>
      </c>
      <c r="D286" s="226">
        <v>46750428</v>
      </c>
      <c r="E286" s="224" t="s">
        <v>245</v>
      </c>
      <c r="F286" s="226">
        <v>3141</v>
      </c>
      <c r="G286" s="176" t="s">
        <v>316</v>
      </c>
      <c r="H286" s="227" t="s">
        <v>279</v>
      </c>
      <c r="I286" s="494">
        <v>3332557</v>
      </c>
      <c r="J286" s="489">
        <v>2425213</v>
      </c>
      <c r="K286" s="489">
        <v>12480</v>
      </c>
      <c r="L286" s="489">
        <v>823940</v>
      </c>
      <c r="M286" s="489">
        <v>48504</v>
      </c>
      <c r="N286" s="489">
        <v>22420</v>
      </c>
      <c r="O286" s="490">
        <v>7.67</v>
      </c>
      <c r="P286" s="491">
        <v>0</v>
      </c>
      <c r="Q286" s="500">
        <v>7.67</v>
      </c>
      <c r="R286" s="502">
        <f t="shared" si="306"/>
        <v>0</v>
      </c>
      <c r="S286" s="492">
        <v>0</v>
      </c>
      <c r="T286" s="492">
        <v>0</v>
      </c>
      <c r="U286" s="492">
        <v>0</v>
      </c>
      <c r="V286" s="492">
        <f t="shared" si="307"/>
        <v>0</v>
      </c>
      <c r="W286" s="492">
        <v>0</v>
      </c>
      <c r="X286" s="492">
        <v>0</v>
      </c>
      <c r="Y286" s="492">
        <v>0</v>
      </c>
      <c r="Z286" s="492">
        <f t="shared" si="308"/>
        <v>0</v>
      </c>
      <c r="AA286" s="492">
        <f t="shared" si="309"/>
        <v>0</v>
      </c>
      <c r="AB286" s="74">
        <f t="shared" si="310"/>
        <v>0</v>
      </c>
      <c r="AC286" s="74">
        <f t="shared" si="311"/>
        <v>0</v>
      </c>
      <c r="AD286" s="492">
        <v>0</v>
      </c>
      <c r="AE286" s="492">
        <v>0</v>
      </c>
      <c r="AF286" s="492">
        <f t="shared" si="312"/>
        <v>0</v>
      </c>
      <c r="AG286" s="492">
        <f t="shared" si="313"/>
        <v>0</v>
      </c>
      <c r="AH286" s="493">
        <v>0</v>
      </c>
      <c r="AI286" s="493">
        <v>0</v>
      </c>
      <c r="AJ286" s="493">
        <v>0</v>
      </c>
      <c r="AK286" s="493">
        <v>0</v>
      </c>
      <c r="AL286" s="493">
        <v>0</v>
      </c>
      <c r="AM286" s="493">
        <v>0</v>
      </c>
      <c r="AN286" s="493">
        <v>0</v>
      </c>
      <c r="AO286" s="493">
        <f t="shared" si="331"/>
        <v>0</v>
      </c>
      <c r="AP286" s="493">
        <f t="shared" si="332"/>
        <v>0</v>
      </c>
      <c r="AQ286" s="495">
        <f t="shared" si="316"/>
        <v>0</v>
      </c>
      <c r="AR286" s="501">
        <f t="shared" si="317"/>
        <v>3332557</v>
      </c>
      <c r="AS286" s="492">
        <f t="shared" si="318"/>
        <v>2425213</v>
      </c>
      <c r="AT286" s="492">
        <f t="shared" si="333"/>
        <v>12480</v>
      </c>
      <c r="AU286" s="492">
        <f t="shared" si="334"/>
        <v>823940</v>
      </c>
      <c r="AV286" s="492">
        <f t="shared" si="334"/>
        <v>48504</v>
      </c>
      <c r="AW286" s="492">
        <f t="shared" si="321"/>
        <v>22420</v>
      </c>
      <c r="AX286" s="493">
        <f t="shared" si="322"/>
        <v>7.67</v>
      </c>
      <c r="AY286" s="493">
        <f t="shared" si="335"/>
        <v>0</v>
      </c>
      <c r="AZ286" s="495">
        <f t="shared" si="335"/>
        <v>7.67</v>
      </c>
    </row>
    <row r="287" spans="1:52" s="238" customFormat="1" ht="12.75" customHeight="1" x14ac:dyDescent="0.2">
      <c r="A287" s="225">
        <v>51</v>
      </c>
      <c r="B287" s="226">
        <v>4465</v>
      </c>
      <c r="C287" s="226">
        <v>600074757</v>
      </c>
      <c r="D287" s="226">
        <v>46750428</v>
      </c>
      <c r="E287" s="224" t="s">
        <v>245</v>
      </c>
      <c r="F287" s="226">
        <v>3143</v>
      </c>
      <c r="G287" s="176" t="s">
        <v>629</v>
      </c>
      <c r="H287" s="243" t="s">
        <v>278</v>
      </c>
      <c r="I287" s="494">
        <v>1988089</v>
      </c>
      <c r="J287" s="489">
        <v>1440928</v>
      </c>
      <c r="K287" s="489">
        <v>23400</v>
      </c>
      <c r="L287" s="489">
        <v>494942</v>
      </c>
      <c r="M287" s="489">
        <v>28819</v>
      </c>
      <c r="N287" s="489">
        <v>0</v>
      </c>
      <c r="O287" s="490">
        <v>2.8597000000000001</v>
      </c>
      <c r="P287" s="491">
        <v>2.8597000000000001</v>
      </c>
      <c r="Q287" s="500">
        <v>0</v>
      </c>
      <c r="R287" s="502">
        <f t="shared" si="306"/>
        <v>0</v>
      </c>
      <c r="S287" s="492">
        <v>0</v>
      </c>
      <c r="T287" s="492">
        <v>0</v>
      </c>
      <c r="U287" s="492">
        <v>0</v>
      </c>
      <c r="V287" s="492">
        <f t="shared" si="307"/>
        <v>0</v>
      </c>
      <c r="W287" s="492">
        <v>0</v>
      </c>
      <c r="X287" s="492">
        <v>0</v>
      </c>
      <c r="Y287" s="492">
        <v>0</v>
      </c>
      <c r="Z287" s="492">
        <f t="shared" si="308"/>
        <v>0</v>
      </c>
      <c r="AA287" s="492">
        <f t="shared" si="309"/>
        <v>0</v>
      </c>
      <c r="AB287" s="74">
        <f t="shared" si="310"/>
        <v>0</v>
      </c>
      <c r="AC287" s="74">
        <f t="shared" si="311"/>
        <v>0</v>
      </c>
      <c r="AD287" s="492">
        <v>0</v>
      </c>
      <c r="AE287" s="492">
        <v>0</v>
      </c>
      <c r="AF287" s="492">
        <f t="shared" si="312"/>
        <v>0</v>
      </c>
      <c r="AG287" s="492">
        <f t="shared" si="313"/>
        <v>0</v>
      </c>
      <c r="AH287" s="493">
        <v>0</v>
      </c>
      <c r="AI287" s="493">
        <v>0</v>
      </c>
      <c r="AJ287" s="493">
        <v>0</v>
      </c>
      <c r="AK287" s="493">
        <v>0</v>
      </c>
      <c r="AL287" s="493">
        <v>0</v>
      </c>
      <c r="AM287" s="493">
        <v>0</v>
      </c>
      <c r="AN287" s="493">
        <v>0</v>
      </c>
      <c r="AO287" s="493">
        <f t="shared" si="331"/>
        <v>0</v>
      </c>
      <c r="AP287" s="493">
        <f t="shared" si="332"/>
        <v>0</v>
      </c>
      <c r="AQ287" s="495">
        <f t="shared" si="316"/>
        <v>0</v>
      </c>
      <c r="AR287" s="501">
        <f t="shared" si="317"/>
        <v>1988089</v>
      </c>
      <c r="AS287" s="492">
        <f t="shared" si="318"/>
        <v>1440928</v>
      </c>
      <c r="AT287" s="492">
        <f t="shared" si="333"/>
        <v>23400</v>
      </c>
      <c r="AU287" s="492">
        <f t="shared" si="334"/>
        <v>494942</v>
      </c>
      <c r="AV287" s="492">
        <f t="shared" si="334"/>
        <v>28819</v>
      </c>
      <c r="AW287" s="492">
        <f t="shared" si="321"/>
        <v>0</v>
      </c>
      <c r="AX287" s="493">
        <f t="shared" si="322"/>
        <v>2.8597000000000001</v>
      </c>
      <c r="AY287" s="493">
        <f t="shared" si="335"/>
        <v>2.8597000000000001</v>
      </c>
      <c r="AZ287" s="495">
        <f t="shared" si="335"/>
        <v>0</v>
      </c>
    </row>
    <row r="288" spans="1:52" s="238" customFormat="1" ht="12.75" customHeight="1" x14ac:dyDescent="0.2">
      <c r="A288" s="225">
        <v>51</v>
      </c>
      <c r="B288" s="226">
        <v>4465</v>
      </c>
      <c r="C288" s="226">
        <v>600074757</v>
      </c>
      <c r="D288" s="226">
        <v>46750428</v>
      </c>
      <c r="E288" s="224" t="s">
        <v>245</v>
      </c>
      <c r="F288" s="226">
        <v>3143</v>
      </c>
      <c r="G288" s="176" t="s">
        <v>630</v>
      </c>
      <c r="H288" s="243" t="s">
        <v>279</v>
      </c>
      <c r="I288" s="494">
        <v>68040</v>
      </c>
      <c r="J288" s="489">
        <v>48115</v>
      </c>
      <c r="K288" s="489">
        <v>0</v>
      </c>
      <c r="L288" s="489">
        <v>16263</v>
      </c>
      <c r="M288" s="489">
        <v>962</v>
      </c>
      <c r="N288" s="489">
        <v>2700</v>
      </c>
      <c r="O288" s="490">
        <v>0.19</v>
      </c>
      <c r="P288" s="491">
        <v>0</v>
      </c>
      <c r="Q288" s="500">
        <v>0.19</v>
      </c>
      <c r="R288" s="502">
        <f t="shared" si="306"/>
        <v>0</v>
      </c>
      <c r="S288" s="492">
        <v>0</v>
      </c>
      <c r="T288" s="492">
        <v>0</v>
      </c>
      <c r="U288" s="492">
        <v>0</v>
      </c>
      <c r="V288" s="492">
        <f t="shared" si="307"/>
        <v>0</v>
      </c>
      <c r="W288" s="492">
        <v>0</v>
      </c>
      <c r="X288" s="492">
        <v>0</v>
      </c>
      <c r="Y288" s="492">
        <v>0</v>
      </c>
      <c r="Z288" s="492">
        <f t="shared" si="308"/>
        <v>0</v>
      </c>
      <c r="AA288" s="492">
        <f t="shared" si="309"/>
        <v>0</v>
      </c>
      <c r="AB288" s="74">
        <f t="shared" si="310"/>
        <v>0</v>
      </c>
      <c r="AC288" s="74">
        <f t="shared" si="311"/>
        <v>0</v>
      </c>
      <c r="AD288" s="492">
        <v>0</v>
      </c>
      <c r="AE288" s="492">
        <v>0</v>
      </c>
      <c r="AF288" s="492">
        <f t="shared" si="312"/>
        <v>0</v>
      </c>
      <c r="AG288" s="492">
        <f t="shared" si="313"/>
        <v>0</v>
      </c>
      <c r="AH288" s="493">
        <v>0</v>
      </c>
      <c r="AI288" s="493">
        <v>0</v>
      </c>
      <c r="AJ288" s="493">
        <v>0</v>
      </c>
      <c r="AK288" s="493">
        <v>0</v>
      </c>
      <c r="AL288" s="493">
        <v>0</v>
      </c>
      <c r="AM288" s="493">
        <v>0</v>
      </c>
      <c r="AN288" s="493">
        <v>0</v>
      </c>
      <c r="AO288" s="493">
        <f t="shared" si="331"/>
        <v>0</v>
      </c>
      <c r="AP288" s="493">
        <f t="shared" si="332"/>
        <v>0</v>
      </c>
      <c r="AQ288" s="495">
        <f t="shared" si="316"/>
        <v>0</v>
      </c>
      <c r="AR288" s="501">
        <f t="shared" si="317"/>
        <v>68040</v>
      </c>
      <c r="AS288" s="492">
        <f t="shared" si="318"/>
        <v>48115</v>
      </c>
      <c r="AT288" s="492">
        <f t="shared" si="333"/>
        <v>0</v>
      </c>
      <c r="AU288" s="492">
        <f t="shared" si="334"/>
        <v>16263</v>
      </c>
      <c r="AV288" s="492">
        <f t="shared" si="334"/>
        <v>962</v>
      </c>
      <c r="AW288" s="492">
        <f t="shared" si="321"/>
        <v>2700</v>
      </c>
      <c r="AX288" s="493">
        <f t="shared" si="322"/>
        <v>0.19</v>
      </c>
      <c r="AY288" s="493">
        <f t="shared" si="335"/>
        <v>0</v>
      </c>
      <c r="AZ288" s="495">
        <f t="shared" si="335"/>
        <v>0.19</v>
      </c>
    </row>
    <row r="289" spans="1:52" s="238" customFormat="1" ht="12.75" customHeight="1" x14ac:dyDescent="0.2">
      <c r="A289" s="166">
        <v>51</v>
      </c>
      <c r="B289" s="20">
        <v>4465</v>
      </c>
      <c r="C289" s="20">
        <v>600074757</v>
      </c>
      <c r="D289" s="20">
        <v>46750428</v>
      </c>
      <c r="E289" s="175" t="s">
        <v>246</v>
      </c>
      <c r="F289" s="20"/>
      <c r="G289" s="165"/>
      <c r="H289" s="199"/>
      <c r="I289" s="553">
        <v>39674498</v>
      </c>
      <c r="J289" s="550">
        <v>28650168</v>
      </c>
      <c r="K289" s="550">
        <v>133169</v>
      </c>
      <c r="L289" s="550">
        <v>9728767</v>
      </c>
      <c r="M289" s="550">
        <v>573004</v>
      </c>
      <c r="N289" s="550">
        <v>589390</v>
      </c>
      <c r="O289" s="551">
        <v>59.791899999999998</v>
      </c>
      <c r="P289" s="551">
        <v>41.204499999999996</v>
      </c>
      <c r="Q289" s="555">
        <v>18.587400000000002</v>
      </c>
      <c r="R289" s="553">
        <f t="shared" ref="R289:AZ289" si="336">SUM(R283:R288)</f>
        <v>0</v>
      </c>
      <c r="S289" s="550">
        <f t="shared" si="336"/>
        <v>0</v>
      </c>
      <c r="T289" s="550">
        <f t="shared" si="336"/>
        <v>0</v>
      </c>
      <c r="U289" s="550">
        <f t="shared" si="336"/>
        <v>0</v>
      </c>
      <c r="V289" s="550">
        <f t="shared" si="336"/>
        <v>0</v>
      </c>
      <c r="W289" s="550">
        <f t="shared" si="336"/>
        <v>0</v>
      </c>
      <c r="X289" s="550">
        <f t="shared" si="336"/>
        <v>0</v>
      </c>
      <c r="Y289" s="550">
        <f t="shared" si="336"/>
        <v>0</v>
      </c>
      <c r="Z289" s="550">
        <f t="shared" si="336"/>
        <v>0</v>
      </c>
      <c r="AA289" s="550">
        <f t="shared" si="336"/>
        <v>0</v>
      </c>
      <c r="AB289" s="550">
        <f t="shared" si="336"/>
        <v>0</v>
      </c>
      <c r="AC289" s="550">
        <f t="shared" si="336"/>
        <v>0</v>
      </c>
      <c r="AD289" s="550">
        <f t="shared" si="336"/>
        <v>0</v>
      </c>
      <c r="AE289" s="550">
        <f t="shared" si="336"/>
        <v>0</v>
      </c>
      <c r="AF289" s="550">
        <f t="shared" si="336"/>
        <v>0</v>
      </c>
      <c r="AG289" s="550">
        <f t="shared" si="336"/>
        <v>0</v>
      </c>
      <c r="AH289" s="551">
        <f t="shared" si="336"/>
        <v>0</v>
      </c>
      <c r="AI289" s="551">
        <f t="shared" si="336"/>
        <v>0</v>
      </c>
      <c r="AJ289" s="551">
        <f t="shared" si="336"/>
        <v>0</v>
      </c>
      <c r="AK289" s="551">
        <f t="shared" si="336"/>
        <v>0</v>
      </c>
      <c r="AL289" s="551">
        <f t="shared" si="336"/>
        <v>0</v>
      </c>
      <c r="AM289" s="551">
        <f t="shared" si="336"/>
        <v>0</v>
      </c>
      <c r="AN289" s="551">
        <f t="shared" si="336"/>
        <v>0</v>
      </c>
      <c r="AO289" s="551">
        <f t="shared" si="336"/>
        <v>0</v>
      </c>
      <c r="AP289" s="551">
        <f t="shared" si="336"/>
        <v>0</v>
      </c>
      <c r="AQ289" s="44">
        <f t="shared" si="336"/>
        <v>0</v>
      </c>
      <c r="AR289" s="557">
        <f t="shared" si="336"/>
        <v>39674498</v>
      </c>
      <c r="AS289" s="550">
        <f t="shared" si="336"/>
        <v>28650168</v>
      </c>
      <c r="AT289" s="550">
        <f t="shared" si="336"/>
        <v>133169</v>
      </c>
      <c r="AU289" s="550">
        <f t="shared" si="336"/>
        <v>9728767</v>
      </c>
      <c r="AV289" s="550">
        <f t="shared" si="336"/>
        <v>573004</v>
      </c>
      <c r="AW289" s="550">
        <f t="shared" si="336"/>
        <v>589390</v>
      </c>
      <c r="AX289" s="551">
        <f t="shared" si="336"/>
        <v>59.791899999999998</v>
      </c>
      <c r="AY289" s="551">
        <f t="shared" si="336"/>
        <v>41.204499999999996</v>
      </c>
      <c r="AZ289" s="44">
        <f t="shared" si="336"/>
        <v>18.587400000000002</v>
      </c>
    </row>
    <row r="290" spans="1:52" s="238" customFormat="1" ht="12.75" customHeight="1" x14ac:dyDescent="0.2">
      <c r="A290" s="225">
        <v>52</v>
      </c>
      <c r="B290" s="226">
        <v>4466</v>
      </c>
      <c r="C290" s="226">
        <v>650039017</v>
      </c>
      <c r="D290" s="226">
        <v>70982074</v>
      </c>
      <c r="E290" s="224" t="s">
        <v>247</v>
      </c>
      <c r="F290" s="226">
        <v>3111</v>
      </c>
      <c r="G290" s="176" t="s">
        <v>312</v>
      </c>
      <c r="H290" s="227" t="s">
        <v>278</v>
      </c>
      <c r="I290" s="494">
        <v>5692316</v>
      </c>
      <c r="J290" s="489">
        <v>4165844</v>
      </c>
      <c r="K290" s="489">
        <v>0</v>
      </c>
      <c r="L290" s="489">
        <v>1408055</v>
      </c>
      <c r="M290" s="489">
        <v>83317</v>
      </c>
      <c r="N290" s="489">
        <v>35100</v>
      </c>
      <c r="O290" s="490">
        <v>9.7736999999999998</v>
      </c>
      <c r="P290" s="491">
        <v>7.93</v>
      </c>
      <c r="Q290" s="500">
        <v>1.8436999999999999</v>
      </c>
      <c r="R290" s="502">
        <f t="shared" si="306"/>
        <v>0</v>
      </c>
      <c r="S290" s="492">
        <v>0</v>
      </c>
      <c r="T290" s="492">
        <v>0</v>
      </c>
      <c r="U290" s="492">
        <v>0</v>
      </c>
      <c r="V290" s="492">
        <f t="shared" si="307"/>
        <v>0</v>
      </c>
      <c r="W290" s="492">
        <v>0</v>
      </c>
      <c r="X290" s="492">
        <v>0</v>
      </c>
      <c r="Y290" s="492">
        <v>0</v>
      </c>
      <c r="Z290" s="492">
        <f t="shared" si="308"/>
        <v>0</v>
      </c>
      <c r="AA290" s="492">
        <f t="shared" si="309"/>
        <v>0</v>
      </c>
      <c r="AB290" s="74">
        <f t="shared" si="310"/>
        <v>0</v>
      </c>
      <c r="AC290" s="74">
        <f t="shared" si="311"/>
        <v>0</v>
      </c>
      <c r="AD290" s="492">
        <v>0</v>
      </c>
      <c r="AE290" s="492">
        <v>0</v>
      </c>
      <c r="AF290" s="492">
        <f t="shared" si="312"/>
        <v>0</v>
      </c>
      <c r="AG290" s="492">
        <f t="shared" si="313"/>
        <v>0</v>
      </c>
      <c r="AH290" s="493">
        <v>0</v>
      </c>
      <c r="AI290" s="493">
        <v>0</v>
      </c>
      <c r="AJ290" s="493">
        <v>0</v>
      </c>
      <c r="AK290" s="493">
        <v>0</v>
      </c>
      <c r="AL290" s="493">
        <v>0</v>
      </c>
      <c r="AM290" s="493">
        <v>0</v>
      </c>
      <c r="AN290" s="493">
        <v>0</v>
      </c>
      <c r="AO290" s="493">
        <f t="shared" ref="AO290:AO295" si="337">AH290+AJ290+AM290+AK290</f>
        <v>0</v>
      </c>
      <c r="AP290" s="493">
        <f t="shared" ref="AP290:AP295" si="338">AI290+AN290+AL290</f>
        <v>0</v>
      </c>
      <c r="AQ290" s="495">
        <f t="shared" si="316"/>
        <v>0</v>
      </c>
      <c r="AR290" s="501">
        <f t="shared" si="317"/>
        <v>5692316</v>
      </c>
      <c r="AS290" s="492">
        <f t="shared" si="318"/>
        <v>4165844</v>
      </c>
      <c r="AT290" s="492">
        <f t="shared" ref="AT290:AT295" si="339">K290+Z290</f>
        <v>0</v>
      </c>
      <c r="AU290" s="492">
        <f t="shared" ref="AU290:AV295" si="340">L290+AB290</f>
        <v>1408055</v>
      </c>
      <c r="AV290" s="492">
        <f t="shared" si="340"/>
        <v>83317</v>
      </c>
      <c r="AW290" s="492">
        <f t="shared" si="321"/>
        <v>35100</v>
      </c>
      <c r="AX290" s="493">
        <f t="shared" si="322"/>
        <v>9.7736999999999998</v>
      </c>
      <c r="AY290" s="493">
        <f t="shared" ref="AY290:AZ295" si="341">P290+AO290</f>
        <v>7.93</v>
      </c>
      <c r="AZ290" s="495">
        <f t="shared" si="341"/>
        <v>1.8436999999999999</v>
      </c>
    </row>
    <row r="291" spans="1:52" s="238" customFormat="1" ht="12.75" customHeight="1" x14ac:dyDescent="0.2">
      <c r="A291" s="225">
        <v>52</v>
      </c>
      <c r="B291" s="226">
        <v>4466</v>
      </c>
      <c r="C291" s="226">
        <v>650039017</v>
      </c>
      <c r="D291" s="226">
        <v>70982074</v>
      </c>
      <c r="E291" s="219" t="s">
        <v>247</v>
      </c>
      <c r="F291" s="226">
        <v>3117</v>
      </c>
      <c r="G291" s="176" t="s">
        <v>315</v>
      </c>
      <c r="H291" s="227" t="s">
        <v>278</v>
      </c>
      <c r="I291" s="494">
        <v>7011220</v>
      </c>
      <c r="J291" s="489">
        <v>5041801</v>
      </c>
      <c r="K291" s="489">
        <v>13000</v>
      </c>
      <c r="L291" s="489">
        <v>1708523</v>
      </c>
      <c r="M291" s="489">
        <v>100836</v>
      </c>
      <c r="N291" s="489">
        <v>147060</v>
      </c>
      <c r="O291" s="490">
        <v>10.168999999999999</v>
      </c>
      <c r="P291" s="491">
        <v>6.5453999999999999</v>
      </c>
      <c r="Q291" s="500">
        <v>3.6236000000000002</v>
      </c>
      <c r="R291" s="502">
        <f t="shared" si="306"/>
        <v>0</v>
      </c>
      <c r="S291" s="492">
        <v>0</v>
      </c>
      <c r="T291" s="492">
        <v>0</v>
      </c>
      <c r="U291" s="492">
        <v>0</v>
      </c>
      <c r="V291" s="492">
        <f t="shared" si="307"/>
        <v>0</v>
      </c>
      <c r="W291" s="492">
        <v>0</v>
      </c>
      <c r="X291" s="492">
        <v>0</v>
      </c>
      <c r="Y291" s="492">
        <v>0</v>
      </c>
      <c r="Z291" s="492">
        <f t="shared" si="308"/>
        <v>0</v>
      </c>
      <c r="AA291" s="492">
        <f t="shared" si="309"/>
        <v>0</v>
      </c>
      <c r="AB291" s="74">
        <f t="shared" si="310"/>
        <v>0</v>
      </c>
      <c r="AC291" s="74">
        <f t="shared" si="311"/>
        <v>0</v>
      </c>
      <c r="AD291" s="492">
        <v>0</v>
      </c>
      <c r="AE291" s="492">
        <v>0</v>
      </c>
      <c r="AF291" s="492">
        <f t="shared" si="312"/>
        <v>0</v>
      </c>
      <c r="AG291" s="492">
        <f t="shared" si="313"/>
        <v>0</v>
      </c>
      <c r="AH291" s="493">
        <v>0</v>
      </c>
      <c r="AI291" s="493">
        <v>0</v>
      </c>
      <c r="AJ291" s="493">
        <v>0</v>
      </c>
      <c r="AK291" s="493">
        <v>0</v>
      </c>
      <c r="AL291" s="493">
        <v>0</v>
      </c>
      <c r="AM291" s="493">
        <v>0</v>
      </c>
      <c r="AN291" s="493">
        <v>0</v>
      </c>
      <c r="AO291" s="493">
        <f t="shared" si="337"/>
        <v>0</v>
      </c>
      <c r="AP291" s="493">
        <f t="shared" si="338"/>
        <v>0</v>
      </c>
      <c r="AQ291" s="495">
        <f t="shared" si="316"/>
        <v>0</v>
      </c>
      <c r="AR291" s="501">
        <f t="shared" si="317"/>
        <v>7011220</v>
      </c>
      <c r="AS291" s="492">
        <f t="shared" si="318"/>
        <v>5041801</v>
      </c>
      <c r="AT291" s="492">
        <f t="shared" si="339"/>
        <v>13000</v>
      </c>
      <c r="AU291" s="492">
        <f t="shared" si="340"/>
        <v>1708523</v>
      </c>
      <c r="AV291" s="492">
        <f t="shared" si="340"/>
        <v>100836</v>
      </c>
      <c r="AW291" s="492">
        <f t="shared" si="321"/>
        <v>147060</v>
      </c>
      <c r="AX291" s="493">
        <f t="shared" si="322"/>
        <v>10.168999999999999</v>
      </c>
      <c r="AY291" s="493">
        <f t="shared" si="341"/>
        <v>6.5453999999999999</v>
      </c>
      <c r="AZ291" s="495">
        <f t="shared" si="341"/>
        <v>3.6236000000000002</v>
      </c>
    </row>
    <row r="292" spans="1:52" s="238" customFormat="1" ht="12.75" customHeight="1" x14ac:dyDescent="0.2">
      <c r="A292" s="225">
        <v>52</v>
      </c>
      <c r="B292" s="226">
        <v>4466</v>
      </c>
      <c r="C292" s="226">
        <v>650039017</v>
      </c>
      <c r="D292" s="226">
        <v>70982074</v>
      </c>
      <c r="E292" s="219" t="s">
        <v>247</v>
      </c>
      <c r="F292" s="226">
        <v>3117</v>
      </c>
      <c r="G292" s="176" t="s">
        <v>313</v>
      </c>
      <c r="H292" s="227" t="s">
        <v>279</v>
      </c>
      <c r="I292" s="494">
        <v>1764264</v>
      </c>
      <c r="J292" s="489">
        <v>1299164</v>
      </c>
      <c r="K292" s="489">
        <v>0</v>
      </c>
      <c r="L292" s="489">
        <v>439117</v>
      </c>
      <c r="M292" s="489">
        <v>25983</v>
      </c>
      <c r="N292" s="489">
        <v>0</v>
      </c>
      <c r="O292" s="490">
        <v>3.75</v>
      </c>
      <c r="P292" s="491">
        <v>3.75</v>
      </c>
      <c r="Q292" s="500">
        <v>0</v>
      </c>
      <c r="R292" s="502">
        <f t="shared" si="306"/>
        <v>0</v>
      </c>
      <c r="S292" s="492">
        <v>0</v>
      </c>
      <c r="T292" s="492">
        <v>0</v>
      </c>
      <c r="U292" s="492">
        <v>0</v>
      </c>
      <c r="V292" s="492">
        <f t="shared" si="307"/>
        <v>0</v>
      </c>
      <c r="W292" s="492">
        <v>0</v>
      </c>
      <c r="X292" s="492">
        <v>0</v>
      </c>
      <c r="Y292" s="492">
        <v>0</v>
      </c>
      <c r="Z292" s="492">
        <f t="shared" si="308"/>
        <v>0</v>
      </c>
      <c r="AA292" s="492">
        <f t="shared" si="309"/>
        <v>0</v>
      </c>
      <c r="AB292" s="74">
        <f t="shared" si="310"/>
        <v>0</v>
      </c>
      <c r="AC292" s="74">
        <f t="shared" si="311"/>
        <v>0</v>
      </c>
      <c r="AD292" s="492">
        <v>0</v>
      </c>
      <c r="AE292" s="492">
        <v>0</v>
      </c>
      <c r="AF292" s="492">
        <f t="shared" si="312"/>
        <v>0</v>
      </c>
      <c r="AG292" s="492">
        <f t="shared" si="313"/>
        <v>0</v>
      </c>
      <c r="AH292" s="493">
        <v>0</v>
      </c>
      <c r="AI292" s="493">
        <v>0</v>
      </c>
      <c r="AJ292" s="493">
        <v>0</v>
      </c>
      <c r="AK292" s="493">
        <v>0</v>
      </c>
      <c r="AL292" s="493">
        <v>0</v>
      </c>
      <c r="AM292" s="493">
        <v>0</v>
      </c>
      <c r="AN292" s="493">
        <v>0</v>
      </c>
      <c r="AO292" s="493">
        <f t="shared" si="337"/>
        <v>0</v>
      </c>
      <c r="AP292" s="493">
        <f t="shared" si="338"/>
        <v>0</v>
      </c>
      <c r="AQ292" s="495">
        <f t="shared" si="316"/>
        <v>0</v>
      </c>
      <c r="AR292" s="501">
        <f t="shared" si="317"/>
        <v>1764264</v>
      </c>
      <c r="AS292" s="492">
        <f t="shared" si="318"/>
        <v>1299164</v>
      </c>
      <c r="AT292" s="492">
        <f t="shared" si="339"/>
        <v>0</v>
      </c>
      <c r="AU292" s="492">
        <f t="shared" si="340"/>
        <v>439117</v>
      </c>
      <c r="AV292" s="492">
        <f t="shared" si="340"/>
        <v>25983</v>
      </c>
      <c r="AW292" s="492">
        <f t="shared" si="321"/>
        <v>0</v>
      </c>
      <c r="AX292" s="493">
        <f t="shared" si="322"/>
        <v>3.75</v>
      </c>
      <c r="AY292" s="493">
        <f t="shared" si="341"/>
        <v>3.75</v>
      </c>
      <c r="AZ292" s="495">
        <f t="shared" si="341"/>
        <v>0</v>
      </c>
    </row>
    <row r="293" spans="1:52" s="238" customFormat="1" ht="12.75" customHeight="1" x14ac:dyDescent="0.2">
      <c r="A293" s="225">
        <v>52</v>
      </c>
      <c r="B293" s="226">
        <v>4466</v>
      </c>
      <c r="C293" s="226">
        <v>650039017</v>
      </c>
      <c r="D293" s="226">
        <v>70982074</v>
      </c>
      <c r="E293" s="224" t="s">
        <v>247</v>
      </c>
      <c r="F293" s="226">
        <v>3141</v>
      </c>
      <c r="G293" s="176" t="s">
        <v>316</v>
      </c>
      <c r="H293" s="227" t="s">
        <v>279</v>
      </c>
      <c r="I293" s="494">
        <v>1688372</v>
      </c>
      <c r="J293" s="489">
        <v>1223636</v>
      </c>
      <c r="K293" s="489">
        <v>13000</v>
      </c>
      <c r="L293" s="489">
        <v>417983</v>
      </c>
      <c r="M293" s="489">
        <v>24473</v>
      </c>
      <c r="N293" s="489">
        <v>9280</v>
      </c>
      <c r="O293" s="490">
        <v>3.89</v>
      </c>
      <c r="P293" s="491">
        <v>0</v>
      </c>
      <c r="Q293" s="500">
        <v>3.89</v>
      </c>
      <c r="R293" s="502">
        <f t="shared" si="306"/>
        <v>0</v>
      </c>
      <c r="S293" s="492">
        <v>0</v>
      </c>
      <c r="T293" s="492">
        <v>0</v>
      </c>
      <c r="U293" s="492">
        <v>0</v>
      </c>
      <c r="V293" s="492">
        <f t="shared" si="307"/>
        <v>0</v>
      </c>
      <c r="W293" s="492">
        <v>0</v>
      </c>
      <c r="X293" s="492">
        <v>0</v>
      </c>
      <c r="Y293" s="492">
        <v>0</v>
      </c>
      <c r="Z293" s="492">
        <f t="shared" si="308"/>
        <v>0</v>
      </c>
      <c r="AA293" s="492">
        <f t="shared" si="309"/>
        <v>0</v>
      </c>
      <c r="AB293" s="74">
        <f t="shared" si="310"/>
        <v>0</v>
      </c>
      <c r="AC293" s="74">
        <f t="shared" si="311"/>
        <v>0</v>
      </c>
      <c r="AD293" s="492">
        <v>0</v>
      </c>
      <c r="AE293" s="492">
        <v>0</v>
      </c>
      <c r="AF293" s="492">
        <f t="shared" si="312"/>
        <v>0</v>
      </c>
      <c r="AG293" s="492">
        <f t="shared" si="313"/>
        <v>0</v>
      </c>
      <c r="AH293" s="493">
        <v>0</v>
      </c>
      <c r="AI293" s="493">
        <v>0</v>
      </c>
      <c r="AJ293" s="493">
        <v>0</v>
      </c>
      <c r="AK293" s="493">
        <v>0</v>
      </c>
      <c r="AL293" s="493">
        <v>0</v>
      </c>
      <c r="AM293" s="493">
        <v>0</v>
      </c>
      <c r="AN293" s="493">
        <v>0</v>
      </c>
      <c r="AO293" s="493">
        <f t="shared" si="337"/>
        <v>0</v>
      </c>
      <c r="AP293" s="493">
        <f t="shared" si="338"/>
        <v>0</v>
      </c>
      <c r="AQ293" s="495">
        <f t="shared" si="316"/>
        <v>0</v>
      </c>
      <c r="AR293" s="501">
        <f t="shared" si="317"/>
        <v>1688372</v>
      </c>
      <c r="AS293" s="492">
        <f t="shared" si="318"/>
        <v>1223636</v>
      </c>
      <c r="AT293" s="492">
        <f t="shared" si="339"/>
        <v>13000</v>
      </c>
      <c r="AU293" s="492">
        <f t="shared" si="340"/>
        <v>417983</v>
      </c>
      <c r="AV293" s="492">
        <f t="shared" si="340"/>
        <v>24473</v>
      </c>
      <c r="AW293" s="492">
        <f t="shared" si="321"/>
        <v>9280</v>
      </c>
      <c r="AX293" s="493">
        <f t="shared" si="322"/>
        <v>3.89</v>
      </c>
      <c r="AY293" s="493">
        <f t="shared" si="341"/>
        <v>0</v>
      </c>
      <c r="AZ293" s="495">
        <f t="shared" si="341"/>
        <v>3.89</v>
      </c>
    </row>
    <row r="294" spans="1:52" s="238" customFormat="1" ht="12.75" customHeight="1" x14ac:dyDescent="0.2">
      <c r="A294" s="225">
        <v>52</v>
      </c>
      <c r="B294" s="226">
        <v>4466</v>
      </c>
      <c r="C294" s="226">
        <v>650039017</v>
      </c>
      <c r="D294" s="226">
        <v>70982074</v>
      </c>
      <c r="E294" s="224" t="s">
        <v>247</v>
      </c>
      <c r="F294" s="226">
        <v>3143</v>
      </c>
      <c r="G294" s="176" t="s">
        <v>629</v>
      </c>
      <c r="H294" s="243" t="s">
        <v>278</v>
      </c>
      <c r="I294" s="494">
        <v>900440</v>
      </c>
      <c r="J294" s="489">
        <v>656659</v>
      </c>
      <c r="K294" s="489">
        <v>6500</v>
      </c>
      <c r="L294" s="489">
        <v>224148</v>
      </c>
      <c r="M294" s="489">
        <v>13133</v>
      </c>
      <c r="N294" s="489">
        <v>0</v>
      </c>
      <c r="O294" s="490">
        <v>1.4</v>
      </c>
      <c r="P294" s="491">
        <v>1.4</v>
      </c>
      <c r="Q294" s="500">
        <v>0</v>
      </c>
      <c r="R294" s="502">
        <f t="shared" si="306"/>
        <v>0</v>
      </c>
      <c r="S294" s="492">
        <v>0</v>
      </c>
      <c r="T294" s="492">
        <v>0</v>
      </c>
      <c r="U294" s="492">
        <v>0</v>
      </c>
      <c r="V294" s="492">
        <f t="shared" si="307"/>
        <v>0</v>
      </c>
      <c r="W294" s="492">
        <v>0</v>
      </c>
      <c r="X294" s="492">
        <v>0</v>
      </c>
      <c r="Y294" s="492">
        <v>0</v>
      </c>
      <c r="Z294" s="492">
        <f t="shared" si="308"/>
        <v>0</v>
      </c>
      <c r="AA294" s="492">
        <f t="shared" si="309"/>
        <v>0</v>
      </c>
      <c r="AB294" s="74">
        <f t="shared" si="310"/>
        <v>0</v>
      </c>
      <c r="AC294" s="74">
        <f t="shared" si="311"/>
        <v>0</v>
      </c>
      <c r="AD294" s="492">
        <v>0</v>
      </c>
      <c r="AE294" s="492">
        <v>0</v>
      </c>
      <c r="AF294" s="492">
        <f t="shared" si="312"/>
        <v>0</v>
      </c>
      <c r="AG294" s="492">
        <f t="shared" si="313"/>
        <v>0</v>
      </c>
      <c r="AH294" s="493">
        <v>0</v>
      </c>
      <c r="AI294" s="493">
        <v>0</v>
      </c>
      <c r="AJ294" s="493">
        <v>0</v>
      </c>
      <c r="AK294" s="493">
        <v>0</v>
      </c>
      <c r="AL294" s="493">
        <v>0</v>
      </c>
      <c r="AM294" s="493">
        <v>0</v>
      </c>
      <c r="AN294" s="493">
        <v>0</v>
      </c>
      <c r="AO294" s="493">
        <f t="shared" si="337"/>
        <v>0</v>
      </c>
      <c r="AP294" s="493">
        <f t="shared" si="338"/>
        <v>0</v>
      </c>
      <c r="AQ294" s="495">
        <f t="shared" si="316"/>
        <v>0</v>
      </c>
      <c r="AR294" s="501">
        <f t="shared" si="317"/>
        <v>900440</v>
      </c>
      <c r="AS294" s="492">
        <f t="shared" si="318"/>
        <v>656659</v>
      </c>
      <c r="AT294" s="492">
        <f t="shared" si="339"/>
        <v>6500</v>
      </c>
      <c r="AU294" s="492">
        <f t="shared" si="340"/>
        <v>224148</v>
      </c>
      <c r="AV294" s="492">
        <f t="shared" si="340"/>
        <v>13133</v>
      </c>
      <c r="AW294" s="492">
        <f t="shared" si="321"/>
        <v>0</v>
      </c>
      <c r="AX294" s="493">
        <f t="shared" si="322"/>
        <v>1.4</v>
      </c>
      <c r="AY294" s="493">
        <f t="shared" si="341"/>
        <v>1.4</v>
      </c>
      <c r="AZ294" s="495">
        <f t="shared" si="341"/>
        <v>0</v>
      </c>
    </row>
    <row r="295" spans="1:52" s="238" customFormat="1" ht="12.75" customHeight="1" x14ac:dyDescent="0.2">
      <c r="A295" s="225">
        <v>52</v>
      </c>
      <c r="B295" s="226">
        <v>4466</v>
      </c>
      <c r="C295" s="226">
        <v>650039017</v>
      </c>
      <c r="D295" s="226">
        <v>70982074</v>
      </c>
      <c r="E295" s="224" t="s">
        <v>247</v>
      </c>
      <c r="F295" s="226">
        <v>3143</v>
      </c>
      <c r="G295" s="176" t="s">
        <v>630</v>
      </c>
      <c r="H295" s="243" t="s">
        <v>279</v>
      </c>
      <c r="I295" s="494">
        <v>37800</v>
      </c>
      <c r="J295" s="489">
        <v>26730</v>
      </c>
      <c r="K295" s="489">
        <v>0</v>
      </c>
      <c r="L295" s="489">
        <v>9035</v>
      </c>
      <c r="M295" s="489">
        <v>535</v>
      </c>
      <c r="N295" s="489">
        <v>1500</v>
      </c>
      <c r="O295" s="490">
        <v>0.1</v>
      </c>
      <c r="P295" s="491">
        <v>0</v>
      </c>
      <c r="Q295" s="500">
        <v>0.1</v>
      </c>
      <c r="R295" s="502">
        <f t="shared" si="306"/>
        <v>0</v>
      </c>
      <c r="S295" s="492">
        <v>0</v>
      </c>
      <c r="T295" s="492">
        <v>0</v>
      </c>
      <c r="U295" s="492">
        <v>0</v>
      </c>
      <c r="V295" s="492">
        <f t="shared" si="307"/>
        <v>0</v>
      </c>
      <c r="W295" s="492">
        <v>0</v>
      </c>
      <c r="X295" s="492">
        <v>0</v>
      </c>
      <c r="Y295" s="492">
        <v>0</v>
      </c>
      <c r="Z295" s="492">
        <f t="shared" si="308"/>
        <v>0</v>
      </c>
      <c r="AA295" s="492">
        <f t="shared" si="309"/>
        <v>0</v>
      </c>
      <c r="AB295" s="74">
        <f t="shared" si="310"/>
        <v>0</v>
      </c>
      <c r="AC295" s="74">
        <f t="shared" si="311"/>
        <v>0</v>
      </c>
      <c r="AD295" s="492">
        <v>0</v>
      </c>
      <c r="AE295" s="492">
        <v>0</v>
      </c>
      <c r="AF295" s="492">
        <f t="shared" si="312"/>
        <v>0</v>
      </c>
      <c r="AG295" s="492">
        <f t="shared" si="313"/>
        <v>0</v>
      </c>
      <c r="AH295" s="493">
        <v>0</v>
      </c>
      <c r="AI295" s="493">
        <v>0</v>
      </c>
      <c r="AJ295" s="493">
        <v>0</v>
      </c>
      <c r="AK295" s="493">
        <v>0</v>
      </c>
      <c r="AL295" s="493">
        <v>0</v>
      </c>
      <c r="AM295" s="493">
        <v>0</v>
      </c>
      <c r="AN295" s="493">
        <v>0</v>
      </c>
      <c r="AO295" s="493">
        <f t="shared" si="337"/>
        <v>0</v>
      </c>
      <c r="AP295" s="493">
        <f t="shared" si="338"/>
        <v>0</v>
      </c>
      <c r="AQ295" s="495">
        <f t="shared" si="316"/>
        <v>0</v>
      </c>
      <c r="AR295" s="501">
        <f t="shared" si="317"/>
        <v>37800</v>
      </c>
      <c r="AS295" s="492">
        <f t="shared" si="318"/>
        <v>26730</v>
      </c>
      <c r="AT295" s="492">
        <f t="shared" si="339"/>
        <v>0</v>
      </c>
      <c r="AU295" s="492">
        <f t="shared" si="340"/>
        <v>9035</v>
      </c>
      <c r="AV295" s="492">
        <f t="shared" si="340"/>
        <v>535</v>
      </c>
      <c r="AW295" s="492">
        <f t="shared" si="321"/>
        <v>1500</v>
      </c>
      <c r="AX295" s="493">
        <f t="shared" si="322"/>
        <v>0.1</v>
      </c>
      <c r="AY295" s="493">
        <f t="shared" si="341"/>
        <v>0</v>
      </c>
      <c r="AZ295" s="495">
        <f t="shared" si="341"/>
        <v>0.1</v>
      </c>
    </row>
    <row r="296" spans="1:52" s="238" customFormat="1" ht="12.75" customHeight="1" x14ac:dyDescent="0.2">
      <c r="A296" s="166">
        <v>52</v>
      </c>
      <c r="B296" s="20">
        <v>4466</v>
      </c>
      <c r="C296" s="20">
        <v>650039017</v>
      </c>
      <c r="D296" s="20">
        <v>70982074</v>
      </c>
      <c r="E296" s="175" t="s">
        <v>248</v>
      </c>
      <c r="F296" s="20"/>
      <c r="G296" s="165"/>
      <c r="H296" s="199"/>
      <c r="I296" s="553">
        <v>17094412</v>
      </c>
      <c r="J296" s="550">
        <v>12413834</v>
      </c>
      <c r="K296" s="550">
        <v>32500</v>
      </c>
      <c r="L296" s="550">
        <v>4206861</v>
      </c>
      <c r="M296" s="550">
        <v>248277</v>
      </c>
      <c r="N296" s="550">
        <v>192940</v>
      </c>
      <c r="O296" s="551">
        <v>29.082699999999999</v>
      </c>
      <c r="P296" s="551">
        <v>19.625399999999999</v>
      </c>
      <c r="Q296" s="555">
        <v>9.4573</v>
      </c>
      <c r="R296" s="553">
        <f t="shared" ref="R296:AZ296" si="342">SUM(R290:R295)</f>
        <v>0</v>
      </c>
      <c r="S296" s="550">
        <f t="shared" si="342"/>
        <v>0</v>
      </c>
      <c r="T296" s="550">
        <f t="shared" si="342"/>
        <v>0</v>
      </c>
      <c r="U296" s="550">
        <f t="shared" si="342"/>
        <v>0</v>
      </c>
      <c r="V296" s="550">
        <f t="shared" si="342"/>
        <v>0</v>
      </c>
      <c r="W296" s="550">
        <f t="shared" si="342"/>
        <v>0</v>
      </c>
      <c r="X296" s="550">
        <f t="shared" si="342"/>
        <v>0</v>
      </c>
      <c r="Y296" s="550">
        <f t="shared" si="342"/>
        <v>0</v>
      </c>
      <c r="Z296" s="550">
        <f t="shared" si="342"/>
        <v>0</v>
      </c>
      <c r="AA296" s="550">
        <f t="shared" si="342"/>
        <v>0</v>
      </c>
      <c r="AB296" s="550">
        <f t="shared" si="342"/>
        <v>0</v>
      </c>
      <c r="AC296" s="550">
        <f t="shared" si="342"/>
        <v>0</v>
      </c>
      <c r="AD296" s="550">
        <f t="shared" si="342"/>
        <v>0</v>
      </c>
      <c r="AE296" s="550">
        <f t="shared" si="342"/>
        <v>0</v>
      </c>
      <c r="AF296" s="550">
        <f t="shared" si="342"/>
        <v>0</v>
      </c>
      <c r="AG296" s="550">
        <f t="shared" si="342"/>
        <v>0</v>
      </c>
      <c r="AH296" s="551">
        <f t="shared" si="342"/>
        <v>0</v>
      </c>
      <c r="AI296" s="551">
        <f t="shared" si="342"/>
        <v>0</v>
      </c>
      <c r="AJ296" s="551">
        <f t="shared" si="342"/>
        <v>0</v>
      </c>
      <c r="AK296" s="551">
        <f t="shared" si="342"/>
        <v>0</v>
      </c>
      <c r="AL296" s="551">
        <f t="shared" si="342"/>
        <v>0</v>
      </c>
      <c r="AM296" s="551">
        <f t="shared" si="342"/>
        <v>0</v>
      </c>
      <c r="AN296" s="551">
        <f t="shared" si="342"/>
        <v>0</v>
      </c>
      <c r="AO296" s="551">
        <f t="shared" si="342"/>
        <v>0</v>
      </c>
      <c r="AP296" s="551">
        <f t="shared" si="342"/>
        <v>0</v>
      </c>
      <c r="AQ296" s="44">
        <f t="shared" si="342"/>
        <v>0</v>
      </c>
      <c r="AR296" s="557">
        <f t="shared" si="342"/>
        <v>17094412</v>
      </c>
      <c r="AS296" s="550">
        <f t="shared" si="342"/>
        <v>12413834</v>
      </c>
      <c r="AT296" s="550">
        <f t="shared" si="342"/>
        <v>32500</v>
      </c>
      <c r="AU296" s="550">
        <f t="shared" si="342"/>
        <v>4206861</v>
      </c>
      <c r="AV296" s="550">
        <f t="shared" si="342"/>
        <v>248277</v>
      </c>
      <c r="AW296" s="550">
        <f t="shared" si="342"/>
        <v>192940</v>
      </c>
      <c r="AX296" s="551">
        <f t="shared" si="342"/>
        <v>29.082699999999999</v>
      </c>
      <c r="AY296" s="551">
        <f t="shared" si="342"/>
        <v>19.625399999999999</v>
      </c>
      <c r="AZ296" s="44">
        <f t="shared" si="342"/>
        <v>9.4573</v>
      </c>
    </row>
    <row r="297" spans="1:52" s="238" customFormat="1" x14ac:dyDescent="0.2">
      <c r="A297" s="225">
        <v>53</v>
      </c>
      <c r="B297" s="226">
        <v>4470</v>
      </c>
      <c r="C297" s="226">
        <v>600075109</v>
      </c>
      <c r="D297" s="226">
        <v>70982112</v>
      </c>
      <c r="E297" s="224" t="s">
        <v>249</v>
      </c>
      <c r="F297" s="226">
        <v>3231</v>
      </c>
      <c r="G297" s="176" t="s">
        <v>317</v>
      </c>
      <c r="H297" s="227" t="s">
        <v>278</v>
      </c>
      <c r="I297" s="494">
        <v>8932048</v>
      </c>
      <c r="J297" s="489">
        <v>6517828</v>
      </c>
      <c r="K297" s="489">
        <v>39000</v>
      </c>
      <c r="L297" s="489">
        <v>2216208</v>
      </c>
      <c r="M297" s="489">
        <v>130357</v>
      </c>
      <c r="N297" s="489">
        <v>28655</v>
      </c>
      <c r="O297" s="490">
        <v>12.0984</v>
      </c>
      <c r="P297" s="491">
        <v>10.738799999999999</v>
      </c>
      <c r="Q297" s="500">
        <v>1.3595999999999999</v>
      </c>
      <c r="R297" s="502">
        <f t="shared" si="306"/>
        <v>0</v>
      </c>
      <c r="S297" s="492">
        <v>0</v>
      </c>
      <c r="T297" s="492">
        <v>0</v>
      </c>
      <c r="U297" s="492">
        <v>0</v>
      </c>
      <c r="V297" s="492">
        <f t="shared" si="307"/>
        <v>0</v>
      </c>
      <c r="W297" s="492">
        <v>0</v>
      </c>
      <c r="X297" s="492">
        <v>0</v>
      </c>
      <c r="Y297" s="492">
        <v>0</v>
      </c>
      <c r="Z297" s="492">
        <f t="shared" si="308"/>
        <v>0</v>
      </c>
      <c r="AA297" s="492">
        <f t="shared" si="309"/>
        <v>0</v>
      </c>
      <c r="AB297" s="74">
        <f t="shared" si="310"/>
        <v>0</v>
      </c>
      <c r="AC297" s="74">
        <f t="shared" si="311"/>
        <v>0</v>
      </c>
      <c r="AD297" s="492">
        <v>0</v>
      </c>
      <c r="AE297" s="492">
        <v>0</v>
      </c>
      <c r="AF297" s="492">
        <f t="shared" si="312"/>
        <v>0</v>
      </c>
      <c r="AG297" s="492">
        <f t="shared" si="313"/>
        <v>0</v>
      </c>
      <c r="AH297" s="493">
        <v>0</v>
      </c>
      <c r="AI297" s="493">
        <v>0</v>
      </c>
      <c r="AJ297" s="493">
        <v>0</v>
      </c>
      <c r="AK297" s="493">
        <v>0</v>
      </c>
      <c r="AL297" s="493">
        <v>0</v>
      </c>
      <c r="AM297" s="493">
        <v>0</v>
      </c>
      <c r="AN297" s="493">
        <v>0</v>
      </c>
      <c r="AO297" s="493">
        <f>AH297+AJ297+AM297+AK297</f>
        <v>0</v>
      </c>
      <c r="AP297" s="493">
        <f>AI297+AN297+AL297</f>
        <v>0</v>
      </c>
      <c r="AQ297" s="495">
        <f t="shared" si="316"/>
        <v>0</v>
      </c>
      <c r="AR297" s="501">
        <f t="shared" si="317"/>
        <v>8932048</v>
      </c>
      <c r="AS297" s="492">
        <f t="shared" si="318"/>
        <v>6517828</v>
      </c>
      <c r="AT297" s="492">
        <f>K297+Z297</f>
        <v>39000</v>
      </c>
      <c r="AU297" s="492">
        <f>L297+AB297</f>
        <v>2216208</v>
      </c>
      <c r="AV297" s="492">
        <f>M297+AC297</f>
        <v>130357</v>
      </c>
      <c r="AW297" s="492">
        <f t="shared" si="321"/>
        <v>28655</v>
      </c>
      <c r="AX297" s="493">
        <f t="shared" si="322"/>
        <v>12.0984</v>
      </c>
      <c r="AY297" s="493">
        <f>P297+AO297</f>
        <v>10.738799999999999</v>
      </c>
      <c r="AZ297" s="495">
        <f>Q297+AP297</f>
        <v>1.3595999999999999</v>
      </c>
    </row>
    <row r="298" spans="1:52" s="238" customFormat="1" ht="13.5" thickBot="1" x14ac:dyDescent="0.25">
      <c r="A298" s="170">
        <v>53</v>
      </c>
      <c r="B298" s="37">
        <v>4470</v>
      </c>
      <c r="C298" s="37">
        <v>600075109</v>
      </c>
      <c r="D298" s="37">
        <v>70982112</v>
      </c>
      <c r="E298" s="252" t="s">
        <v>250</v>
      </c>
      <c r="F298" s="37"/>
      <c r="G298" s="171"/>
      <c r="H298" s="253"/>
      <c r="I298" s="570">
        <v>8932048</v>
      </c>
      <c r="J298" s="571">
        <v>6517828</v>
      </c>
      <c r="K298" s="571">
        <v>39000</v>
      </c>
      <c r="L298" s="571">
        <v>2216208</v>
      </c>
      <c r="M298" s="571">
        <v>130357</v>
      </c>
      <c r="N298" s="571">
        <v>28655</v>
      </c>
      <c r="O298" s="572">
        <v>12.0984</v>
      </c>
      <c r="P298" s="572">
        <v>10.738799999999999</v>
      </c>
      <c r="Q298" s="573">
        <v>1.3595999999999999</v>
      </c>
      <c r="R298" s="570">
        <f t="shared" ref="R298:AZ298" si="343">SUM(R297)</f>
        <v>0</v>
      </c>
      <c r="S298" s="571">
        <f t="shared" si="343"/>
        <v>0</v>
      </c>
      <c r="T298" s="571">
        <f t="shared" si="343"/>
        <v>0</v>
      </c>
      <c r="U298" s="571">
        <f t="shared" si="343"/>
        <v>0</v>
      </c>
      <c r="V298" s="571">
        <f t="shared" si="343"/>
        <v>0</v>
      </c>
      <c r="W298" s="571">
        <f t="shared" si="343"/>
        <v>0</v>
      </c>
      <c r="X298" s="571">
        <f t="shared" si="343"/>
        <v>0</v>
      </c>
      <c r="Y298" s="571">
        <f t="shared" si="343"/>
        <v>0</v>
      </c>
      <c r="Z298" s="571">
        <f t="shared" si="343"/>
        <v>0</v>
      </c>
      <c r="AA298" s="571">
        <f t="shared" si="343"/>
        <v>0</v>
      </c>
      <c r="AB298" s="571">
        <f t="shared" si="343"/>
        <v>0</v>
      </c>
      <c r="AC298" s="571">
        <f t="shared" si="343"/>
        <v>0</v>
      </c>
      <c r="AD298" s="571">
        <f t="shared" si="343"/>
        <v>0</v>
      </c>
      <c r="AE298" s="571">
        <f t="shared" si="343"/>
        <v>0</v>
      </c>
      <c r="AF298" s="571">
        <f t="shared" si="343"/>
        <v>0</v>
      </c>
      <c r="AG298" s="571">
        <f t="shared" si="343"/>
        <v>0</v>
      </c>
      <c r="AH298" s="572">
        <f t="shared" si="343"/>
        <v>0</v>
      </c>
      <c r="AI298" s="572">
        <f t="shared" si="343"/>
        <v>0</v>
      </c>
      <c r="AJ298" s="572">
        <f t="shared" si="343"/>
        <v>0</v>
      </c>
      <c r="AK298" s="572">
        <f t="shared" si="343"/>
        <v>0</v>
      </c>
      <c r="AL298" s="572">
        <f t="shared" si="343"/>
        <v>0</v>
      </c>
      <c r="AM298" s="572">
        <f t="shared" si="343"/>
        <v>0</v>
      </c>
      <c r="AN298" s="572">
        <f t="shared" si="343"/>
        <v>0</v>
      </c>
      <c r="AO298" s="572">
        <f t="shared" si="343"/>
        <v>0</v>
      </c>
      <c r="AP298" s="572">
        <f t="shared" si="343"/>
        <v>0</v>
      </c>
      <c r="AQ298" s="574">
        <f t="shared" si="343"/>
        <v>0</v>
      </c>
      <c r="AR298" s="575">
        <f t="shared" si="343"/>
        <v>8932048</v>
      </c>
      <c r="AS298" s="571">
        <f t="shared" si="343"/>
        <v>6517828</v>
      </c>
      <c r="AT298" s="571">
        <f t="shared" si="343"/>
        <v>39000</v>
      </c>
      <c r="AU298" s="571">
        <f t="shared" si="343"/>
        <v>2216208</v>
      </c>
      <c r="AV298" s="571">
        <f t="shared" si="343"/>
        <v>130357</v>
      </c>
      <c r="AW298" s="571">
        <f t="shared" si="343"/>
        <v>28655</v>
      </c>
      <c r="AX298" s="572">
        <f t="shared" si="343"/>
        <v>12.0984</v>
      </c>
      <c r="AY298" s="572">
        <f t="shared" si="343"/>
        <v>10.738799999999999</v>
      </c>
      <c r="AZ298" s="574">
        <f t="shared" si="343"/>
        <v>1.3595999999999999</v>
      </c>
    </row>
    <row r="299" spans="1:52" s="238" customFormat="1" ht="13.5" thickBot="1" x14ac:dyDescent="0.25">
      <c r="A299" s="172"/>
      <c r="B299" s="34"/>
      <c r="C299" s="34"/>
      <c r="D299" s="34"/>
      <c r="E299" s="94" t="s">
        <v>795</v>
      </c>
      <c r="F299" s="34"/>
      <c r="G299" s="173"/>
      <c r="H299" s="200"/>
      <c r="I299" s="576">
        <f>I13+I17+I22+I27+I31+I34+I38+I42+I44+I51+I57+I64+I71+I77+I84+I90+I96+I106+I108+I112+I119+I123+I129+I136+I143+I145+I149+I156+I163+I170+I177+I183+I187+I194+I198+I204+I213+I220+I222+I226+I233+I240+I244+I251+I254+I261+I268+I275+I282+I289+I296+I298</f>
        <v>1024488123</v>
      </c>
      <c r="J299" s="577">
        <f>J13+J17+J22+J27+J31+J34+J38+J42+J44+J51+J57+J64+J71+J77+J84+J90+J96+J106+J108+J112+J119+J123+J129+J136+J143+J145+J149+J156+J163+J170+J177+J183+J187+J194+J198+J204+J213+J220+J222+J226+J233+J240+J244+J251+J254+J261+J268+J275+J282+J289+J296+J298</f>
        <v>742329117</v>
      </c>
      <c r="K299" s="577">
        <f>K13+K17+K22+K27+K31+K34+K38+K42+K44+K51+K57+K64+K71+K77+K84+K90+K96+K106+K108+K112+K119+K123+K129+K136+K143+K145+K149+K156+K163+K170+K177+K183+K187+K194+K198+K204+K213+K220+K222+K226+K233+K240+K244+K251+K254+K261+K268+K275+K282+K289+K296+K298</f>
        <v>2210734</v>
      </c>
      <c r="L299" s="577">
        <f t="shared" ref="L299:N299" si="344">L13+L17+L22+L27+L31+L34+L38+L42+L44+L51+L57+L64+L71+L77+L84+L90+L96+L106+L108+L112+L119+L123+L129+L136+L143+L145+L149+L156+L163+L170+L177+L183+L187+L194+L198+L204+L213+L220+L222+L226+L233+L240+L244+L251+L254+L261+L268+L275+L282+L289+L296+L298</f>
        <v>251654471</v>
      </c>
      <c r="M299" s="577">
        <f t="shared" si="344"/>
        <v>14846575</v>
      </c>
      <c r="N299" s="577">
        <f t="shared" si="344"/>
        <v>13447226</v>
      </c>
      <c r="O299" s="578">
        <f>O13+O17+O22+O27+O31+O34+O38+O42+O44+O51+O57+O64+O71+O77+O84+O90+O96+O106+O108+O112+O119+O123+O129+O136+O143+O145+O149+O156+O163+O170+O177+O183+O187+O194+O198+O204+O213+O220+O222+O226+O233+O240+O244+O251+O254+O261+O268+O275+O282+O289+O296+O298</f>
        <v>1552.8367999999994</v>
      </c>
      <c r="P299" s="578">
        <f t="shared" ref="P299:Q299" si="345">P13+P17+P22+P27+P31+P34+P38+P42+P44+P51+P57+P64+P71+P77+P84+P90+P96+P106+P108+P112+P119+P123+P129+P136+P143+P145+P149+P156+P163+P170+P177+P183+P187+P194+P198+P204+P213+P220+P222+P226+P233+P240+P244+P251+P254+P261+P268+P275+P282+P289+P296+P298</f>
        <v>1107.6128000000001</v>
      </c>
      <c r="Q299" s="578">
        <f t="shared" si="345"/>
        <v>445.22399999999993</v>
      </c>
      <c r="R299" s="576">
        <f>R13+R17+R22+R27+R31+R34+R38+R42+R44+R51+R57+R64+R71+R77+R84+R90+R96+R106+R108+R112+R119+R123+R129+R136+R143+R145+R149+R156+R163+R170+R177+R183+R187+R194+R198+R204+R213+R220+R222+R226+R233+R240+R244+R251+R254+R261+R268+R275+R282+R289+R296+R298</f>
        <v>0</v>
      </c>
      <c r="S299" s="577">
        <f>S13+S17+S22+S27+S31+S34+S38+S42+S44+S51+S57+S64+S71+S77+S84+S90+S96+S106+S108+S112+S119+S123+S129+S136+S143+S145+S149+S156+S163+S170+S177+S183+S187+S194+S198+S204+S213+S220+S222+S226+S233+S240+S244+S251+S254+S261+S268+S275+S282+S289+S296+S298</f>
        <v>-15829</v>
      </c>
      <c r="T299" s="577">
        <f t="shared" ref="T299:V299" si="346">T13+T17+T22+T27+T31+T34+T38+T42+T44+T51+T57+T64+T71+T77+T84+T90+T96+T106+T108+T112+T119+T123+T129+T136+T143+T145+T149+T156+T163+T170+T177+T183+T187+T194+T198+T204+T213+T220+T222+T226+T233+T240+T244+T251+T254+T261+T268+T275+T282+T289+T296+T298</f>
        <v>1138305</v>
      </c>
      <c r="U299" s="577">
        <f t="shared" si="346"/>
        <v>303654</v>
      </c>
      <c r="V299" s="577">
        <f t="shared" si="346"/>
        <v>1426130</v>
      </c>
      <c r="W299" s="577">
        <f>W13+W17+W22+W27+W31+W34+W38+W42+W44+W51+W57+W64+W71+W77+W84+W90+W96+W106+W108+W112+W119+W123+W129+W136+W143+W145+W149+W156+W163+W170+W177+W183+W187+W194+W198+W204+W213+W220+W222+W226+W233+W240+W244+W251+W254+W261+W268++W275+W282+W289+W296+W298</f>
        <v>0</v>
      </c>
      <c r="X299" s="577">
        <f>X13+X17+X22+X27+X31+X34+X38+X42+X44+X51+X57+X64+X71+X77+X84+X90+X96+X106+X108+X112+X119+X123+X129+X136+X143+X145+X149+X156+X163+X170+X177+X183+X187+X194+X198+X204+X213+X220+X222+X226+X233+X240+X244+X251+X254+X261+X268+X275+X282+X289+X296+X298</f>
        <v>0</v>
      </c>
      <c r="Y299" s="577">
        <f t="shared" ref="Y299:AG299" si="347">Y13+Y17+Y22+Y27+Y31+Y34+Y38+Y42+Y44+Y51+Y57+Y64+Y71+Y77+Y84+Y90+Y96+Y106+Y108+Y112+Y119+Y123+Y129+Y136+Y143+Y145+Y149+Y156+Y163+Y170+Y177+Y183+Y187+Y194+Y198+Y204+Y213+Y220+Y222+Y226+Y233+Y240+Y244+Y251+Y254+Y261+Y268+Y275+Y282+Y289+Y296+Y298</f>
        <v>0</v>
      </c>
      <c r="Z299" s="577">
        <f t="shared" si="347"/>
        <v>0</v>
      </c>
      <c r="AA299" s="577">
        <f t="shared" si="347"/>
        <v>1426130</v>
      </c>
      <c r="AB299" s="577">
        <f t="shared" si="347"/>
        <v>482033</v>
      </c>
      <c r="AC299" s="577">
        <f t="shared" si="347"/>
        <v>28523</v>
      </c>
      <c r="AD299" s="577">
        <f t="shared" si="347"/>
        <v>3000</v>
      </c>
      <c r="AE299" s="577">
        <f t="shared" si="347"/>
        <v>73702</v>
      </c>
      <c r="AF299" s="577">
        <f t="shared" si="347"/>
        <v>76702</v>
      </c>
      <c r="AG299" s="577">
        <f t="shared" si="347"/>
        <v>2013388</v>
      </c>
      <c r="AH299" s="578">
        <f>AH13+AH17+AH22+AH27+AH31+AH34+AH38+AH42+AH44+AH51+AH57+AH64+AH71+AH77+AH84+AH90+AH96+AH106+AH108+AH112+AH119+AH123+AH129+AH136+AH143+AH145+AH149+AH156+AH163+AH170+AH177+AH183+AH187+AH194+AH198+AH204+AH213+AH220+AH222+AH226+AH233+AH240+AH244+AH251+AH254+AH261+AH268+AH275+AH282+AH289+AH296+AH298</f>
        <v>0</v>
      </c>
      <c r="AI299" s="578">
        <f t="shared" ref="AI299:AQ299" si="348">AI13+AI17+AI22+AI27+AI31+AI34+AI38+AI42+AI44+AI51+AI57+AI64+AI71+AI77+AI84+AI90+AI96+AI106+AI108+AI112+AI119+AI123+AI129+AI136+AI143+AI145+AI149+AI156+AI163+AI170+AI177+AI183+AI187+AI194+AI198+AI204+AI213+AI220+AI222+AI226+AI233+AI240+AI244+AI251+AI254+AI261+AI268+AI275+AI282+AI289+AI296+AI298</f>
        <v>0</v>
      </c>
      <c r="AJ299" s="578">
        <f t="shared" si="348"/>
        <v>0.11999999999999994</v>
      </c>
      <c r="AK299" s="578">
        <f t="shared" si="348"/>
        <v>2.87</v>
      </c>
      <c r="AL299" s="578">
        <f t="shared" si="348"/>
        <v>0</v>
      </c>
      <c r="AM299" s="578">
        <f t="shared" si="348"/>
        <v>2.54</v>
      </c>
      <c r="AN299" s="578">
        <f t="shared" si="348"/>
        <v>0.11</v>
      </c>
      <c r="AO299" s="578">
        <f t="shared" si="348"/>
        <v>5.53</v>
      </c>
      <c r="AP299" s="578">
        <f t="shared" si="348"/>
        <v>0.11</v>
      </c>
      <c r="AQ299" s="578">
        <f t="shared" si="348"/>
        <v>5.6400000000000006</v>
      </c>
      <c r="AR299" s="579">
        <f>AR13+AR17+AR22+AR27+AR31+AR34+AR38+AR42+AR44+AR51+AR57+AR64+AR71+AR77+AR84+AR90+AR96+AR106+AR108+AR112+AR119+AR123+AR129+AR136+AR143+AR145+AR149+AR156+AR163+AR170+AR177+AR183+AR187+AR194+AR198+AR204+AR213+AR220+AR222+AR226+AR233+AR240+AR244+AR251+AR254+AR261+AR268+AR275+AR282+AR289+AR296+AR298</f>
        <v>1026501511</v>
      </c>
      <c r="AS299" s="579">
        <f t="shared" ref="AS299:AW299" si="349">AS13+AS17+AS22+AS27+AS31+AS34+AS38+AS42+AS44+AS51+AS57+AS64+AS71+AS77+AS84+AS90+AS96+AS106+AS108+AS112+AS119+AS123+AS129+AS136+AS143+AS145+AS149+AS156+AS163+AS170+AS177+AS183+AS187+AS194+AS198+AS204+AS213+AS220+AS222+AS226+AS233+AS240+AS244+AS251+AS254+AS261+AS268+AS275+AS282+AS289+AS296+AS298</f>
        <v>743755247</v>
      </c>
      <c r="AT299" s="579">
        <f t="shared" si="349"/>
        <v>2210734</v>
      </c>
      <c r="AU299" s="579">
        <f t="shared" si="349"/>
        <v>252136504</v>
      </c>
      <c r="AV299" s="579">
        <f t="shared" si="349"/>
        <v>14875098</v>
      </c>
      <c r="AW299" s="579">
        <f t="shared" si="349"/>
        <v>13523928</v>
      </c>
      <c r="AX299" s="578">
        <f>AX13+AX17+AX22+AX27+AX31+AX34+AX38+AX42+AX44+AX51+AX57+AX64+AX71+AX77+AX84+AX90+AX96+AX106+AX108+AX112+AX119+AX123+AX129+AX136+AX143+AX145+AX149+AX156+AX163+AX170+AX177+AX183+AX187+AX194+AX198+AX204+AX213+AX220+AX222+AX226+AX233+AX240+AX244+AX251+AX254+AX261+AX268+AX275+AX282+AX289+AX296+AX298</f>
        <v>1558.4767999999997</v>
      </c>
      <c r="AY299" s="578">
        <f t="shared" ref="AY299:AZ299" si="350">AY13+AY17+AY22+AY27+AY31+AY34+AY38+AY42+AY44+AY51+AY57+AY64+AY71+AY77+AY84+AY90+AY96+AY106+AY108+AY112+AY119+AY123+AY129+AY136+AY143+AY145+AY149+AY156+AY163+AY170+AY177+AY183+AY187+AY194+AY198+AY204+AY213+AY220+AY222+AY226+AY233+AY240+AY244+AY251+AY254+AY261+AY268+AY275+AY282+AY289+AY296+AY298</f>
        <v>1113.1428000000003</v>
      </c>
      <c r="AZ299" s="578">
        <f t="shared" si="350"/>
        <v>445.33399999999995</v>
      </c>
    </row>
    <row r="300" spans="1:52" s="238" customFormat="1" x14ac:dyDescent="0.2">
      <c r="D300" s="10"/>
      <c r="E300" s="6"/>
      <c r="F300" s="10"/>
      <c r="G300" s="24"/>
      <c r="H300" s="6"/>
      <c r="I300" s="507">
        <f>SUM(J299:N299)</f>
        <v>1024488123</v>
      </c>
      <c r="J300" s="507"/>
      <c r="K300" s="507"/>
      <c r="L300" s="507"/>
      <c r="M300" s="507"/>
      <c r="N300" s="507"/>
      <c r="O300" s="508">
        <f>SUM(P299:Q299)</f>
        <v>1552.8368</v>
      </c>
      <c r="P300" s="508"/>
      <c r="Q300" s="508"/>
      <c r="R300" s="507">
        <f>W299</f>
        <v>0</v>
      </c>
      <c r="S300" s="508"/>
      <c r="T300" s="508"/>
      <c r="U300" s="508"/>
      <c r="V300" s="516">
        <f>SUM(R299:U299)</f>
        <v>1426130</v>
      </c>
      <c r="W300" s="516">
        <f>R299</f>
        <v>0</v>
      </c>
      <c r="X300" s="517"/>
      <c r="Y300" s="517"/>
      <c r="Z300" s="516">
        <f>SUM(W299:Y299)</f>
        <v>0</v>
      </c>
      <c r="AA300" s="516">
        <f>V299+Z299</f>
        <v>1426130</v>
      </c>
      <c r="AB300" s="518"/>
      <c r="AC300" s="518"/>
      <c r="AD300" s="517"/>
      <c r="AE300" s="517"/>
      <c r="AF300" s="516">
        <f>SUM(AD299:AE299)</f>
        <v>76702</v>
      </c>
      <c r="AG300" s="516">
        <f>AA299+AB299+AC299+AF299</f>
        <v>2013388</v>
      </c>
      <c r="AH300" s="519"/>
      <c r="AI300" s="519"/>
      <c r="AJ300" s="519"/>
      <c r="AK300" s="519"/>
      <c r="AL300" s="519"/>
      <c r="AM300" s="519"/>
      <c r="AN300" s="519"/>
      <c r="AO300" s="520">
        <f>AH299+AJ299+AM299</f>
        <v>2.66</v>
      </c>
      <c r="AP300" s="520">
        <f>AI299+AN299</f>
        <v>0.11</v>
      </c>
      <c r="AQ300" s="520">
        <f>SUM(AO299:AP299)</f>
        <v>5.6400000000000006</v>
      </c>
      <c r="AR300" s="507">
        <f>SUM(AS299:AW299)</f>
        <v>1026501511</v>
      </c>
      <c r="AS300" s="59"/>
      <c r="AT300" s="59"/>
      <c r="AU300" s="59"/>
      <c r="AV300" s="59"/>
      <c r="AW300" s="59"/>
      <c r="AX300" s="508">
        <f>SUM(AY299:AZ299)</f>
        <v>1558.4768000000004</v>
      </c>
      <c r="AY300" s="97"/>
      <c r="AZ300" s="97"/>
    </row>
    <row r="301" spans="1:52" ht="13.5" thickBot="1" x14ac:dyDescent="0.25">
      <c r="D301" s="10"/>
      <c r="E301" s="6"/>
      <c r="F301" s="258"/>
      <c r="G301" s="24"/>
      <c r="H301" s="6"/>
      <c r="I301" s="95">
        <f>SUM(J302:N302)</f>
        <v>1024488123</v>
      </c>
      <c r="J301" s="57"/>
      <c r="K301" s="57"/>
      <c r="L301" s="515"/>
      <c r="M301" s="515"/>
      <c r="N301" s="57"/>
      <c r="O301" s="96">
        <f>SUM(P302:Q302)</f>
        <v>1552.8367999999998</v>
      </c>
      <c r="P301" s="187"/>
      <c r="Q301" s="187"/>
      <c r="R301" s="508"/>
      <c r="S301" s="508"/>
      <c r="T301" s="508"/>
      <c r="U301" s="508"/>
      <c r="V301" s="516">
        <f>SUM(R302:U302)</f>
        <v>1426130</v>
      </c>
      <c r="W301" s="517"/>
      <c r="X301" s="517"/>
      <c r="Y301" s="517"/>
      <c r="Z301" s="516">
        <f>SUM(W302:Y302)</f>
        <v>0</v>
      </c>
      <c r="AA301" s="516">
        <f>V302+Z302</f>
        <v>1426130</v>
      </c>
      <c r="AB301" s="518"/>
      <c r="AC301" s="518"/>
      <c r="AD301" s="517"/>
      <c r="AE301" s="517"/>
      <c r="AF301" s="516">
        <f>SUM(AD302:AE302)</f>
        <v>76702</v>
      </c>
      <c r="AG301" s="516">
        <f>AA302+AB302+AC302+AF302</f>
        <v>2013388</v>
      </c>
      <c r="AH301" s="519"/>
      <c r="AI301" s="519"/>
      <c r="AJ301" s="519"/>
      <c r="AK301" s="519"/>
      <c r="AL301" s="519"/>
      <c r="AM301" s="519"/>
      <c r="AN301" s="519"/>
      <c r="AO301" s="520">
        <f>AH302+AJ302+AM302</f>
        <v>2.66</v>
      </c>
      <c r="AP301" s="520">
        <f>AI302+AN302</f>
        <v>0.11</v>
      </c>
      <c r="AQ301" s="520">
        <f>SUM(AO302:AP302)</f>
        <v>5.6400000000000006</v>
      </c>
      <c r="AR301" s="507">
        <f>SUM(AS302:AW302)</f>
        <v>1026501511</v>
      </c>
      <c r="AS301" s="59"/>
      <c r="AT301" s="59"/>
      <c r="AU301" s="59"/>
      <c r="AV301" s="59"/>
      <c r="AW301" s="59"/>
      <c r="AX301" s="508">
        <f>SUM(AY302:AZ302)</f>
        <v>1558.4767999999997</v>
      </c>
      <c r="AY301" s="97"/>
      <c r="AZ301" s="97"/>
    </row>
    <row r="302" spans="1:52" ht="13.5" thickBot="1" x14ac:dyDescent="0.25">
      <c r="D302" s="10"/>
      <c r="E302" s="6"/>
      <c r="F302" s="10"/>
      <c r="G302" s="24"/>
      <c r="H302" s="539" t="s">
        <v>0</v>
      </c>
      <c r="I302" s="150">
        <f t="shared" ref="I302:AZ302" si="351">SUM(I303:I312)</f>
        <v>1024488123</v>
      </c>
      <c r="J302" s="38">
        <f t="shared" si="351"/>
        <v>742329117</v>
      </c>
      <c r="K302" s="38">
        <f t="shared" si="351"/>
        <v>2210734</v>
      </c>
      <c r="L302" s="38">
        <f t="shared" si="351"/>
        <v>251654471</v>
      </c>
      <c r="M302" s="38">
        <f t="shared" si="351"/>
        <v>14846575</v>
      </c>
      <c r="N302" s="38">
        <f t="shared" si="351"/>
        <v>13447226</v>
      </c>
      <c r="O302" s="39">
        <f t="shared" si="351"/>
        <v>1552.8368</v>
      </c>
      <c r="P302" s="39">
        <f t="shared" si="351"/>
        <v>1107.6127999999999</v>
      </c>
      <c r="Q302" s="159">
        <f t="shared" si="351"/>
        <v>445.22399999999988</v>
      </c>
      <c r="R302" s="150">
        <f t="shared" si="351"/>
        <v>0</v>
      </c>
      <c r="S302" s="38">
        <f t="shared" si="351"/>
        <v>-15829</v>
      </c>
      <c r="T302" s="38">
        <f t="shared" si="351"/>
        <v>1138305</v>
      </c>
      <c r="U302" s="38">
        <f t="shared" si="351"/>
        <v>303654</v>
      </c>
      <c r="V302" s="38">
        <f t="shared" si="351"/>
        <v>1426130</v>
      </c>
      <c r="W302" s="38">
        <f t="shared" si="351"/>
        <v>0</v>
      </c>
      <c r="X302" s="38">
        <f t="shared" si="351"/>
        <v>0</v>
      </c>
      <c r="Y302" s="38">
        <f t="shared" si="351"/>
        <v>0</v>
      </c>
      <c r="Z302" s="38">
        <f t="shared" si="351"/>
        <v>0</v>
      </c>
      <c r="AA302" s="38">
        <f t="shared" si="351"/>
        <v>1426130</v>
      </c>
      <c r="AB302" s="38">
        <f t="shared" si="351"/>
        <v>482033</v>
      </c>
      <c r="AC302" s="38">
        <f t="shared" si="351"/>
        <v>28523</v>
      </c>
      <c r="AD302" s="38">
        <f t="shared" si="351"/>
        <v>3000</v>
      </c>
      <c r="AE302" s="38">
        <f t="shared" si="351"/>
        <v>73702</v>
      </c>
      <c r="AF302" s="38">
        <f t="shared" si="351"/>
        <v>76702</v>
      </c>
      <c r="AG302" s="38">
        <f t="shared" si="351"/>
        <v>2013388</v>
      </c>
      <c r="AH302" s="39">
        <f t="shared" si="351"/>
        <v>0</v>
      </c>
      <c r="AI302" s="39">
        <f t="shared" si="351"/>
        <v>0</v>
      </c>
      <c r="AJ302" s="39">
        <f t="shared" si="351"/>
        <v>0.11999999999999994</v>
      </c>
      <c r="AK302" s="39">
        <f t="shared" si="351"/>
        <v>2.87</v>
      </c>
      <c r="AL302" s="39">
        <f t="shared" si="351"/>
        <v>0</v>
      </c>
      <c r="AM302" s="39">
        <f t="shared" si="351"/>
        <v>2.54</v>
      </c>
      <c r="AN302" s="39">
        <f t="shared" si="351"/>
        <v>0.11</v>
      </c>
      <c r="AO302" s="39">
        <f t="shared" si="351"/>
        <v>5.53</v>
      </c>
      <c r="AP302" s="39">
        <f t="shared" si="351"/>
        <v>0.11</v>
      </c>
      <c r="AQ302" s="40">
        <f t="shared" si="351"/>
        <v>5.64</v>
      </c>
      <c r="AR302" s="160">
        <f t="shared" si="351"/>
        <v>1026501511</v>
      </c>
      <c r="AS302" s="38">
        <f t="shared" si="351"/>
        <v>743755247</v>
      </c>
      <c r="AT302" s="38">
        <f t="shared" si="351"/>
        <v>2210734</v>
      </c>
      <c r="AU302" s="38">
        <f t="shared" si="351"/>
        <v>252136504</v>
      </c>
      <c r="AV302" s="38">
        <f t="shared" si="351"/>
        <v>14875098</v>
      </c>
      <c r="AW302" s="38">
        <f t="shared" si="351"/>
        <v>13523928</v>
      </c>
      <c r="AX302" s="39">
        <f t="shared" si="351"/>
        <v>1558.4768000000001</v>
      </c>
      <c r="AY302" s="39">
        <f t="shared" si="351"/>
        <v>1113.1427999999999</v>
      </c>
      <c r="AZ302" s="40">
        <f t="shared" si="351"/>
        <v>445.33399999999989</v>
      </c>
    </row>
    <row r="303" spans="1:52" x14ac:dyDescent="0.2">
      <c r="D303" s="10"/>
      <c r="E303" s="6"/>
      <c r="F303" s="10"/>
      <c r="G303" s="24"/>
      <c r="H303" s="540">
        <v>3111</v>
      </c>
      <c r="I303" s="642">
        <f t="shared" ref="I303:AZ303" si="352">SUMIF($F$12:$F$457,"=3111",I$12:I$457)</f>
        <v>201671698</v>
      </c>
      <c r="J303" s="643">
        <f t="shared" si="352"/>
        <v>147293942</v>
      </c>
      <c r="K303" s="643">
        <f t="shared" si="352"/>
        <v>373263</v>
      </c>
      <c r="L303" s="643">
        <f t="shared" si="352"/>
        <v>49911515</v>
      </c>
      <c r="M303" s="643">
        <f t="shared" si="352"/>
        <v>2945878</v>
      </c>
      <c r="N303" s="643">
        <f t="shared" si="352"/>
        <v>1147100</v>
      </c>
      <c r="O303" s="648">
        <f t="shared" si="352"/>
        <v>331.74370000000005</v>
      </c>
      <c r="P303" s="648">
        <f t="shared" si="352"/>
        <v>256.11020000000002</v>
      </c>
      <c r="Q303" s="649">
        <f t="shared" si="352"/>
        <v>75.633499999999984</v>
      </c>
      <c r="R303" s="642">
        <f t="shared" si="352"/>
        <v>0</v>
      </c>
      <c r="S303" s="643">
        <f t="shared" si="352"/>
        <v>114086</v>
      </c>
      <c r="T303" s="643">
        <f t="shared" si="352"/>
        <v>379200</v>
      </c>
      <c r="U303" s="643">
        <f t="shared" si="352"/>
        <v>0</v>
      </c>
      <c r="V303" s="643">
        <f t="shared" si="352"/>
        <v>493286</v>
      </c>
      <c r="W303" s="643">
        <f t="shared" si="352"/>
        <v>0</v>
      </c>
      <c r="X303" s="643">
        <f t="shared" si="352"/>
        <v>0</v>
      </c>
      <c r="Y303" s="643">
        <f t="shared" si="352"/>
        <v>0</v>
      </c>
      <c r="Z303" s="643">
        <f t="shared" si="352"/>
        <v>0</v>
      </c>
      <c r="AA303" s="643">
        <f t="shared" si="352"/>
        <v>493286</v>
      </c>
      <c r="AB303" s="643">
        <f t="shared" si="352"/>
        <v>166731</v>
      </c>
      <c r="AC303" s="643">
        <f t="shared" si="352"/>
        <v>9866</v>
      </c>
      <c r="AD303" s="643">
        <f t="shared" si="352"/>
        <v>0</v>
      </c>
      <c r="AE303" s="643">
        <f t="shared" si="352"/>
        <v>0</v>
      </c>
      <c r="AF303" s="643">
        <f t="shared" si="352"/>
        <v>0</v>
      </c>
      <c r="AG303" s="643">
        <f t="shared" si="352"/>
        <v>669883</v>
      </c>
      <c r="AH303" s="648">
        <f t="shared" si="352"/>
        <v>0</v>
      </c>
      <c r="AI303" s="648">
        <f t="shared" si="352"/>
        <v>0</v>
      </c>
      <c r="AJ303" s="648">
        <f t="shared" si="352"/>
        <v>0.48</v>
      </c>
      <c r="AK303" s="648">
        <f t="shared" si="352"/>
        <v>1</v>
      </c>
      <c r="AL303" s="648">
        <f t="shared" si="352"/>
        <v>0</v>
      </c>
      <c r="AM303" s="648">
        <f t="shared" si="352"/>
        <v>2</v>
      </c>
      <c r="AN303" s="648">
        <f t="shared" si="352"/>
        <v>0</v>
      </c>
      <c r="AO303" s="648">
        <f t="shared" si="352"/>
        <v>3.48</v>
      </c>
      <c r="AP303" s="648">
        <f t="shared" si="352"/>
        <v>0</v>
      </c>
      <c r="AQ303" s="651">
        <f t="shared" si="352"/>
        <v>3.48</v>
      </c>
      <c r="AR303" s="644">
        <f t="shared" si="352"/>
        <v>202341581</v>
      </c>
      <c r="AS303" s="643">
        <f t="shared" si="352"/>
        <v>147787228</v>
      </c>
      <c r="AT303" s="643">
        <f t="shared" si="352"/>
        <v>373263</v>
      </c>
      <c r="AU303" s="643">
        <f t="shared" si="352"/>
        <v>50078246</v>
      </c>
      <c r="AV303" s="643">
        <f t="shared" si="352"/>
        <v>2955744</v>
      </c>
      <c r="AW303" s="643">
        <f t="shared" si="352"/>
        <v>1147100</v>
      </c>
      <c r="AX303" s="648">
        <f t="shared" si="352"/>
        <v>335.22370000000001</v>
      </c>
      <c r="AY303" s="648">
        <f t="shared" si="352"/>
        <v>259.59019999999998</v>
      </c>
      <c r="AZ303" s="651">
        <f t="shared" si="352"/>
        <v>75.633499999999984</v>
      </c>
    </row>
    <row r="304" spans="1:52" x14ac:dyDescent="0.2">
      <c r="D304" s="10"/>
      <c r="E304" s="6"/>
      <c r="F304" s="10"/>
      <c r="G304" s="24"/>
      <c r="H304" s="2">
        <v>3113</v>
      </c>
      <c r="I304" s="178">
        <f t="shared" ref="I304:AZ304" si="353">SUMIF($F$12:$F$457,"=3113",I$12:I$457)</f>
        <v>527843628</v>
      </c>
      <c r="J304" s="17">
        <f t="shared" si="353"/>
        <v>380037854</v>
      </c>
      <c r="K304" s="17">
        <f t="shared" si="353"/>
        <v>1078626</v>
      </c>
      <c r="L304" s="17">
        <f t="shared" si="353"/>
        <v>128817373</v>
      </c>
      <c r="M304" s="17">
        <f t="shared" si="353"/>
        <v>7600755</v>
      </c>
      <c r="N304" s="17">
        <f t="shared" si="353"/>
        <v>10309020</v>
      </c>
      <c r="O304" s="14">
        <f t="shared" si="353"/>
        <v>721.58780000000002</v>
      </c>
      <c r="P304" s="14">
        <f t="shared" si="353"/>
        <v>576.89829999999984</v>
      </c>
      <c r="Q304" s="180">
        <f t="shared" si="353"/>
        <v>144.68949999999998</v>
      </c>
      <c r="R304" s="178">
        <f t="shared" si="353"/>
        <v>0</v>
      </c>
      <c r="S304" s="17">
        <f t="shared" si="353"/>
        <v>-129915</v>
      </c>
      <c r="T304" s="17">
        <f t="shared" si="353"/>
        <v>305129</v>
      </c>
      <c r="U304" s="17">
        <f t="shared" si="353"/>
        <v>78408</v>
      </c>
      <c r="V304" s="17">
        <f t="shared" si="353"/>
        <v>253622</v>
      </c>
      <c r="W304" s="17">
        <f t="shared" si="353"/>
        <v>0</v>
      </c>
      <c r="X304" s="17">
        <f t="shared" si="353"/>
        <v>0</v>
      </c>
      <c r="Y304" s="17">
        <f t="shared" si="353"/>
        <v>0</v>
      </c>
      <c r="Z304" s="17">
        <f t="shared" si="353"/>
        <v>0</v>
      </c>
      <c r="AA304" s="17">
        <f t="shared" si="353"/>
        <v>253622</v>
      </c>
      <c r="AB304" s="17">
        <f t="shared" si="353"/>
        <v>85725</v>
      </c>
      <c r="AC304" s="17">
        <f t="shared" si="353"/>
        <v>5072</v>
      </c>
      <c r="AD304" s="17">
        <f t="shared" si="353"/>
        <v>3000</v>
      </c>
      <c r="AE304" s="17">
        <f t="shared" si="353"/>
        <v>0</v>
      </c>
      <c r="AF304" s="17">
        <f t="shared" si="353"/>
        <v>3000</v>
      </c>
      <c r="AG304" s="17">
        <f t="shared" si="353"/>
        <v>347419</v>
      </c>
      <c r="AH304" s="14">
        <f t="shared" si="353"/>
        <v>0</v>
      </c>
      <c r="AI304" s="14">
        <f t="shared" si="353"/>
        <v>0</v>
      </c>
      <c r="AJ304" s="14">
        <f t="shared" si="353"/>
        <v>-0.36000000000000004</v>
      </c>
      <c r="AK304" s="14">
        <f t="shared" si="353"/>
        <v>0.79</v>
      </c>
      <c r="AL304" s="14">
        <f t="shared" si="353"/>
        <v>0</v>
      </c>
      <c r="AM304" s="14">
        <f t="shared" si="353"/>
        <v>0.13</v>
      </c>
      <c r="AN304" s="14">
        <f t="shared" si="353"/>
        <v>0</v>
      </c>
      <c r="AO304" s="14">
        <f t="shared" si="353"/>
        <v>0.56000000000000005</v>
      </c>
      <c r="AP304" s="14">
        <f t="shared" si="353"/>
        <v>0</v>
      </c>
      <c r="AQ304" s="18">
        <f t="shared" si="353"/>
        <v>0.56000000000000005</v>
      </c>
      <c r="AR304" s="179">
        <f t="shared" si="353"/>
        <v>528191047</v>
      </c>
      <c r="AS304" s="17">
        <f t="shared" si="353"/>
        <v>380291476</v>
      </c>
      <c r="AT304" s="17">
        <f t="shared" si="353"/>
        <v>1078626</v>
      </c>
      <c r="AU304" s="17">
        <f t="shared" si="353"/>
        <v>128903098</v>
      </c>
      <c r="AV304" s="17">
        <f t="shared" si="353"/>
        <v>7605827</v>
      </c>
      <c r="AW304" s="17">
        <f t="shared" si="353"/>
        <v>10312020</v>
      </c>
      <c r="AX304" s="14">
        <f t="shared" si="353"/>
        <v>722.14780000000007</v>
      </c>
      <c r="AY304" s="14">
        <f t="shared" si="353"/>
        <v>577.45829999999989</v>
      </c>
      <c r="AZ304" s="18">
        <f t="shared" si="353"/>
        <v>144.68949999999998</v>
      </c>
    </row>
    <row r="305" spans="4:52" x14ac:dyDescent="0.2">
      <c r="D305" s="10"/>
      <c r="E305" s="6"/>
      <c r="F305" s="10"/>
      <c r="G305" s="24"/>
      <c r="H305" s="2">
        <v>3114</v>
      </c>
      <c r="I305" s="178">
        <f t="shared" ref="I305:AZ305" si="354">SUMIF($F$12:$F$457,"=3114",I$12:I$457)</f>
        <v>47368850</v>
      </c>
      <c r="J305" s="17">
        <f t="shared" si="354"/>
        <v>34536877</v>
      </c>
      <c r="K305" s="17">
        <f t="shared" si="354"/>
        <v>0</v>
      </c>
      <c r="L305" s="17">
        <f t="shared" si="354"/>
        <v>11673465</v>
      </c>
      <c r="M305" s="17">
        <f t="shared" si="354"/>
        <v>690738</v>
      </c>
      <c r="N305" s="17">
        <f t="shared" si="354"/>
        <v>467770</v>
      </c>
      <c r="O305" s="14">
        <f t="shared" si="354"/>
        <v>67.729500000000002</v>
      </c>
      <c r="P305" s="14">
        <f t="shared" si="354"/>
        <v>56.091000000000001</v>
      </c>
      <c r="Q305" s="180">
        <f t="shared" si="354"/>
        <v>11.638500000000001</v>
      </c>
      <c r="R305" s="178">
        <f t="shared" si="354"/>
        <v>0</v>
      </c>
      <c r="S305" s="17">
        <f t="shared" si="354"/>
        <v>0</v>
      </c>
      <c r="T305" s="17">
        <f t="shared" si="354"/>
        <v>0</v>
      </c>
      <c r="U305" s="17">
        <f t="shared" si="354"/>
        <v>0</v>
      </c>
      <c r="V305" s="17">
        <f t="shared" si="354"/>
        <v>0</v>
      </c>
      <c r="W305" s="17">
        <f t="shared" si="354"/>
        <v>0</v>
      </c>
      <c r="X305" s="17">
        <f t="shared" si="354"/>
        <v>0</v>
      </c>
      <c r="Y305" s="17">
        <f t="shared" si="354"/>
        <v>0</v>
      </c>
      <c r="Z305" s="17">
        <f t="shared" si="354"/>
        <v>0</v>
      </c>
      <c r="AA305" s="17">
        <f t="shared" si="354"/>
        <v>0</v>
      </c>
      <c r="AB305" s="17">
        <f t="shared" si="354"/>
        <v>0</v>
      </c>
      <c r="AC305" s="17">
        <f t="shared" si="354"/>
        <v>0</v>
      </c>
      <c r="AD305" s="17">
        <f t="shared" si="354"/>
        <v>0</v>
      </c>
      <c r="AE305" s="17">
        <f t="shared" si="354"/>
        <v>0</v>
      </c>
      <c r="AF305" s="17">
        <f t="shared" si="354"/>
        <v>0</v>
      </c>
      <c r="AG305" s="17">
        <f t="shared" si="354"/>
        <v>0</v>
      </c>
      <c r="AH305" s="14">
        <f t="shared" si="354"/>
        <v>0</v>
      </c>
      <c r="AI305" s="14">
        <f t="shared" si="354"/>
        <v>0</v>
      </c>
      <c r="AJ305" s="14">
        <f t="shared" si="354"/>
        <v>0</v>
      </c>
      <c r="AK305" s="14">
        <f t="shared" si="354"/>
        <v>0</v>
      </c>
      <c r="AL305" s="14">
        <f t="shared" si="354"/>
        <v>0</v>
      </c>
      <c r="AM305" s="14">
        <f t="shared" si="354"/>
        <v>0</v>
      </c>
      <c r="AN305" s="14">
        <f t="shared" si="354"/>
        <v>0</v>
      </c>
      <c r="AO305" s="14">
        <f t="shared" si="354"/>
        <v>0</v>
      </c>
      <c r="AP305" s="14">
        <f t="shared" si="354"/>
        <v>0</v>
      </c>
      <c r="AQ305" s="18">
        <f t="shared" si="354"/>
        <v>0</v>
      </c>
      <c r="AR305" s="179">
        <f t="shared" si="354"/>
        <v>47368850</v>
      </c>
      <c r="AS305" s="17">
        <f t="shared" si="354"/>
        <v>34536877</v>
      </c>
      <c r="AT305" s="17">
        <f t="shared" si="354"/>
        <v>0</v>
      </c>
      <c r="AU305" s="17">
        <f t="shared" si="354"/>
        <v>11673465</v>
      </c>
      <c r="AV305" s="17">
        <f t="shared" si="354"/>
        <v>690738</v>
      </c>
      <c r="AW305" s="17">
        <f t="shared" si="354"/>
        <v>467770</v>
      </c>
      <c r="AX305" s="14">
        <f t="shared" si="354"/>
        <v>67.729500000000002</v>
      </c>
      <c r="AY305" s="14">
        <f t="shared" si="354"/>
        <v>56.091000000000001</v>
      </c>
      <c r="AZ305" s="18">
        <f t="shared" si="354"/>
        <v>11.638500000000001</v>
      </c>
    </row>
    <row r="306" spans="4:52" x14ac:dyDescent="0.2">
      <c r="D306" s="10"/>
      <c r="E306" s="6"/>
      <c r="F306" s="10"/>
      <c r="G306" s="24"/>
      <c r="H306" s="2">
        <v>3117</v>
      </c>
      <c r="I306" s="178">
        <f t="shared" ref="I306:AZ306" si="355">SUMIF($F$12:$F$457,"=3117",I$12:I$457)</f>
        <v>49944621</v>
      </c>
      <c r="J306" s="17">
        <f t="shared" si="355"/>
        <v>36118138</v>
      </c>
      <c r="K306" s="17">
        <f t="shared" si="355"/>
        <v>114110</v>
      </c>
      <c r="L306" s="17">
        <f t="shared" si="355"/>
        <v>12246500</v>
      </c>
      <c r="M306" s="17">
        <f t="shared" si="355"/>
        <v>722363</v>
      </c>
      <c r="N306" s="17">
        <f t="shared" si="355"/>
        <v>743510</v>
      </c>
      <c r="O306" s="14">
        <f t="shared" si="355"/>
        <v>78.976499999999987</v>
      </c>
      <c r="P306" s="14">
        <f t="shared" si="355"/>
        <v>58.445600000000006</v>
      </c>
      <c r="Q306" s="180">
        <f t="shared" si="355"/>
        <v>20.530899999999999</v>
      </c>
      <c r="R306" s="178">
        <f t="shared" si="355"/>
        <v>0</v>
      </c>
      <c r="S306" s="17">
        <f t="shared" si="355"/>
        <v>0</v>
      </c>
      <c r="T306" s="17">
        <f t="shared" si="355"/>
        <v>309276</v>
      </c>
      <c r="U306" s="17">
        <f t="shared" si="355"/>
        <v>0</v>
      </c>
      <c r="V306" s="17">
        <f t="shared" si="355"/>
        <v>309276</v>
      </c>
      <c r="W306" s="17">
        <f t="shared" si="355"/>
        <v>0</v>
      </c>
      <c r="X306" s="17">
        <f t="shared" si="355"/>
        <v>0</v>
      </c>
      <c r="Y306" s="17">
        <f t="shared" si="355"/>
        <v>0</v>
      </c>
      <c r="Z306" s="17">
        <f t="shared" si="355"/>
        <v>0</v>
      </c>
      <c r="AA306" s="17">
        <f t="shared" si="355"/>
        <v>309276</v>
      </c>
      <c r="AB306" s="17">
        <f t="shared" si="355"/>
        <v>104535</v>
      </c>
      <c r="AC306" s="17">
        <f t="shared" si="355"/>
        <v>6186</v>
      </c>
      <c r="AD306" s="17">
        <f t="shared" si="355"/>
        <v>0</v>
      </c>
      <c r="AE306" s="17">
        <f t="shared" si="355"/>
        <v>0</v>
      </c>
      <c r="AF306" s="17">
        <f t="shared" si="355"/>
        <v>0</v>
      </c>
      <c r="AG306" s="17">
        <f t="shared" si="355"/>
        <v>419997</v>
      </c>
      <c r="AH306" s="14">
        <f t="shared" si="355"/>
        <v>0</v>
      </c>
      <c r="AI306" s="14">
        <f t="shared" si="355"/>
        <v>0</v>
      </c>
      <c r="AJ306" s="14">
        <f t="shared" si="355"/>
        <v>0</v>
      </c>
      <c r="AK306" s="14">
        <f t="shared" si="355"/>
        <v>0.71</v>
      </c>
      <c r="AL306" s="14">
        <f t="shared" si="355"/>
        <v>0</v>
      </c>
      <c r="AM306" s="14">
        <f t="shared" si="355"/>
        <v>0</v>
      </c>
      <c r="AN306" s="14">
        <f t="shared" si="355"/>
        <v>0</v>
      </c>
      <c r="AO306" s="14">
        <f t="shared" si="355"/>
        <v>0.71</v>
      </c>
      <c r="AP306" s="14">
        <f t="shared" si="355"/>
        <v>0</v>
      </c>
      <c r="AQ306" s="18">
        <f t="shared" si="355"/>
        <v>0.71</v>
      </c>
      <c r="AR306" s="179">
        <f t="shared" si="355"/>
        <v>50364618</v>
      </c>
      <c r="AS306" s="17">
        <f t="shared" si="355"/>
        <v>36427414</v>
      </c>
      <c r="AT306" s="17">
        <f t="shared" si="355"/>
        <v>114110</v>
      </c>
      <c r="AU306" s="17">
        <f t="shared" si="355"/>
        <v>12351035</v>
      </c>
      <c r="AV306" s="17">
        <f t="shared" si="355"/>
        <v>728549</v>
      </c>
      <c r="AW306" s="17">
        <f t="shared" si="355"/>
        <v>743510</v>
      </c>
      <c r="AX306" s="14">
        <f t="shared" si="355"/>
        <v>79.686499999999995</v>
      </c>
      <c r="AY306" s="14">
        <f t="shared" si="355"/>
        <v>59.155600000000007</v>
      </c>
      <c r="AZ306" s="18">
        <f t="shared" si="355"/>
        <v>20.530899999999999</v>
      </c>
    </row>
    <row r="307" spans="4:52" x14ac:dyDescent="0.2">
      <c r="D307" s="10"/>
      <c r="E307" s="6"/>
      <c r="F307" s="10"/>
      <c r="G307" s="24"/>
      <c r="H307" s="2">
        <v>3122</v>
      </c>
      <c r="I307" s="178">
        <f t="shared" ref="I307:AZ307" si="356">SUMIF($F$12:$F$457,"=3122",I$12:I$457)</f>
        <v>0</v>
      </c>
      <c r="J307" s="17">
        <f t="shared" si="356"/>
        <v>0</v>
      </c>
      <c r="K307" s="17">
        <f t="shared" si="356"/>
        <v>0</v>
      </c>
      <c r="L307" s="17">
        <f t="shared" si="356"/>
        <v>0</v>
      </c>
      <c r="M307" s="17">
        <f t="shared" si="356"/>
        <v>0</v>
      </c>
      <c r="N307" s="17">
        <f t="shared" si="356"/>
        <v>0</v>
      </c>
      <c r="O307" s="14">
        <f t="shared" si="356"/>
        <v>0</v>
      </c>
      <c r="P307" s="14">
        <f t="shared" si="356"/>
        <v>0</v>
      </c>
      <c r="Q307" s="180">
        <f t="shared" si="356"/>
        <v>0</v>
      </c>
      <c r="R307" s="178">
        <f t="shared" si="356"/>
        <v>0</v>
      </c>
      <c r="S307" s="17">
        <f t="shared" si="356"/>
        <v>0</v>
      </c>
      <c r="T307" s="17">
        <f t="shared" si="356"/>
        <v>0</v>
      </c>
      <c r="U307" s="17">
        <f t="shared" si="356"/>
        <v>0</v>
      </c>
      <c r="V307" s="17">
        <f t="shared" si="356"/>
        <v>0</v>
      </c>
      <c r="W307" s="17">
        <f t="shared" si="356"/>
        <v>0</v>
      </c>
      <c r="X307" s="17">
        <f t="shared" si="356"/>
        <v>0</v>
      </c>
      <c r="Y307" s="17">
        <f t="shared" si="356"/>
        <v>0</v>
      </c>
      <c r="Z307" s="17">
        <f t="shared" si="356"/>
        <v>0</v>
      </c>
      <c r="AA307" s="17">
        <f t="shared" si="356"/>
        <v>0</v>
      </c>
      <c r="AB307" s="17">
        <f t="shared" si="356"/>
        <v>0</v>
      </c>
      <c r="AC307" s="17">
        <f t="shared" si="356"/>
        <v>0</v>
      </c>
      <c r="AD307" s="17">
        <f t="shared" si="356"/>
        <v>0</v>
      </c>
      <c r="AE307" s="17">
        <f t="shared" si="356"/>
        <v>0</v>
      </c>
      <c r="AF307" s="17">
        <f t="shared" si="356"/>
        <v>0</v>
      </c>
      <c r="AG307" s="17">
        <f t="shared" si="356"/>
        <v>0</v>
      </c>
      <c r="AH307" s="14">
        <f t="shared" si="356"/>
        <v>0</v>
      </c>
      <c r="AI307" s="14">
        <f t="shared" si="356"/>
        <v>0</v>
      </c>
      <c r="AJ307" s="14">
        <f t="shared" si="356"/>
        <v>0</v>
      </c>
      <c r="AK307" s="14">
        <f t="shared" si="356"/>
        <v>0</v>
      </c>
      <c r="AL307" s="14">
        <f t="shared" si="356"/>
        <v>0</v>
      </c>
      <c r="AM307" s="14">
        <f t="shared" si="356"/>
        <v>0</v>
      </c>
      <c r="AN307" s="14">
        <f t="shared" si="356"/>
        <v>0</v>
      </c>
      <c r="AO307" s="14">
        <f t="shared" si="356"/>
        <v>0</v>
      </c>
      <c r="AP307" s="14">
        <f t="shared" si="356"/>
        <v>0</v>
      </c>
      <c r="AQ307" s="18">
        <f t="shared" si="356"/>
        <v>0</v>
      </c>
      <c r="AR307" s="179">
        <f t="shared" si="356"/>
        <v>0</v>
      </c>
      <c r="AS307" s="17">
        <f t="shared" si="356"/>
        <v>0</v>
      </c>
      <c r="AT307" s="17">
        <f t="shared" si="356"/>
        <v>0</v>
      </c>
      <c r="AU307" s="17">
        <f t="shared" si="356"/>
        <v>0</v>
      </c>
      <c r="AV307" s="17">
        <f t="shared" si="356"/>
        <v>0</v>
      </c>
      <c r="AW307" s="17">
        <f t="shared" si="356"/>
        <v>0</v>
      </c>
      <c r="AX307" s="14">
        <f t="shared" si="356"/>
        <v>0</v>
      </c>
      <c r="AY307" s="14">
        <f t="shared" si="356"/>
        <v>0</v>
      </c>
      <c r="AZ307" s="18">
        <f t="shared" si="356"/>
        <v>0</v>
      </c>
    </row>
    <row r="308" spans="4:52" x14ac:dyDescent="0.2">
      <c r="D308" s="10"/>
      <c r="E308" s="6"/>
      <c r="F308" s="10"/>
      <c r="G308" s="24"/>
      <c r="H308" s="2">
        <v>3124</v>
      </c>
      <c r="I308" s="178">
        <f t="shared" ref="I308:AZ308" si="357">SUMIF($F$12:$F$457,"=3124",I$12:I$457)</f>
        <v>4251963</v>
      </c>
      <c r="J308" s="17">
        <f t="shared" si="357"/>
        <v>3114553</v>
      </c>
      <c r="K308" s="17">
        <f t="shared" si="357"/>
        <v>0</v>
      </c>
      <c r="L308" s="17">
        <f t="shared" si="357"/>
        <v>1052719</v>
      </c>
      <c r="M308" s="17">
        <f t="shared" si="357"/>
        <v>62291</v>
      </c>
      <c r="N308" s="17">
        <f t="shared" si="357"/>
        <v>22400</v>
      </c>
      <c r="O308" s="14">
        <f t="shared" si="357"/>
        <v>5.7788000000000004</v>
      </c>
      <c r="P308" s="14">
        <f t="shared" si="357"/>
        <v>5.0158000000000005</v>
      </c>
      <c r="Q308" s="180">
        <f t="shared" si="357"/>
        <v>0.76300000000000001</v>
      </c>
      <c r="R308" s="178">
        <f t="shared" si="357"/>
        <v>0</v>
      </c>
      <c r="S308" s="17">
        <f t="shared" si="357"/>
        <v>0</v>
      </c>
      <c r="T308" s="17">
        <f t="shared" si="357"/>
        <v>0</v>
      </c>
      <c r="U308" s="17">
        <f t="shared" si="357"/>
        <v>0</v>
      </c>
      <c r="V308" s="17">
        <f t="shared" si="357"/>
        <v>0</v>
      </c>
      <c r="W308" s="17">
        <f t="shared" si="357"/>
        <v>0</v>
      </c>
      <c r="X308" s="17">
        <f t="shared" si="357"/>
        <v>0</v>
      </c>
      <c r="Y308" s="17">
        <f t="shared" si="357"/>
        <v>0</v>
      </c>
      <c r="Z308" s="17">
        <f t="shared" si="357"/>
        <v>0</v>
      </c>
      <c r="AA308" s="17">
        <f t="shared" si="357"/>
        <v>0</v>
      </c>
      <c r="AB308" s="17">
        <f t="shared" si="357"/>
        <v>0</v>
      </c>
      <c r="AC308" s="17">
        <f t="shared" si="357"/>
        <v>0</v>
      </c>
      <c r="AD308" s="17">
        <f t="shared" si="357"/>
        <v>0</v>
      </c>
      <c r="AE308" s="17">
        <f t="shared" si="357"/>
        <v>0</v>
      </c>
      <c r="AF308" s="17">
        <f t="shared" si="357"/>
        <v>0</v>
      </c>
      <c r="AG308" s="17">
        <f t="shared" si="357"/>
        <v>0</v>
      </c>
      <c r="AH308" s="14">
        <f t="shared" si="357"/>
        <v>0</v>
      </c>
      <c r="AI308" s="14">
        <f t="shared" si="357"/>
        <v>0</v>
      </c>
      <c r="AJ308" s="14">
        <f t="shared" si="357"/>
        <v>0</v>
      </c>
      <c r="AK308" s="14">
        <f t="shared" si="357"/>
        <v>0</v>
      </c>
      <c r="AL308" s="14">
        <f t="shared" si="357"/>
        <v>0</v>
      </c>
      <c r="AM308" s="14">
        <f t="shared" si="357"/>
        <v>0</v>
      </c>
      <c r="AN308" s="14">
        <f t="shared" si="357"/>
        <v>0</v>
      </c>
      <c r="AO308" s="14">
        <f t="shared" si="357"/>
        <v>0</v>
      </c>
      <c r="AP308" s="14">
        <f t="shared" si="357"/>
        <v>0</v>
      </c>
      <c r="AQ308" s="18">
        <f t="shared" si="357"/>
        <v>0</v>
      </c>
      <c r="AR308" s="179">
        <f t="shared" si="357"/>
        <v>4251963</v>
      </c>
      <c r="AS308" s="17">
        <f t="shared" si="357"/>
        <v>3114553</v>
      </c>
      <c r="AT308" s="17">
        <f t="shared" si="357"/>
        <v>0</v>
      </c>
      <c r="AU308" s="17">
        <f t="shared" si="357"/>
        <v>1052719</v>
      </c>
      <c r="AV308" s="17">
        <f t="shared" si="357"/>
        <v>62291</v>
      </c>
      <c r="AW308" s="17">
        <f t="shared" si="357"/>
        <v>22400</v>
      </c>
      <c r="AX308" s="14">
        <f t="shared" si="357"/>
        <v>5.7788000000000004</v>
      </c>
      <c r="AY308" s="14">
        <f t="shared" si="357"/>
        <v>5.0158000000000005</v>
      </c>
      <c r="AZ308" s="18">
        <f t="shared" si="357"/>
        <v>0.76300000000000001</v>
      </c>
    </row>
    <row r="309" spans="4:52" x14ac:dyDescent="0.2">
      <c r="D309" s="10"/>
      <c r="E309" s="6"/>
      <c r="F309" s="10"/>
      <c r="G309" s="24"/>
      <c r="H309" s="2">
        <v>3141</v>
      </c>
      <c r="I309" s="178">
        <f t="shared" ref="I309:AZ309" si="358">SUMIF($F$12:$F$457,"=3141",I$12:I$457)</f>
        <v>75395774</v>
      </c>
      <c r="J309" s="17">
        <f t="shared" si="358"/>
        <v>54984061</v>
      </c>
      <c r="K309" s="17">
        <f t="shared" si="358"/>
        <v>171080</v>
      </c>
      <c r="L309" s="17">
        <f t="shared" si="358"/>
        <v>18642436</v>
      </c>
      <c r="M309" s="17">
        <f t="shared" si="358"/>
        <v>1099679</v>
      </c>
      <c r="N309" s="17">
        <f t="shared" si="358"/>
        <v>498518</v>
      </c>
      <c r="O309" s="14">
        <f t="shared" si="358"/>
        <v>173.45</v>
      </c>
      <c r="P309" s="14">
        <f t="shared" si="358"/>
        <v>0</v>
      </c>
      <c r="Q309" s="180">
        <f t="shared" si="358"/>
        <v>173.45</v>
      </c>
      <c r="R309" s="178">
        <f t="shared" si="358"/>
        <v>0</v>
      </c>
      <c r="S309" s="17">
        <f t="shared" si="358"/>
        <v>0</v>
      </c>
      <c r="T309" s="17">
        <f t="shared" si="358"/>
        <v>0</v>
      </c>
      <c r="U309" s="17">
        <f t="shared" si="358"/>
        <v>0</v>
      </c>
      <c r="V309" s="17">
        <f t="shared" si="358"/>
        <v>0</v>
      </c>
      <c r="W309" s="17">
        <f t="shared" si="358"/>
        <v>0</v>
      </c>
      <c r="X309" s="17">
        <f t="shared" si="358"/>
        <v>0</v>
      </c>
      <c r="Y309" s="17">
        <f t="shared" si="358"/>
        <v>0</v>
      </c>
      <c r="Z309" s="17">
        <f t="shared" si="358"/>
        <v>0</v>
      </c>
      <c r="AA309" s="17">
        <f t="shared" si="358"/>
        <v>0</v>
      </c>
      <c r="AB309" s="17">
        <f t="shared" si="358"/>
        <v>0</v>
      </c>
      <c r="AC309" s="17">
        <f t="shared" si="358"/>
        <v>0</v>
      </c>
      <c r="AD309" s="17">
        <f t="shared" si="358"/>
        <v>0</v>
      </c>
      <c r="AE309" s="17">
        <f t="shared" si="358"/>
        <v>0</v>
      </c>
      <c r="AF309" s="17">
        <f t="shared" si="358"/>
        <v>0</v>
      </c>
      <c r="AG309" s="17">
        <f t="shared" si="358"/>
        <v>0</v>
      </c>
      <c r="AH309" s="14">
        <f t="shared" si="358"/>
        <v>0</v>
      </c>
      <c r="AI309" s="14">
        <f t="shared" si="358"/>
        <v>0</v>
      </c>
      <c r="AJ309" s="14">
        <f t="shared" si="358"/>
        <v>0</v>
      </c>
      <c r="AK309" s="14">
        <f t="shared" si="358"/>
        <v>0</v>
      </c>
      <c r="AL309" s="14">
        <f t="shared" si="358"/>
        <v>0</v>
      </c>
      <c r="AM309" s="14">
        <f t="shared" si="358"/>
        <v>0</v>
      </c>
      <c r="AN309" s="14">
        <f t="shared" si="358"/>
        <v>0</v>
      </c>
      <c r="AO309" s="14">
        <f t="shared" si="358"/>
        <v>0</v>
      </c>
      <c r="AP309" s="14">
        <f t="shared" si="358"/>
        <v>0</v>
      </c>
      <c r="AQ309" s="18">
        <f t="shared" si="358"/>
        <v>0</v>
      </c>
      <c r="AR309" s="179">
        <f t="shared" si="358"/>
        <v>75395774</v>
      </c>
      <c r="AS309" s="17">
        <f t="shared" si="358"/>
        <v>54984061</v>
      </c>
      <c r="AT309" s="17">
        <f t="shared" si="358"/>
        <v>171080</v>
      </c>
      <c r="AU309" s="17">
        <f t="shared" si="358"/>
        <v>18642436</v>
      </c>
      <c r="AV309" s="17">
        <f t="shared" si="358"/>
        <v>1099679</v>
      </c>
      <c r="AW309" s="17">
        <f t="shared" si="358"/>
        <v>498518</v>
      </c>
      <c r="AX309" s="14">
        <f t="shared" si="358"/>
        <v>173.45</v>
      </c>
      <c r="AY309" s="14">
        <f t="shared" si="358"/>
        <v>0</v>
      </c>
      <c r="AZ309" s="18">
        <f t="shared" si="358"/>
        <v>173.45</v>
      </c>
    </row>
    <row r="310" spans="4:52" x14ac:dyDescent="0.2">
      <c r="D310" s="10"/>
      <c r="E310" s="6"/>
      <c r="F310" s="10"/>
      <c r="G310" s="24"/>
      <c r="H310" s="2">
        <v>3143</v>
      </c>
      <c r="I310" s="178">
        <f t="shared" ref="I310:AZ310" si="359">SUMIF($F$12:$F$457,"=3143",I$12:I$457)</f>
        <v>52985589</v>
      </c>
      <c r="J310" s="17">
        <f t="shared" si="359"/>
        <v>38801912</v>
      </c>
      <c r="K310" s="17">
        <f t="shared" si="359"/>
        <v>169780</v>
      </c>
      <c r="L310" s="17">
        <f t="shared" si="359"/>
        <v>13172431</v>
      </c>
      <c r="M310" s="17">
        <f t="shared" si="359"/>
        <v>776036</v>
      </c>
      <c r="N310" s="17">
        <f t="shared" si="359"/>
        <v>65430</v>
      </c>
      <c r="O310" s="14">
        <f t="shared" si="359"/>
        <v>83.072999999999979</v>
      </c>
      <c r="P310" s="14">
        <f t="shared" si="359"/>
        <v>78.422999999999988</v>
      </c>
      <c r="Q310" s="180">
        <f t="shared" si="359"/>
        <v>4.6499999999999995</v>
      </c>
      <c r="R310" s="178">
        <f t="shared" si="359"/>
        <v>0</v>
      </c>
      <c r="S310" s="17">
        <f t="shared" si="359"/>
        <v>0</v>
      </c>
      <c r="T310" s="17">
        <f t="shared" si="359"/>
        <v>144700</v>
      </c>
      <c r="U310" s="17">
        <f t="shared" si="359"/>
        <v>225246</v>
      </c>
      <c r="V310" s="17">
        <f t="shared" si="359"/>
        <v>369946</v>
      </c>
      <c r="W310" s="17">
        <f t="shared" si="359"/>
        <v>0</v>
      </c>
      <c r="X310" s="17">
        <f t="shared" si="359"/>
        <v>0</v>
      </c>
      <c r="Y310" s="17">
        <f t="shared" si="359"/>
        <v>0</v>
      </c>
      <c r="Z310" s="17">
        <f t="shared" si="359"/>
        <v>0</v>
      </c>
      <c r="AA310" s="17">
        <f t="shared" si="359"/>
        <v>369946</v>
      </c>
      <c r="AB310" s="17">
        <f t="shared" si="359"/>
        <v>125042</v>
      </c>
      <c r="AC310" s="17">
        <f t="shared" si="359"/>
        <v>7399</v>
      </c>
      <c r="AD310" s="17">
        <f t="shared" si="359"/>
        <v>0</v>
      </c>
      <c r="AE310" s="17">
        <f t="shared" si="359"/>
        <v>1040</v>
      </c>
      <c r="AF310" s="17">
        <f t="shared" si="359"/>
        <v>1040</v>
      </c>
      <c r="AG310" s="17">
        <f t="shared" si="359"/>
        <v>503427</v>
      </c>
      <c r="AH310" s="14">
        <f t="shared" si="359"/>
        <v>0</v>
      </c>
      <c r="AI310" s="14">
        <f t="shared" si="359"/>
        <v>0</v>
      </c>
      <c r="AJ310" s="14">
        <f t="shared" si="359"/>
        <v>0</v>
      </c>
      <c r="AK310" s="14">
        <f t="shared" si="359"/>
        <v>0.37</v>
      </c>
      <c r="AL310" s="14">
        <f t="shared" si="359"/>
        <v>0</v>
      </c>
      <c r="AM310" s="14">
        <f t="shared" si="359"/>
        <v>0.41</v>
      </c>
      <c r="AN310" s="14">
        <f t="shared" si="359"/>
        <v>0.11</v>
      </c>
      <c r="AO310" s="14">
        <f t="shared" si="359"/>
        <v>0.78</v>
      </c>
      <c r="AP310" s="14">
        <f t="shared" si="359"/>
        <v>0.11</v>
      </c>
      <c r="AQ310" s="18">
        <f t="shared" si="359"/>
        <v>0.89</v>
      </c>
      <c r="AR310" s="179">
        <f t="shared" si="359"/>
        <v>53489016</v>
      </c>
      <c r="AS310" s="17">
        <f t="shared" si="359"/>
        <v>39171858</v>
      </c>
      <c r="AT310" s="17">
        <f t="shared" si="359"/>
        <v>169780</v>
      </c>
      <c r="AU310" s="17">
        <f t="shared" si="359"/>
        <v>13297473</v>
      </c>
      <c r="AV310" s="17">
        <f t="shared" si="359"/>
        <v>783435</v>
      </c>
      <c r="AW310" s="17">
        <f t="shared" si="359"/>
        <v>66470</v>
      </c>
      <c r="AX310" s="14">
        <f t="shared" si="359"/>
        <v>83.962999999999994</v>
      </c>
      <c r="AY310" s="14">
        <f t="shared" si="359"/>
        <v>79.202999999999989</v>
      </c>
      <c r="AZ310" s="18">
        <f t="shared" si="359"/>
        <v>4.7599999999999989</v>
      </c>
    </row>
    <row r="311" spans="4:52" x14ac:dyDescent="0.2">
      <c r="D311" s="10"/>
      <c r="E311" s="6"/>
      <c r="F311" s="10"/>
      <c r="G311" s="24"/>
      <c r="H311" s="2">
        <v>3231</v>
      </c>
      <c r="I311" s="178">
        <f t="shared" ref="I311:AZ311" si="360">SUMIF($F$12:$F$457,"=3231",I$12:I$457)</f>
        <v>55541001</v>
      </c>
      <c r="J311" s="17">
        <f t="shared" si="360"/>
        <v>40645672</v>
      </c>
      <c r="K311" s="17">
        <f t="shared" si="360"/>
        <v>121875</v>
      </c>
      <c r="L311" s="17">
        <f t="shared" si="360"/>
        <v>13779431</v>
      </c>
      <c r="M311" s="17">
        <f t="shared" si="360"/>
        <v>812913</v>
      </c>
      <c r="N311" s="17">
        <f t="shared" si="360"/>
        <v>181110</v>
      </c>
      <c r="O311" s="14">
        <f t="shared" si="360"/>
        <v>75.427499999999995</v>
      </c>
      <c r="P311" s="14">
        <f t="shared" si="360"/>
        <v>67.07889999999999</v>
      </c>
      <c r="Q311" s="180">
        <f t="shared" si="360"/>
        <v>8.3486000000000011</v>
      </c>
      <c r="R311" s="178">
        <f t="shared" si="360"/>
        <v>0</v>
      </c>
      <c r="S311" s="17">
        <f t="shared" si="360"/>
        <v>0</v>
      </c>
      <c r="T311" s="17">
        <f t="shared" si="360"/>
        <v>0</v>
      </c>
      <c r="U311" s="17">
        <f t="shared" si="360"/>
        <v>0</v>
      </c>
      <c r="V311" s="17">
        <f t="shared" si="360"/>
        <v>0</v>
      </c>
      <c r="W311" s="17">
        <f t="shared" si="360"/>
        <v>0</v>
      </c>
      <c r="X311" s="17">
        <f t="shared" si="360"/>
        <v>0</v>
      </c>
      <c r="Y311" s="17">
        <f t="shared" si="360"/>
        <v>0</v>
      </c>
      <c r="Z311" s="17">
        <f t="shared" si="360"/>
        <v>0</v>
      </c>
      <c r="AA311" s="17">
        <f t="shared" si="360"/>
        <v>0</v>
      </c>
      <c r="AB311" s="17">
        <f t="shared" si="360"/>
        <v>0</v>
      </c>
      <c r="AC311" s="17">
        <f t="shared" si="360"/>
        <v>0</v>
      </c>
      <c r="AD311" s="17">
        <f t="shared" si="360"/>
        <v>0</v>
      </c>
      <c r="AE311" s="17">
        <f t="shared" si="360"/>
        <v>0</v>
      </c>
      <c r="AF311" s="17">
        <f t="shared" si="360"/>
        <v>0</v>
      </c>
      <c r="AG311" s="17">
        <f t="shared" si="360"/>
        <v>0</v>
      </c>
      <c r="AH311" s="14">
        <f t="shared" si="360"/>
        <v>0</v>
      </c>
      <c r="AI311" s="14">
        <f t="shared" si="360"/>
        <v>0</v>
      </c>
      <c r="AJ311" s="14">
        <f t="shared" si="360"/>
        <v>0</v>
      </c>
      <c r="AK311" s="14">
        <f t="shared" si="360"/>
        <v>0</v>
      </c>
      <c r="AL311" s="14">
        <f t="shared" si="360"/>
        <v>0</v>
      </c>
      <c r="AM311" s="14">
        <f t="shared" si="360"/>
        <v>0</v>
      </c>
      <c r="AN311" s="14">
        <f t="shared" si="360"/>
        <v>0</v>
      </c>
      <c r="AO311" s="14">
        <f t="shared" si="360"/>
        <v>0</v>
      </c>
      <c r="AP311" s="14">
        <f t="shared" si="360"/>
        <v>0</v>
      </c>
      <c r="AQ311" s="18">
        <f t="shared" si="360"/>
        <v>0</v>
      </c>
      <c r="AR311" s="179">
        <f t="shared" si="360"/>
        <v>55541001</v>
      </c>
      <c r="AS311" s="17">
        <f t="shared" si="360"/>
        <v>40645672</v>
      </c>
      <c r="AT311" s="17">
        <f t="shared" si="360"/>
        <v>121875</v>
      </c>
      <c r="AU311" s="17">
        <f t="shared" si="360"/>
        <v>13779431</v>
      </c>
      <c r="AV311" s="17">
        <f t="shared" si="360"/>
        <v>812913</v>
      </c>
      <c r="AW311" s="17">
        <f t="shared" si="360"/>
        <v>181110</v>
      </c>
      <c r="AX311" s="14">
        <f t="shared" si="360"/>
        <v>75.427499999999995</v>
      </c>
      <c r="AY311" s="14">
        <f t="shared" si="360"/>
        <v>67.07889999999999</v>
      </c>
      <c r="AZ311" s="18">
        <f t="shared" si="360"/>
        <v>8.3486000000000011</v>
      </c>
    </row>
    <row r="312" spans="4:52" ht="13.5" thickBot="1" x14ac:dyDescent="0.25">
      <c r="D312" s="10"/>
      <c r="E312" s="6"/>
      <c r="F312" s="10"/>
      <c r="G312" s="24"/>
      <c r="H312" s="162">
        <v>3233</v>
      </c>
      <c r="I312" s="181">
        <f t="shared" ref="I312:AZ312" si="361">SUMIF($F$12:$F$457,"=3233",I$12:I$457)</f>
        <v>9484999</v>
      </c>
      <c r="J312" s="182">
        <f t="shared" si="361"/>
        <v>6796108</v>
      </c>
      <c r="K312" s="182">
        <f t="shared" si="361"/>
        <v>182000</v>
      </c>
      <c r="L312" s="182">
        <f t="shared" si="361"/>
        <v>2358601</v>
      </c>
      <c r="M312" s="182">
        <f t="shared" si="361"/>
        <v>135922</v>
      </c>
      <c r="N312" s="182">
        <f t="shared" si="361"/>
        <v>12368</v>
      </c>
      <c r="O312" s="183">
        <f t="shared" si="361"/>
        <v>15.07</v>
      </c>
      <c r="P312" s="183">
        <f t="shared" si="361"/>
        <v>9.5500000000000007</v>
      </c>
      <c r="Q312" s="186">
        <f t="shared" si="361"/>
        <v>5.52</v>
      </c>
      <c r="R312" s="181">
        <f t="shared" si="361"/>
        <v>0</v>
      </c>
      <c r="S312" s="182">
        <f t="shared" si="361"/>
        <v>0</v>
      </c>
      <c r="T312" s="182">
        <f t="shared" si="361"/>
        <v>0</v>
      </c>
      <c r="U312" s="182">
        <f t="shared" si="361"/>
        <v>0</v>
      </c>
      <c r="V312" s="182">
        <f t="shared" si="361"/>
        <v>0</v>
      </c>
      <c r="W312" s="182">
        <f t="shared" si="361"/>
        <v>0</v>
      </c>
      <c r="X312" s="182">
        <f t="shared" si="361"/>
        <v>0</v>
      </c>
      <c r="Y312" s="182">
        <f t="shared" si="361"/>
        <v>0</v>
      </c>
      <c r="Z312" s="182">
        <f t="shared" si="361"/>
        <v>0</v>
      </c>
      <c r="AA312" s="182">
        <f t="shared" si="361"/>
        <v>0</v>
      </c>
      <c r="AB312" s="182">
        <f t="shared" si="361"/>
        <v>0</v>
      </c>
      <c r="AC312" s="182">
        <f t="shared" si="361"/>
        <v>0</v>
      </c>
      <c r="AD312" s="182">
        <f t="shared" si="361"/>
        <v>0</v>
      </c>
      <c r="AE312" s="182">
        <f t="shared" si="361"/>
        <v>72662</v>
      </c>
      <c r="AF312" s="182">
        <f t="shared" si="361"/>
        <v>72662</v>
      </c>
      <c r="AG312" s="182">
        <f t="shared" si="361"/>
        <v>72662</v>
      </c>
      <c r="AH312" s="183">
        <f t="shared" si="361"/>
        <v>0</v>
      </c>
      <c r="AI312" s="183">
        <f t="shared" si="361"/>
        <v>0</v>
      </c>
      <c r="AJ312" s="183">
        <f t="shared" si="361"/>
        <v>0</v>
      </c>
      <c r="AK312" s="183">
        <f t="shared" si="361"/>
        <v>0</v>
      </c>
      <c r="AL312" s="183">
        <f t="shared" si="361"/>
        <v>0</v>
      </c>
      <c r="AM312" s="183">
        <f t="shared" si="361"/>
        <v>0</v>
      </c>
      <c r="AN312" s="183">
        <f t="shared" si="361"/>
        <v>0</v>
      </c>
      <c r="AO312" s="183">
        <f t="shared" si="361"/>
        <v>0</v>
      </c>
      <c r="AP312" s="183">
        <f t="shared" si="361"/>
        <v>0</v>
      </c>
      <c r="AQ312" s="184">
        <f t="shared" si="361"/>
        <v>0</v>
      </c>
      <c r="AR312" s="185">
        <f t="shared" si="361"/>
        <v>9557661</v>
      </c>
      <c r="AS312" s="182">
        <f t="shared" si="361"/>
        <v>6796108</v>
      </c>
      <c r="AT312" s="182">
        <f t="shared" si="361"/>
        <v>182000</v>
      </c>
      <c r="AU312" s="182">
        <f t="shared" si="361"/>
        <v>2358601</v>
      </c>
      <c r="AV312" s="182">
        <f t="shared" si="361"/>
        <v>135922</v>
      </c>
      <c r="AW312" s="182">
        <f t="shared" si="361"/>
        <v>85030</v>
      </c>
      <c r="AX312" s="183">
        <f t="shared" si="361"/>
        <v>15.07</v>
      </c>
      <c r="AY312" s="183">
        <f t="shared" si="361"/>
        <v>9.5500000000000007</v>
      </c>
      <c r="AZ312" s="184">
        <f t="shared" si="361"/>
        <v>5.52</v>
      </c>
    </row>
    <row r="313" spans="4:52" x14ac:dyDescent="0.2">
      <c r="D313" s="6"/>
      <c r="E313" s="6"/>
      <c r="F313" s="6"/>
      <c r="G313" s="24"/>
      <c r="H313" s="6"/>
    </row>
  </sheetData>
  <mergeCells count="25">
    <mergeCell ref="AR6:AZ7"/>
    <mergeCell ref="AH7:AQ7"/>
    <mergeCell ref="AM8:AN9"/>
    <mergeCell ref="AO8:AQ9"/>
    <mergeCell ref="AR8:AR10"/>
    <mergeCell ref="AS8:AW9"/>
    <mergeCell ref="AX8:AX10"/>
    <mergeCell ref="AY8:AZ9"/>
    <mergeCell ref="AK8:AL9"/>
    <mergeCell ref="A3:E3"/>
    <mergeCell ref="AB7:AB10"/>
    <mergeCell ref="AD7:AF9"/>
    <mergeCell ref="AG7:AG10"/>
    <mergeCell ref="AJ8:AJ9"/>
    <mergeCell ref="I6:Q7"/>
    <mergeCell ref="R7:V9"/>
    <mergeCell ref="W7:Z9"/>
    <mergeCell ref="AA7:AA10"/>
    <mergeCell ref="AC7:AC10"/>
    <mergeCell ref="I8:I10"/>
    <mergeCell ref="J8:N9"/>
    <mergeCell ref="O8:O10"/>
    <mergeCell ref="P8:Q9"/>
    <mergeCell ref="AH8:AI9"/>
    <mergeCell ref="R6:AQ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39"/>
  <sheetViews>
    <sheetView workbookViewId="0">
      <pane xSplit="8" ySplit="11" topLeftCell="I112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R6" sqref="AR6:AZ7"/>
    </sheetView>
  </sheetViews>
  <sheetFormatPr defaultColWidth="9.140625" defaultRowHeight="15" x14ac:dyDescent="0.25"/>
  <cols>
    <col min="1" max="1" width="5" style="341" customWidth="1"/>
    <col min="2" max="2" width="7.140625" style="283" bestFit="1" customWidth="1"/>
    <col min="3" max="3" width="8.7109375" style="342" bestFit="1" customWidth="1"/>
    <col min="4" max="4" width="7.85546875" style="283" bestFit="1" customWidth="1"/>
    <col min="5" max="5" width="31.42578125" style="349" customWidth="1"/>
    <col min="6" max="6" width="5.42578125" style="342" customWidth="1"/>
    <col min="7" max="7" width="9.7109375" style="283" customWidth="1"/>
    <col min="8" max="8" width="8.5703125" style="283" customWidth="1"/>
    <col min="9" max="14" width="10.42578125" style="347" customWidth="1"/>
    <col min="15" max="15" width="11.7109375" style="348" customWidth="1"/>
    <col min="16" max="16" width="10" style="348" customWidth="1"/>
    <col min="17" max="17" width="9.28515625" style="348" customWidth="1"/>
    <col min="18" max="18" width="9.140625" style="347"/>
    <col min="19" max="19" width="10" style="347" customWidth="1"/>
    <col min="20" max="20" width="10.28515625" style="347" customWidth="1"/>
    <col min="21" max="21" width="9.7109375" style="347" customWidth="1"/>
    <col min="22" max="23" width="9.140625" style="347"/>
    <col min="24" max="25" width="9.140625" style="347" customWidth="1"/>
    <col min="26" max="26" width="9.140625" style="347"/>
    <col min="27" max="27" width="10.140625" style="347" customWidth="1"/>
    <col min="28" max="29" width="9.28515625" style="347" customWidth="1"/>
    <col min="30" max="30" width="9" style="347" customWidth="1"/>
    <col min="31" max="33" width="9.28515625" style="347" customWidth="1"/>
    <col min="34" max="34" width="9.28515625" style="348" customWidth="1"/>
    <col min="35" max="35" width="10.28515625" style="348" customWidth="1"/>
    <col min="36" max="38" width="9.7109375" style="348" customWidth="1"/>
    <col min="39" max="43" width="9.28515625" style="348" customWidth="1"/>
    <col min="44" max="44" width="12.7109375" style="347" customWidth="1"/>
    <col min="45" max="45" width="12.42578125" style="347" customWidth="1"/>
    <col min="46" max="49" width="9.140625" style="347" customWidth="1"/>
    <col min="50" max="50" width="11.42578125" style="348" customWidth="1"/>
    <col min="51" max="52" width="9.28515625" style="348" customWidth="1"/>
    <col min="53" max="53" width="9.140625" style="283"/>
    <col min="54" max="54" width="1.7109375" style="283" customWidth="1"/>
    <col min="55" max="16384" width="9.140625" style="283"/>
  </cols>
  <sheetData>
    <row r="1" spans="1:52" ht="15.75" customHeight="1" x14ac:dyDescent="0.25">
      <c r="A1" s="441" t="s">
        <v>2</v>
      </c>
      <c r="B1" s="441"/>
      <c r="C1" s="281"/>
      <c r="D1" s="441"/>
      <c r="E1" s="441"/>
      <c r="F1" s="282"/>
      <c r="G1" s="282"/>
      <c r="H1" s="282"/>
    </row>
    <row r="2" spans="1:52" ht="12.75" customHeight="1" x14ac:dyDescent="0.25">
      <c r="A2" s="441" t="s">
        <v>3</v>
      </c>
      <c r="B2" s="441"/>
      <c r="C2" s="281"/>
      <c r="D2" s="441"/>
      <c r="E2" s="441"/>
      <c r="F2" s="282"/>
      <c r="G2" s="282"/>
      <c r="H2" s="282"/>
    </row>
    <row r="3" spans="1:52" ht="12" customHeight="1" x14ac:dyDescent="0.25">
      <c r="A3" s="811" t="s">
        <v>4</v>
      </c>
      <c r="B3" s="811"/>
      <c r="C3" s="811"/>
      <c r="D3" s="811"/>
      <c r="E3" s="811"/>
      <c r="F3" s="282"/>
      <c r="G3" s="282"/>
      <c r="H3" s="282"/>
    </row>
    <row r="4" spans="1:52" ht="12" customHeight="1" x14ac:dyDescent="0.25">
      <c r="A4" s="284"/>
      <c r="B4" s="441"/>
      <c r="C4" s="441"/>
      <c r="D4" s="441"/>
      <c r="E4" s="441"/>
      <c r="F4" s="282"/>
      <c r="G4" s="282"/>
      <c r="H4" s="282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285"/>
    </row>
    <row r="6" spans="1:52" x14ac:dyDescent="0.25">
      <c r="A6" s="282"/>
      <c r="B6" s="284"/>
      <c r="C6" s="284"/>
      <c r="D6" s="284"/>
      <c r="E6" s="282"/>
      <c r="F6" s="282"/>
      <c r="G6" s="282"/>
      <c r="H6" s="282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284"/>
      <c r="B7" s="286"/>
      <c r="C7" s="99"/>
      <c r="D7" s="287"/>
      <c r="E7" s="286"/>
      <c r="F7" s="282"/>
      <c r="G7" s="282"/>
      <c r="H7" s="282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288"/>
      <c r="B8" s="289"/>
      <c r="C8" s="289"/>
      <c r="D8" s="289"/>
      <c r="E8" s="289"/>
      <c r="F8" s="289"/>
      <c r="G8" s="289"/>
      <c r="H8" s="289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5.75" customHeight="1" thickBot="1" x14ac:dyDescent="0.3">
      <c r="A9" s="290" t="s">
        <v>815</v>
      </c>
      <c r="B9" s="99"/>
      <c r="C9" s="99"/>
      <c r="D9" s="291"/>
      <c r="E9" s="99"/>
      <c r="F9" s="292"/>
      <c r="G9" s="293"/>
      <c r="H9" s="293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5.25" customHeight="1" thickBot="1" x14ac:dyDescent="0.3">
      <c r="A10" s="294" t="s">
        <v>794</v>
      </c>
      <c r="B10" s="295" t="s">
        <v>560</v>
      </c>
      <c r="C10" s="295" t="s">
        <v>561</v>
      </c>
      <c r="D10" s="295" t="s">
        <v>265</v>
      </c>
      <c r="E10" s="174" t="s">
        <v>796</v>
      </c>
      <c r="F10" s="295" t="s">
        <v>0</v>
      </c>
      <c r="G10" s="296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300" customFormat="1" ht="11.25" customHeight="1" thickBot="1" x14ac:dyDescent="0.25">
      <c r="A11" s="297" t="s">
        <v>562</v>
      </c>
      <c r="B11" s="298" t="s">
        <v>563</v>
      </c>
      <c r="C11" s="298" t="s">
        <v>267</v>
      </c>
      <c r="D11" s="298" t="s">
        <v>268</v>
      </c>
      <c r="E11" s="298" t="s">
        <v>564</v>
      </c>
      <c r="F11" s="298" t="s">
        <v>0</v>
      </c>
      <c r="G11" s="298" t="s">
        <v>565</v>
      </c>
      <c r="H11" s="299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2.95" customHeight="1" x14ac:dyDescent="0.25">
      <c r="A12" s="301">
        <v>1</v>
      </c>
      <c r="B12" s="302">
        <v>4486</v>
      </c>
      <c r="C12" s="303">
        <v>600075176</v>
      </c>
      <c r="D12" s="303">
        <v>46750401</v>
      </c>
      <c r="E12" s="304" t="s">
        <v>323</v>
      </c>
      <c r="F12" s="302">
        <v>3233</v>
      </c>
      <c r="G12" s="305" t="s">
        <v>319</v>
      </c>
      <c r="H12" s="305" t="s">
        <v>279</v>
      </c>
      <c r="I12" s="470">
        <v>6575063</v>
      </c>
      <c r="J12" s="471">
        <v>4547135</v>
      </c>
      <c r="K12" s="471">
        <v>292500</v>
      </c>
      <c r="L12" s="471">
        <v>1635797</v>
      </c>
      <c r="M12" s="471">
        <v>90943</v>
      </c>
      <c r="N12" s="471">
        <v>8688</v>
      </c>
      <c r="O12" s="472">
        <v>10.28</v>
      </c>
      <c r="P12" s="473">
        <v>6.13</v>
      </c>
      <c r="Q12" s="650">
        <v>4.1500000000000004</v>
      </c>
      <c r="R12" s="474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475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51042</v>
      </c>
      <c r="AF12" s="475">
        <f>SUM(AD12:AE12)</f>
        <v>51042</v>
      </c>
      <c r="AG12" s="475">
        <f>AA12+AB12+AC12+AF12</f>
        <v>51042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476">
        <v>0</v>
      </c>
      <c r="AO12" s="476">
        <f>AH12+AJ12+AK12+AM12</f>
        <v>0</v>
      </c>
      <c r="AP12" s="476">
        <f>AI12+AN12+AL12</f>
        <v>0</v>
      </c>
      <c r="AQ12" s="478">
        <f>SUM(AO12:AP12)</f>
        <v>0</v>
      </c>
      <c r="AR12" s="474">
        <f>I12+AG12</f>
        <v>6626105</v>
      </c>
      <c r="AS12" s="475">
        <f>J12+V12</f>
        <v>4547135</v>
      </c>
      <c r="AT12" s="475">
        <f>K12+Z12</f>
        <v>292500</v>
      </c>
      <c r="AU12" s="475">
        <f>L12+AB12</f>
        <v>1635797</v>
      </c>
      <c r="AV12" s="475">
        <f>M12+AC12</f>
        <v>90943</v>
      </c>
      <c r="AW12" s="475">
        <f>N12+AF12</f>
        <v>59730</v>
      </c>
      <c r="AX12" s="476">
        <f>O12+AQ12</f>
        <v>10.28</v>
      </c>
      <c r="AY12" s="476">
        <f>P12+AO12</f>
        <v>6.13</v>
      </c>
      <c r="AZ12" s="478">
        <f>Q12+AP12</f>
        <v>4.1500000000000004</v>
      </c>
    </row>
    <row r="13" spans="1:52" ht="12.95" customHeight="1" x14ac:dyDescent="0.25">
      <c r="A13" s="306">
        <v>1</v>
      </c>
      <c r="B13" s="307">
        <v>4486</v>
      </c>
      <c r="C13" s="308">
        <v>600075176</v>
      </c>
      <c r="D13" s="308">
        <v>46750401</v>
      </c>
      <c r="E13" s="309" t="s">
        <v>324</v>
      </c>
      <c r="F13" s="310"/>
      <c r="G13" s="311"/>
      <c r="H13" s="311"/>
      <c r="I13" s="584">
        <v>6575063</v>
      </c>
      <c r="J13" s="580">
        <v>4547135</v>
      </c>
      <c r="K13" s="580">
        <v>292500</v>
      </c>
      <c r="L13" s="580">
        <v>1635797</v>
      </c>
      <c r="M13" s="580">
        <v>90943</v>
      </c>
      <c r="N13" s="580">
        <v>8688</v>
      </c>
      <c r="O13" s="581">
        <v>10.28</v>
      </c>
      <c r="P13" s="581">
        <v>6.13</v>
      </c>
      <c r="Q13" s="312">
        <v>4.1500000000000004</v>
      </c>
      <c r="R13" s="588">
        <f t="shared" ref="R13:AZ13" si="0">SUM(R12)</f>
        <v>0</v>
      </c>
      <c r="S13" s="580">
        <f t="shared" si="0"/>
        <v>0</v>
      </c>
      <c r="T13" s="580">
        <f t="shared" si="0"/>
        <v>0</v>
      </c>
      <c r="U13" s="580">
        <f t="shared" si="0"/>
        <v>0</v>
      </c>
      <c r="V13" s="580">
        <f t="shared" si="0"/>
        <v>0</v>
      </c>
      <c r="W13" s="580">
        <f t="shared" si="0"/>
        <v>0</v>
      </c>
      <c r="X13" s="580">
        <f t="shared" si="0"/>
        <v>0</v>
      </c>
      <c r="Y13" s="580">
        <f t="shared" si="0"/>
        <v>0</v>
      </c>
      <c r="Z13" s="580">
        <f t="shared" si="0"/>
        <v>0</v>
      </c>
      <c r="AA13" s="580">
        <f t="shared" si="0"/>
        <v>0</v>
      </c>
      <c r="AB13" s="580">
        <f t="shared" si="0"/>
        <v>0</v>
      </c>
      <c r="AC13" s="580">
        <f t="shared" si="0"/>
        <v>0</v>
      </c>
      <c r="AD13" s="580">
        <f t="shared" si="0"/>
        <v>0</v>
      </c>
      <c r="AE13" s="580">
        <f t="shared" si="0"/>
        <v>51042</v>
      </c>
      <c r="AF13" s="580">
        <f t="shared" si="0"/>
        <v>51042</v>
      </c>
      <c r="AG13" s="580">
        <f t="shared" si="0"/>
        <v>51042</v>
      </c>
      <c r="AH13" s="581">
        <f t="shared" si="0"/>
        <v>0</v>
      </c>
      <c r="AI13" s="581">
        <f t="shared" si="0"/>
        <v>0</v>
      </c>
      <c r="AJ13" s="581">
        <f t="shared" si="0"/>
        <v>0</v>
      </c>
      <c r="AK13" s="581">
        <f t="shared" si="0"/>
        <v>0</v>
      </c>
      <c r="AL13" s="581">
        <f t="shared" si="0"/>
        <v>0</v>
      </c>
      <c r="AM13" s="581">
        <f t="shared" si="0"/>
        <v>0</v>
      </c>
      <c r="AN13" s="581">
        <f t="shared" si="0"/>
        <v>0</v>
      </c>
      <c r="AO13" s="621">
        <f t="shared" si="0"/>
        <v>0</v>
      </c>
      <c r="AP13" s="621">
        <f t="shared" si="0"/>
        <v>0</v>
      </c>
      <c r="AQ13" s="312">
        <f t="shared" si="0"/>
        <v>0</v>
      </c>
      <c r="AR13" s="588">
        <f t="shared" si="0"/>
        <v>6626105</v>
      </c>
      <c r="AS13" s="580">
        <f t="shared" si="0"/>
        <v>4547135</v>
      </c>
      <c r="AT13" s="580">
        <f t="shared" si="0"/>
        <v>292500</v>
      </c>
      <c r="AU13" s="580">
        <f t="shared" si="0"/>
        <v>1635797</v>
      </c>
      <c r="AV13" s="580">
        <f t="shared" si="0"/>
        <v>90943</v>
      </c>
      <c r="AW13" s="580">
        <f t="shared" si="0"/>
        <v>59730</v>
      </c>
      <c r="AX13" s="581">
        <f t="shared" si="0"/>
        <v>10.28</v>
      </c>
      <c r="AY13" s="581">
        <f t="shared" si="0"/>
        <v>6.13</v>
      </c>
      <c r="AZ13" s="312">
        <f t="shared" si="0"/>
        <v>4.1500000000000004</v>
      </c>
    </row>
    <row r="14" spans="1:52" ht="12.95" customHeight="1" x14ac:dyDescent="0.25">
      <c r="A14" s="313">
        <v>2</v>
      </c>
      <c r="B14" s="314">
        <v>4419</v>
      </c>
      <c r="C14" s="315">
        <v>600074056</v>
      </c>
      <c r="D14" s="314">
        <v>72744049</v>
      </c>
      <c r="E14" s="316" t="s">
        <v>325</v>
      </c>
      <c r="F14" s="314">
        <v>3111</v>
      </c>
      <c r="G14" s="317" t="s">
        <v>326</v>
      </c>
      <c r="H14" s="318" t="s">
        <v>278</v>
      </c>
      <c r="I14" s="494">
        <v>25291577</v>
      </c>
      <c r="J14" s="489">
        <v>18430802</v>
      </c>
      <c r="K14" s="489">
        <v>93160</v>
      </c>
      <c r="L14" s="489">
        <v>6261099</v>
      </c>
      <c r="M14" s="489">
        <v>368616</v>
      </c>
      <c r="N14" s="489">
        <v>137900</v>
      </c>
      <c r="O14" s="490">
        <v>42.07</v>
      </c>
      <c r="P14" s="491">
        <v>31.23</v>
      </c>
      <c r="Q14" s="658">
        <v>10.84</v>
      </c>
      <c r="R14" s="501">
        <f t="shared" ref="R14:R77" si="1">W14*-1</f>
        <v>0</v>
      </c>
      <c r="S14" s="492">
        <v>0</v>
      </c>
      <c r="T14" s="492">
        <v>0</v>
      </c>
      <c r="U14" s="492">
        <v>0</v>
      </c>
      <c r="V14" s="492">
        <f t="shared" ref="V14:V77" si="2">SUM(R14:U14)</f>
        <v>0</v>
      </c>
      <c r="W14" s="492">
        <v>0</v>
      </c>
      <c r="X14" s="492">
        <v>0</v>
      </c>
      <c r="Y14" s="492">
        <v>0</v>
      </c>
      <c r="Z14" s="492">
        <f>SUM(W14:Y14)</f>
        <v>0</v>
      </c>
      <c r="AA14" s="492">
        <f>V14+Z14</f>
        <v>0</v>
      </c>
      <c r="AB14" s="74">
        <f>ROUND((V14+W14+X14)*33.8%,0)</f>
        <v>0</v>
      </c>
      <c r="AC14" s="74">
        <f>ROUND(V14*2%,0)</f>
        <v>0</v>
      </c>
      <c r="AD14" s="492">
        <v>0</v>
      </c>
      <c r="AE14" s="492">
        <v>0</v>
      </c>
      <c r="AF14" s="492">
        <f t="shared" ref="AF14:AF77" si="3">SUM(AD14:AE14)</f>
        <v>0</v>
      </c>
      <c r="AG14" s="492">
        <f t="shared" ref="AG14:AG77" si="4">AA14+AB14+AC14+AF14</f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 t="shared" ref="AO14:AO17" si="5">AH14+AJ14+AK14+AM14</f>
        <v>0</v>
      </c>
      <c r="AP14" s="493">
        <f t="shared" ref="AP14:AP17" si="6">AI14+AN14+AL14</f>
        <v>0</v>
      </c>
      <c r="AQ14" s="495">
        <f t="shared" ref="AQ14:AQ77" si="7">SUM(AO14:AP14)</f>
        <v>0</v>
      </c>
      <c r="AR14" s="501">
        <f>I14+AG14</f>
        <v>25291577</v>
      </c>
      <c r="AS14" s="492">
        <f>J14+V14</f>
        <v>18430802</v>
      </c>
      <c r="AT14" s="492">
        <f>K14+Z14</f>
        <v>93160</v>
      </c>
      <c r="AU14" s="492">
        <f t="shared" ref="AU14:AV17" si="8">L14+AB14</f>
        <v>6261099</v>
      </c>
      <c r="AV14" s="492">
        <f t="shared" si="8"/>
        <v>368616</v>
      </c>
      <c r="AW14" s="492">
        <f>N14+AF14</f>
        <v>137900</v>
      </c>
      <c r="AX14" s="493">
        <f>O14+AQ14</f>
        <v>42.07</v>
      </c>
      <c r="AY14" s="493">
        <f t="shared" ref="AY14:AZ17" si="9">P14+AO14</f>
        <v>31.23</v>
      </c>
      <c r="AZ14" s="495">
        <f t="shared" si="9"/>
        <v>10.84</v>
      </c>
    </row>
    <row r="15" spans="1:52" ht="12.95" customHeight="1" x14ac:dyDescent="0.25">
      <c r="A15" s="313">
        <v>2</v>
      </c>
      <c r="B15" s="314">
        <v>4419</v>
      </c>
      <c r="C15" s="315">
        <v>600074056</v>
      </c>
      <c r="D15" s="314">
        <v>72744049</v>
      </c>
      <c r="E15" s="316" t="s">
        <v>325</v>
      </c>
      <c r="F15" s="314">
        <v>3111</v>
      </c>
      <c r="G15" s="319" t="s">
        <v>314</v>
      </c>
      <c r="H15" s="318" t="s">
        <v>278</v>
      </c>
      <c r="I15" s="494">
        <v>533129</v>
      </c>
      <c r="J15" s="489">
        <v>392584</v>
      </c>
      <c r="K15" s="489">
        <v>0</v>
      </c>
      <c r="L15" s="489">
        <v>132693</v>
      </c>
      <c r="M15" s="489">
        <v>7852</v>
      </c>
      <c r="N15" s="489">
        <v>0</v>
      </c>
      <c r="O15" s="490">
        <v>1.0004999999999999</v>
      </c>
      <c r="P15" s="491">
        <v>1.0004999999999999</v>
      </c>
      <c r="Q15" s="658">
        <v>0</v>
      </c>
      <c r="R15" s="501">
        <f t="shared" si="1"/>
        <v>0</v>
      </c>
      <c r="S15" s="492">
        <v>0</v>
      </c>
      <c r="T15" s="492">
        <v>0</v>
      </c>
      <c r="U15" s="492">
        <v>0</v>
      </c>
      <c r="V15" s="492">
        <f t="shared" si="2"/>
        <v>0</v>
      </c>
      <c r="W15" s="492">
        <v>0</v>
      </c>
      <c r="X15" s="492">
        <v>0</v>
      </c>
      <c r="Y15" s="492">
        <v>0</v>
      </c>
      <c r="Z15" s="492">
        <f>SUM(W15:Y15)</f>
        <v>0</v>
      </c>
      <c r="AA15" s="492">
        <f>V15+Z15</f>
        <v>0</v>
      </c>
      <c r="AB15" s="74">
        <f>ROUND((V15+W15+X15)*33.8%,0)</f>
        <v>0</v>
      </c>
      <c r="AC15" s="74">
        <f>ROUND(V15*2%,0)</f>
        <v>0</v>
      </c>
      <c r="AD15" s="492">
        <v>0</v>
      </c>
      <c r="AE15" s="492">
        <v>0</v>
      </c>
      <c r="AF15" s="492">
        <f t="shared" si="3"/>
        <v>0</v>
      </c>
      <c r="AG15" s="492">
        <f t="shared" si="4"/>
        <v>0</v>
      </c>
      <c r="AH15" s="493">
        <v>0</v>
      </c>
      <c r="AI15" s="493">
        <v>0</v>
      </c>
      <c r="AJ15" s="493">
        <v>0</v>
      </c>
      <c r="AK15" s="493">
        <v>0</v>
      </c>
      <c r="AL15" s="493">
        <v>0</v>
      </c>
      <c r="AM15" s="493">
        <v>0</v>
      </c>
      <c r="AN15" s="493">
        <v>0</v>
      </c>
      <c r="AO15" s="493">
        <f t="shared" si="5"/>
        <v>0</v>
      </c>
      <c r="AP15" s="493">
        <f t="shared" si="6"/>
        <v>0</v>
      </c>
      <c r="AQ15" s="495">
        <f t="shared" si="7"/>
        <v>0</v>
      </c>
      <c r="AR15" s="501">
        <f>I15+AG15</f>
        <v>533129</v>
      </c>
      <c r="AS15" s="492">
        <f>J15+V15</f>
        <v>392584</v>
      </c>
      <c r="AT15" s="492">
        <f t="shared" ref="AT15:AT17" si="10">K15+Z15</f>
        <v>0</v>
      </c>
      <c r="AU15" s="492">
        <f t="shared" si="8"/>
        <v>132693</v>
      </c>
      <c r="AV15" s="492">
        <f t="shared" si="8"/>
        <v>7852</v>
      </c>
      <c r="AW15" s="492">
        <f>N15+AF15</f>
        <v>0</v>
      </c>
      <c r="AX15" s="493">
        <f>O15+AQ15</f>
        <v>1.0004999999999999</v>
      </c>
      <c r="AY15" s="493">
        <f t="shared" si="9"/>
        <v>1.0004999999999999</v>
      </c>
      <c r="AZ15" s="495">
        <f t="shared" si="9"/>
        <v>0</v>
      </c>
    </row>
    <row r="16" spans="1:52" ht="12.95" customHeight="1" x14ac:dyDescent="0.25">
      <c r="A16" s="313">
        <v>2</v>
      </c>
      <c r="B16" s="314">
        <v>4419</v>
      </c>
      <c r="C16" s="315">
        <v>600074056</v>
      </c>
      <c r="D16" s="314">
        <v>72744049</v>
      </c>
      <c r="E16" s="316" t="s">
        <v>325</v>
      </c>
      <c r="F16" s="314">
        <v>3111</v>
      </c>
      <c r="G16" s="317" t="s">
        <v>320</v>
      </c>
      <c r="H16" s="318" t="s">
        <v>279</v>
      </c>
      <c r="I16" s="494">
        <v>940941</v>
      </c>
      <c r="J16" s="489">
        <v>692887</v>
      </c>
      <c r="K16" s="489">
        <v>0</v>
      </c>
      <c r="L16" s="489">
        <v>234196</v>
      </c>
      <c r="M16" s="489">
        <v>13858</v>
      </c>
      <c r="N16" s="489">
        <v>0</v>
      </c>
      <c r="O16" s="490">
        <v>2</v>
      </c>
      <c r="P16" s="491">
        <v>2</v>
      </c>
      <c r="Q16" s="658">
        <v>0</v>
      </c>
      <c r="R16" s="501">
        <f t="shared" si="1"/>
        <v>0</v>
      </c>
      <c r="S16" s="492">
        <v>0</v>
      </c>
      <c r="T16" s="492">
        <v>0</v>
      </c>
      <c r="U16" s="492">
        <v>0</v>
      </c>
      <c r="V16" s="492">
        <f t="shared" si="2"/>
        <v>0</v>
      </c>
      <c r="W16" s="492">
        <v>0</v>
      </c>
      <c r="X16" s="492">
        <v>0</v>
      </c>
      <c r="Y16" s="492">
        <v>0</v>
      </c>
      <c r="Z16" s="492">
        <f>SUM(W16:Y16)</f>
        <v>0</v>
      </c>
      <c r="AA16" s="492">
        <f>V16+Z16</f>
        <v>0</v>
      </c>
      <c r="AB16" s="74">
        <f>ROUND((V16+W16+X16)*33.8%,0)</f>
        <v>0</v>
      </c>
      <c r="AC16" s="74">
        <f>ROUND(V16*2%,0)</f>
        <v>0</v>
      </c>
      <c r="AD16" s="492">
        <v>0</v>
      </c>
      <c r="AE16" s="492">
        <v>0</v>
      </c>
      <c r="AF16" s="492">
        <f t="shared" si="3"/>
        <v>0</v>
      </c>
      <c r="AG16" s="492">
        <f t="shared" si="4"/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si="5"/>
        <v>0</v>
      </c>
      <c r="AP16" s="493">
        <f t="shared" si="6"/>
        <v>0</v>
      </c>
      <c r="AQ16" s="495">
        <f t="shared" si="7"/>
        <v>0</v>
      </c>
      <c r="AR16" s="501">
        <f>I16+AG16</f>
        <v>940941</v>
      </c>
      <c r="AS16" s="492">
        <f>J16+V16</f>
        <v>692887</v>
      </c>
      <c r="AT16" s="492">
        <f t="shared" si="10"/>
        <v>0</v>
      </c>
      <c r="AU16" s="492">
        <f t="shared" si="8"/>
        <v>234196</v>
      </c>
      <c r="AV16" s="492">
        <f t="shared" si="8"/>
        <v>13858</v>
      </c>
      <c r="AW16" s="492">
        <f>N16+AF16</f>
        <v>0</v>
      </c>
      <c r="AX16" s="493">
        <f>O16+AQ16</f>
        <v>2</v>
      </c>
      <c r="AY16" s="493">
        <f t="shared" si="9"/>
        <v>2</v>
      </c>
      <c r="AZ16" s="495">
        <f t="shared" si="9"/>
        <v>0</v>
      </c>
    </row>
    <row r="17" spans="1:52" ht="12.95" customHeight="1" x14ac:dyDescent="0.25">
      <c r="A17" s="313">
        <v>2</v>
      </c>
      <c r="B17" s="314">
        <v>4419</v>
      </c>
      <c r="C17" s="315">
        <v>600074056</v>
      </c>
      <c r="D17" s="314">
        <v>72744049</v>
      </c>
      <c r="E17" s="316" t="s">
        <v>325</v>
      </c>
      <c r="F17" s="314">
        <v>3141</v>
      </c>
      <c r="G17" s="317" t="s">
        <v>316</v>
      </c>
      <c r="H17" s="317" t="s">
        <v>279</v>
      </c>
      <c r="I17" s="494">
        <v>3824270</v>
      </c>
      <c r="J17" s="489">
        <v>2777457</v>
      </c>
      <c r="K17" s="489">
        <v>26000</v>
      </c>
      <c r="L17" s="489">
        <v>947568</v>
      </c>
      <c r="M17" s="489">
        <v>55549</v>
      </c>
      <c r="N17" s="489">
        <v>17696</v>
      </c>
      <c r="O17" s="490">
        <v>8.83</v>
      </c>
      <c r="P17" s="491">
        <v>0</v>
      </c>
      <c r="Q17" s="658">
        <v>8.83</v>
      </c>
      <c r="R17" s="501">
        <f t="shared" si="1"/>
        <v>0</v>
      </c>
      <c r="S17" s="492">
        <v>0</v>
      </c>
      <c r="T17" s="492">
        <v>0</v>
      </c>
      <c r="U17" s="492">
        <v>0</v>
      </c>
      <c r="V17" s="492">
        <f t="shared" si="2"/>
        <v>0</v>
      </c>
      <c r="W17" s="492">
        <v>0</v>
      </c>
      <c r="X17" s="492">
        <v>0</v>
      </c>
      <c r="Y17" s="492">
        <v>0</v>
      </c>
      <c r="Z17" s="492">
        <f>SUM(W17:Y17)</f>
        <v>0</v>
      </c>
      <c r="AA17" s="492">
        <f>V17+Z17</f>
        <v>0</v>
      </c>
      <c r="AB17" s="74">
        <f>ROUND((V17+W17+X17)*33.8%,0)</f>
        <v>0</v>
      </c>
      <c r="AC17" s="74">
        <f>ROUND(V17*2%,0)</f>
        <v>0</v>
      </c>
      <c r="AD17" s="492">
        <v>0</v>
      </c>
      <c r="AE17" s="492">
        <v>0</v>
      </c>
      <c r="AF17" s="492">
        <f t="shared" si="3"/>
        <v>0</v>
      </c>
      <c r="AG17" s="492">
        <f t="shared" si="4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5"/>
        <v>0</v>
      </c>
      <c r="AP17" s="493">
        <f t="shared" si="6"/>
        <v>0</v>
      </c>
      <c r="AQ17" s="495">
        <f t="shared" si="7"/>
        <v>0</v>
      </c>
      <c r="AR17" s="501">
        <f>I17+AG17</f>
        <v>3824270</v>
      </c>
      <c r="AS17" s="492">
        <f>J17+V17</f>
        <v>2777457</v>
      </c>
      <c r="AT17" s="492">
        <f t="shared" si="10"/>
        <v>26000</v>
      </c>
      <c r="AU17" s="492">
        <f t="shared" si="8"/>
        <v>947568</v>
      </c>
      <c r="AV17" s="492">
        <f t="shared" si="8"/>
        <v>55549</v>
      </c>
      <c r="AW17" s="492">
        <f>N17+AF17</f>
        <v>17696</v>
      </c>
      <c r="AX17" s="493">
        <f>O17+AQ17</f>
        <v>8.83</v>
      </c>
      <c r="AY17" s="493">
        <f t="shared" si="9"/>
        <v>0</v>
      </c>
      <c r="AZ17" s="495">
        <f t="shared" si="9"/>
        <v>8.83</v>
      </c>
    </row>
    <row r="18" spans="1:52" ht="12.95" customHeight="1" x14ac:dyDescent="0.25">
      <c r="A18" s="306">
        <v>2</v>
      </c>
      <c r="B18" s="308">
        <v>4419</v>
      </c>
      <c r="C18" s="320">
        <v>600074056</v>
      </c>
      <c r="D18" s="308">
        <v>72744049</v>
      </c>
      <c r="E18" s="321" t="s">
        <v>327</v>
      </c>
      <c r="F18" s="308"/>
      <c r="G18" s="322"/>
      <c r="H18" s="322"/>
      <c r="I18" s="585">
        <v>30589917</v>
      </c>
      <c r="J18" s="582">
        <v>22293730</v>
      </c>
      <c r="K18" s="582">
        <v>119160</v>
      </c>
      <c r="L18" s="582">
        <v>7575556</v>
      </c>
      <c r="M18" s="582">
        <v>445875</v>
      </c>
      <c r="N18" s="582">
        <v>155596</v>
      </c>
      <c r="O18" s="583">
        <v>53.900500000000001</v>
      </c>
      <c r="P18" s="583">
        <v>34.230499999999999</v>
      </c>
      <c r="Q18" s="323">
        <v>19.670000000000002</v>
      </c>
      <c r="R18" s="589">
        <f t="shared" ref="R18:AZ18" si="11">SUM(R14:R17)</f>
        <v>0</v>
      </c>
      <c r="S18" s="582">
        <f t="shared" si="11"/>
        <v>0</v>
      </c>
      <c r="T18" s="582">
        <f t="shared" si="11"/>
        <v>0</v>
      </c>
      <c r="U18" s="582">
        <f t="shared" si="11"/>
        <v>0</v>
      </c>
      <c r="V18" s="582">
        <f t="shared" si="11"/>
        <v>0</v>
      </c>
      <c r="W18" s="582">
        <f t="shared" si="11"/>
        <v>0</v>
      </c>
      <c r="X18" s="582">
        <f t="shared" si="11"/>
        <v>0</v>
      </c>
      <c r="Y18" s="582">
        <f t="shared" si="11"/>
        <v>0</v>
      </c>
      <c r="Z18" s="582">
        <f t="shared" si="11"/>
        <v>0</v>
      </c>
      <c r="AA18" s="582">
        <f t="shared" si="11"/>
        <v>0</v>
      </c>
      <c r="AB18" s="582">
        <f t="shared" si="11"/>
        <v>0</v>
      </c>
      <c r="AC18" s="582">
        <f t="shared" si="11"/>
        <v>0</v>
      </c>
      <c r="AD18" s="582">
        <f t="shared" si="11"/>
        <v>0</v>
      </c>
      <c r="AE18" s="582">
        <f t="shared" si="11"/>
        <v>0</v>
      </c>
      <c r="AF18" s="582">
        <f t="shared" si="11"/>
        <v>0</v>
      </c>
      <c r="AG18" s="582">
        <f t="shared" si="11"/>
        <v>0</v>
      </c>
      <c r="AH18" s="583">
        <f t="shared" si="11"/>
        <v>0</v>
      </c>
      <c r="AI18" s="583">
        <f t="shared" si="11"/>
        <v>0</v>
      </c>
      <c r="AJ18" s="583">
        <f t="shared" si="11"/>
        <v>0</v>
      </c>
      <c r="AK18" s="583">
        <f t="shared" si="11"/>
        <v>0</v>
      </c>
      <c r="AL18" s="583">
        <f t="shared" si="11"/>
        <v>0</v>
      </c>
      <c r="AM18" s="583">
        <f t="shared" si="11"/>
        <v>0</v>
      </c>
      <c r="AN18" s="583">
        <f t="shared" si="11"/>
        <v>0</v>
      </c>
      <c r="AO18" s="583">
        <f t="shared" si="11"/>
        <v>0</v>
      </c>
      <c r="AP18" s="583">
        <f t="shared" si="11"/>
        <v>0</v>
      </c>
      <c r="AQ18" s="323">
        <f t="shared" si="11"/>
        <v>0</v>
      </c>
      <c r="AR18" s="589">
        <f t="shared" si="11"/>
        <v>30589917</v>
      </c>
      <c r="AS18" s="582">
        <f t="shared" si="11"/>
        <v>22293730</v>
      </c>
      <c r="AT18" s="582">
        <f t="shared" si="11"/>
        <v>119160</v>
      </c>
      <c r="AU18" s="582">
        <f t="shared" si="11"/>
        <v>7575556</v>
      </c>
      <c r="AV18" s="582">
        <f t="shared" si="11"/>
        <v>445875</v>
      </c>
      <c r="AW18" s="582">
        <f t="shared" si="11"/>
        <v>155596</v>
      </c>
      <c r="AX18" s="583">
        <f t="shared" si="11"/>
        <v>53.900500000000001</v>
      </c>
      <c r="AY18" s="583">
        <f t="shared" si="11"/>
        <v>34.230499999999999</v>
      </c>
      <c r="AZ18" s="323">
        <f t="shared" si="11"/>
        <v>19.670000000000002</v>
      </c>
    </row>
    <row r="19" spans="1:52" ht="12.95" customHeight="1" x14ac:dyDescent="0.25">
      <c r="A19" s="313">
        <v>3</v>
      </c>
      <c r="B19" s="314">
        <v>4464</v>
      </c>
      <c r="C19" s="314" t="s">
        <v>328</v>
      </c>
      <c r="D19" s="314">
        <v>46750461</v>
      </c>
      <c r="E19" s="316" t="s">
        <v>329</v>
      </c>
      <c r="F19" s="314">
        <v>3113</v>
      </c>
      <c r="G19" s="317" t="s">
        <v>330</v>
      </c>
      <c r="H19" s="317" t="s">
        <v>278</v>
      </c>
      <c r="I19" s="494">
        <v>40155696</v>
      </c>
      <c r="J19" s="489">
        <v>28918739</v>
      </c>
      <c r="K19" s="489">
        <v>43160</v>
      </c>
      <c r="L19" s="489">
        <v>9789122</v>
      </c>
      <c r="M19" s="489">
        <v>578375</v>
      </c>
      <c r="N19" s="489">
        <v>826300</v>
      </c>
      <c r="O19" s="490">
        <v>50.926499999999997</v>
      </c>
      <c r="P19" s="491">
        <v>40.736499999999999</v>
      </c>
      <c r="Q19" s="658">
        <v>10.19</v>
      </c>
      <c r="R19" s="501">
        <f t="shared" si="1"/>
        <v>0</v>
      </c>
      <c r="S19" s="492">
        <v>0</v>
      </c>
      <c r="T19" s="492">
        <v>0</v>
      </c>
      <c r="U19" s="492">
        <v>0</v>
      </c>
      <c r="V19" s="492">
        <f t="shared" si="2"/>
        <v>0</v>
      </c>
      <c r="W19" s="492">
        <v>0</v>
      </c>
      <c r="X19" s="492">
        <v>0</v>
      </c>
      <c r="Y19" s="492">
        <v>0</v>
      </c>
      <c r="Z19" s="492">
        <f>SUM(W19:Y19)</f>
        <v>0</v>
      </c>
      <c r="AA19" s="492">
        <f>V19+Z19</f>
        <v>0</v>
      </c>
      <c r="AB19" s="74">
        <f>ROUND((V19+W19+X19)*33.8%,0)</f>
        <v>0</v>
      </c>
      <c r="AC19" s="74">
        <f>ROUND(V19*2%,0)</f>
        <v>0</v>
      </c>
      <c r="AD19" s="492">
        <v>0</v>
      </c>
      <c r="AE19" s="492">
        <v>0</v>
      </c>
      <c r="AF19" s="492">
        <f t="shared" si="3"/>
        <v>0</v>
      </c>
      <c r="AG19" s="492">
        <f t="shared" si="4"/>
        <v>0</v>
      </c>
      <c r="AH19" s="493">
        <v>0</v>
      </c>
      <c r="AI19" s="493">
        <v>0</v>
      </c>
      <c r="AJ19" s="493">
        <v>0</v>
      </c>
      <c r="AK19" s="493">
        <v>0</v>
      </c>
      <c r="AL19" s="493">
        <v>0</v>
      </c>
      <c r="AM19" s="493">
        <v>0</v>
      </c>
      <c r="AN19" s="493">
        <v>0</v>
      </c>
      <c r="AO19" s="493">
        <f t="shared" ref="AO19:AO23" si="12">AH19+AJ19+AK19+AM19</f>
        <v>0</v>
      </c>
      <c r="AP19" s="493">
        <f t="shared" ref="AP19:AP23" si="13">AI19+AN19+AL19</f>
        <v>0</v>
      </c>
      <c r="AQ19" s="495">
        <f t="shared" si="7"/>
        <v>0</v>
      </c>
      <c r="AR19" s="501">
        <f>I19+AG19</f>
        <v>40155696</v>
      </c>
      <c r="AS19" s="492">
        <f>J19+V19</f>
        <v>28918739</v>
      </c>
      <c r="AT19" s="492">
        <f t="shared" ref="AT19:AT23" si="14">K19+Z19</f>
        <v>43160</v>
      </c>
      <c r="AU19" s="492">
        <f t="shared" ref="AU19:AV23" si="15">L19+AB19</f>
        <v>9789122</v>
      </c>
      <c r="AV19" s="492">
        <f t="shared" si="15"/>
        <v>578375</v>
      </c>
      <c r="AW19" s="492">
        <f>N19+AF19</f>
        <v>826300</v>
      </c>
      <c r="AX19" s="493">
        <f>O19+AQ19</f>
        <v>50.926499999999997</v>
      </c>
      <c r="AY19" s="493">
        <f t="shared" ref="AY19:AZ23" si="16">P19+AO19</f>
        <v>40.736499999999999</v>
      </c>
      <c r="AZ19" s="495">
        <f t="shared" si="16"/>
        <v>10.19</v>
      </c>
    </row>
    <row r="20" spans="1:52" ht="12.95" customHeight="1" x14ac:dyDescent="0.25">
      <c r="A20" s="313">
        <v>3</v>
      </c>
      <c r="B20" s="314">
        <v>4464</v>
      </c>
      <c r="C20" s="314" t="s">
        <v>328</v>
      </c>
      <c r="D20" s="314">
        <v>46750461</v>
      </c>
      <c r="E20" s="316" t="s">
        <v>331</v>
      </c>
      <c r="F20" s="314">
        <v>3113</v>
      </c>
      <c r="G20" s="317" t="s">
        <v>320</v>
      </c>
      <c r="H20" s="317" t="s">
        <v>279</v>
      </c>
      <c r="I20" s="494">
        <v>1008898</v>
      </c>
      <c r="J20" s="489">
        <v>742929</v>
      </c>
      <c r="K20" s="489">
        <v>0</v>
      </c>
      <c r="L20" s="489">
        <v>251110</v>
      </c>
      <c r="M20" s="489">
        <v>14859</v>
      </c>
      <c r="N20" s="489">
        <v>0</v>
      </c>
      <c r="O20" s="490">
        <v>2.2799999999999998</v>
      </c>
      <c r="P20" s="491">
        <v>2.2799999999999998</v>
      </c>
      <c r="Q20" s="658">
        <v>0</v>
      </c>
      <c r="R20" s="501">
        <f t="shared" si="1"/>
        <v>0</v>
      </c>
      <c r="S20" s="492">
        <v>129917</v>
      </c>
      <c r="T20" s="492">
        <v>0</v>
      </c>
      <c r="U20" s="492">
        <v>0</v>
      </c>
      <c r="V20" s="492">
        <f t="shared" si="2"/>
        <v>129917</v>
      </c>
      <c r="W20" s="492">
        <v>0</v>
      </c>
      <c r="X20" s="492">
        <v>0</v>
      </c>
      <c r="Y20" s="492">
        <v>0</v>
      </c>
      <c r="Z20" s="492">
        <f>SUM(W20:Y20)</f>
        <v>0</v>
      </c>
      <c r="AA20" s="492">
        <f>V20+Z20</f>
        <v>129917</v>
      </c>
      <c r="AB20" s="74">
        <f>ROUND((V20+W20+X20)*33.8%,0)</f>
        <v>43912</v>
      </c>
      <c r="AC20" s="74">
        <f>ROUND(V20*2%,0)</f>
        <v>2598</v>
      </c>
      <c r="AD20" s="492">
        <v>0</v>
      </c>
      <c r="AE20" s="492">
        <v>0</v>
      </c>
      <c r="AF20" s="492">
        <f t="shared" si="3"/>
        <v>0</v>
      </c>
      <c r="AG20" s="492">
        <f t="shared" si="4"/>
        <v>176427</v>
      </c>
      <c r="AH20" s="493">
        <v>0</v>
      </c>
      <c r="AI20" s="493">
        <v>0</v>
      </c>
      <c r="AJ20" s="493">
        <v>0.38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si="12"/>
        <v>0.38</v>
      </c>
      <c r="AP20" s="493">
        <f t="shared" si="13"/>
        <v>0</v>
      </c>
      <c r="AQ20" s="495">
        <f t="shared" si="7"/>
        <v>0.38</v>
      </c>
      <c r="AR20" s="501">
        <f>I20+AG20</f>
        <v>1185325</v>
      </c>
      <c r="AS20" s="492">
        <f>J20+V20</f>
        <v>872846</v>
      </c>
      <c r="AT20" s="492">
        <f t="shared" si="14"/>
        <v>0</v>
      </c>
      <c r="AU20" s="492">
        <f t="shared" si="15"/>
        <v>295022</v>
      </c>
      <c r="AV20" s="492">
        <f t="shared" si="15"/>
        <v>17457</v>
      </c>
      <c r="AW20" s="492">
        <f>N20+AF20</f>
        <v>0</v>
      </c>
      <c r="AX20" s="493">
        <f>O20+AQ20</f>
        <v>2.6599999999999997</v>
      </c>
      <c r="AY20" s="493">
        <f t="shared" si="16"/>
        <v>2.6599999999999997</v>
      </c>
      <c r="AZ20" s="495">
        <f t="shared" si="16"/>
        <v>0</v>
      </c>
    </row>
    <row r="21" spans="1:52" ht="12.95" customHeight="1" x14ac:dyDescent="0.25">
      <c r="A21" s="313">
        <v>3</v>
      </c>
      <c r="B21" s="314">
        <v>4464</v>
      </c>
      <c r="C21" s="314" t="s">
        <v>328</v>
      </c>
      <c r="D21" s="314">
        <v>46750461</v>
      </c>
      <c r="E21" s="316" t="s">
        <v>329</v>
      </c>
      <c r="F21" s="314">
        <v>3141</v>
      </c>
      <c r="G21" s="317" t="s">
        <v>316</v>
      </c>
      <c r="H21" s="317" t="s">
        <v>279</v>
      </c>
      <c r="I21" s="494">
        <v>3475949</v>
      </c>
      <c r="J21" s="489">
        <v>2533712</v>
      </c>
      <c r="K21" s="489">
        <v>3250</v>
      </c>
      <c r="L21" s="489">
        <v>857493</v>
      </c>
      <c r="M21" s="489">
        <v>50674</v>
      </c>
      <c r="N21" s="489">
        <v>30820</v>
      </c>
      <c r="O21" s="490">
        <v>7.99</v>
      </c>
      <c r="P21" s="491">
        <v>0</v>
      </c>
      <c r="Q21" s="658">
        <v>7.99</v>
      </c>
      <c r="R21" s="501">
        <f t="shared" si="1"/>
        <v>0</v>
      </c>
      <c r="S21" s="492">
        <v>0</v>
      </c>
      <c r="T21" s="492">
        <v>0</v>
      </c>
      <c r="U21" s="492">
        <v>0</v>
      </c>
      <c r="V21" s="492">
        <f t="shared" si="2"/>
        <v>0</v>
      </c>
      <c r="W21" s="492">
        <v>0</v>
      </c>
      <c r="X21" s="492">
        <v>0</v>
      </c>
      <c r="Y21" s="492">
        <v>0</v>
      </c>
      <c r="Z21" s="492">
        <f>SUM(W21:Y21)</f>
        <v>0</v>
      </c>
      <c r="AA21" s="492">
        <f>V21+Z21</f>
        <v>0</v>
      </c>
      <c r="AB21" s="74">
        <f>ROUND((V21+W21+X21)*33.8%,0)</f>
        <v>0</v>
      </c>
      <c r="AC21" s="74">
        <f>ROUND(V21*2%,0)</f>
        <v>0</v>
      </c>
      <c r="AD21" s="492">
        <v>0</v>
      </c>
      <c r="AE21" s="492">
        <v>0</v>
      </c>
      <c r="AF21" s="492">
        <f t="shared" si="3"/>
        <v>0</v>
      </c>
      <c r="AG21" s="492">
        <f t="shared" si="4"/>
        <v>0</v>
      </c>
      <c r="AH21" s="493">
        <v>0</v>
      </c>
      <c r="AI21" s="493">
        <v>0</v>
      </c>
      <c r="AJ21" s="493">
        <v>0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12"/>
        <v>0</v>
      </c>
      <c r="AP21" s="493">
        <f t="shared" si="13"/>
        <v>0</v>
      </c>
      <c r="AQ21" s="495">
        <f t="shared" si="7"/>
        <v>0</v>
      </c>
      <c r="AR21" s="501">
        <f>I21+AG21</f>
        <v>3475949</v>
      </c>
      <c r="AS21" s="492">
        <f>J21+V21</f>
        <v>2533712</v>
      </c>
      <c r="AT21" s="492">
        <f t="shared" si="14"/>
        <v>3250</v>
      </c>
      <c r="AU21" s="492">
        <f t="shared" si="15"/>
        <v>857493</v>
      </c>
      <c r="AV21" s="492">
        <f t="shared" si="15"/>
        <v>50674</v>
      </c>
      <c r="AW21" s="492">
        <f>N21+AF21</f>
        <v>30820</v>
      </c>
      <c r="AX21" s="493">
        <f>O21+AQ21</f>
        <v>7.99</v>
      </c>
      <c r="AY21" s="493">
        <f t="shared" si="16"/>
        <v>0</v>
      </c>
      <c r="AZ21" s="495">
        <f t="shared" si="16"/>
        <v>7.99</v>
      </c>
    </row>
    <row r="22" spans="1:52" ht="12.95" customHeight="1" x14ac:dyDescent="0.25">
      <c r="A22" s="313">
        <v>3</v>
      </c>
      <c r="B22" s="314">
        <v>4464</v>
      </c>
      <c r="C22" s="314" t="s">
        <v>328</v>
      </c>
      <c r="D22" s="314">
        <v>46750461</v>
      </c>
      <c r="E22" s="316" t="s">
        <v>331</v>
      </c>
      <c r="F22" s="314">
        <v>3143</v>
      </c>
      <c r="G22" s="317" t="s">
        <v>629</v>
      </c>
      <c r="H22" s="317" t="s">
        <v>278</v>
      </c>
      <c r="I22" s="494">
        <v>3503260</v>
      </c>
      <c r="J22" s="489">
        <v>2554103</v>
      </c>
      <c r="K22" s="489">
        <v>26000</v>
      </c>
      <c r="L22" s="489">
        <v>872075</v>
      </c>
      <c r="M22" s="489">
        <v>51082</v>
      </c>
      <c r="N22" s="489">
        <v>0</v>
      </c>
      <c r="O22" s="490">
        <v>4.9954000000000001</v>
      </c>
      <c r="P22" s="491">
        <v>4.9954000000000001</v>
      </c>
      <c r="Q22" s="658">
        <v>0</v>
      </c>
      <c r="R22" s="501">
        <f t="shared" si="1"/>
        <v>0</v>
      </c>
      <c r="S22" s="492">
        <v>0</v>
      </c>
      <c r="T22" s="492">
        <v>0</v>
      </c>
      <c r="U22" s="492">
        <v>0</v>
      </c>
      <c r="V22" s="492">
        <f t="shared" si="2"/>
        <v>0</v>
      </c>
      <c r="W22" s="492">
        <v>0</v>
      </c>
      <c r="X22" s="492">
        <v>0</v>
      </c>
      <c r="Y22" s="492">
        <v>0</v>
      </c>
      <c r="Z22" s="492">
        <f>SUM(W22:Y22)</f>
        <v>0</v>
      </c>
      <c r="AA22" s="492">
        <f>V22+Z22</f>
        <v>0</v>
      </c>
      <c r="AB22" s="74">
        <f>ROUND((V22+W22+X22)*33.8%,0)</f>
        <v>0</v>
      </c>
      <c r="AC22" s="74">
        <f>ROUND(V22*2%,0)</f>
        <v>0</v>
      </c>
      <c r="AD22" s="492">
        <v>0</v>
      </c>
      <c r="AE22" s="492">
        <v>0</v>
      </c>
      <c r="AF22" s="492">
        <f t="shared" si="3"/>
        <v>0</v>
      </c>
      <c r="AG22" s="492">
        <f t="shared" si="4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12"/>
        <v>0</v>
      </c>
      <c r="AP22" s="493">
        <f t="shared" si="13"/>
        <v>0</v>
      </c>
      <c r="AQ22" s="495">
        <f t="shared" si="7"/>
        <v>0</v>
      </c>
      <c r="AR22" s="501">
        <f>I22+AG22</f>
        <v>3503260</v>
      </c>
      <c r="AS22" s="492">
        <f>J22+V22</f>
        <v>2554103</v>
      </c>
      <c r="AT22" s="492">
        <f t="shared" si="14"/>
        <v>26000</v>
      </c>
      <c r="AU22" s="492">
        <f t="shared" si="15"/>
        <v>872075</v>
      </c>
      <c r="AV22" s="492">
        <f t="shared" si="15"/>
        <v>51082</v>
      </c>
      <c r="AW22" s="492">
        <f>N22+AF22</f>
        <v>0</v>
      </c>
      <c r="AX22" s="493">
        <f>O22+AQ22</f>
        <v>4.9954000000000001</v>
      </c>
      <c r="AY22" s="493">
        <f t="shared" si="16"/>
        <v>4.9954000000000001</v>
      </c>
      <c r="AZ22" s="495">
        <f t="shared" si="16"/>
        <v>0</v>
      </c>
    </row>
    <row r="23" spans="1:52" ht="12.95" customHeight="1" x14ac:dyDescent="0.25">
      <c r="A23" s="313">
        <v>3</v>
      </c>
      <c r="B23" s="314">
        <v>4464</v>
      </c>
      <c r="C23" s="314" t="s">
        <v>328</v>
      </c>
      <c r="D23" s="314">
        <v>46750461</v>
      </c>
      <c r="E23" s="316" t="s">
        <v>331</v>
      </c>
      <c r="F23" s="314">
        <v>3143</v>
      </c>
      <c r="G23" s="317" t="s">
        <v>630</v>
      </c>
      <c r="H23" s="317" t="s">
        <v>279</v>
      </c>
      <c r="I23" s="494">
        <v>134568</v>
      </c>
      <c r="J23" s="489">
        <v>95161</v>
      </c>
      <c r="K23" s="489">
        <v>0</v>
      </c>
      <c r="L23" s="489">
        <v>32164</v>
      </c>
      <c r="M23" s="489">
        <v>1903</v>
      </c>
      <c r="N23" s="489">
        <v>5340</v>
      </c>
      <c r="O23" s="490">
        <v>0.37</v>
      </c>
      <c r="P23" s="491">
        <v>0</v>
      </c>
      <c r="Q23" s="658">
        <v>0.37</v>
      </c>
      <c r="R23" s="501">
        <f t="shared" si="1"/>
        <v>0</v>
      </c>
      <c r="S23" s="492">
        <v>0</v>
      </c>
      <c r="T23" s="492">
        <v>0</v>
      </c>
      <c r="U23" s="492">
        <v>0</v>
      </c>
      <c r="V23" s="492">
        <f t="shared" si="2"/>
        <v>0</v>
      </c>
      <c r="W23" s="492">
        <v>0</v>
      </c>
      <c r="X23" s="492">
        <v>0</v>
      </c>
      <c r="Y23" s="492">
        <v>0</v>
      </c>
      <c r="Z23" s="492">
        <f>SUM(W23:Y23)</f>
        <v>0</v>
      </c>
      <c r="AA23" s="492">
        <f>V23+Z23</f>
        <v>0</v>
      </c>
      <c r="AB23" s="74">
        <f>ROUND((V23+W23+X23)*33.8%,0)</f>
        <v>0</v>
      </c>
      <c r="AC23" s="74">
        <f>ROUND(V23*2%,0)</f>
        <v>0</v>
      </c>
      <c r="AD23" s="492">
        <v>0</v>
      </c>
      <c r="AE23" s="492">
        <v>0</v>
      </c>
      <c r="AF23" s="492">
        <f t="shared" si="3"/>
        <v>0</v>
      </c>
      <c r="AG23" s="492">
        <f t="shared" si="4"/>
        <v>0</v>
      </c>
      <c r="AH23" s="493">
        <v>0</v>
      </c>
      <c r="AI23" s="493">
        <v>0</v>
      </c>
      <c r="AJ23" s="493">
        <v>0</v>
      </c>
      <c r="AK23" s="493">
        <v>0</v>
      </c>
      <c r="AL23" s="493">
        <v>0</v>
      </c>
      <c r="AM23" s="493">
        <v>0</v>
      </c>
      <c r="AN23" s="493">
        <v>0</v>
      </c>
      <c r="AO23" s="493">
        <f t="shared" si="12"/>
        <v>0</v>
      </c>
      <c r="AP23" s="493">
        <f t="shared" si="13"/>
        <v>0</v>
      </c>
      <c r="AQ23" s="495">
        <f t="shared" si="7"/>
        <v>0</v>
      </c>
      <c r="AR23" s="501">
        <f>I23+AG23</f>
        <v>134568</v>
      </c>
      <c r="AS23" s="492">
        <f>J23+V23</f>
        <v>95161</v>
      </c>
      <c r="AT23" s="492">
        <f t="shared" si="14"/>
        <v>0</v>
      </c>
      <c r="AU23" s="492">
        <f t="shared" si="15"/>
        <v>32164</v>
      </c>
      <c r="AV23" s="492">
        <f t="shared" si="15"/>
        <v>1903</v>
      </c>
      <c r="AW23" s="492">
        <f>N23+AF23</f>
        <v>5340</v>
      </c>
      <c r="AX23" s="493">
        <f>O23+AQ23</f>
        <v>0.37</v>
      </c>
      <c r="AY23" s="493">
        <f t="shared" si="16"/>
        <v>0</v>
      </c>
      <c r="AZ23" s="495">
        <f t="shared" si="16"/>
        <v>0.37</v>
      </c>
    </row>
    <row r="24" spans="1:52" ht="12.95" customHeight="1" x14ac:dyDescent="0.25">
      <c r="A24" s="306">
        <v>3</v>
      </c>
      <c r="B24" s="308">
        <v>4464</v>
      </c>
      <c r="C24" s="308" t="s">
        <v>328</v>
      </c>
      <c r="D24" s="308">
        <v>46750461</v>
      </c>
      <c r="E24" s="321" t="s">
        <v>332</v>
      </c>
      <c r="F24" s="308"/>
      <c r="G24" s="322"/>
      <c r="H24" s="322"/>
      <c r="I24" s="585">
        <v>48278371</v>
      </c>
      <c r="J24" s="582">
        <v>34844644</v>
      </c>
      <c r="K24" s="582">
        <v>72410</v>
      </c>
      <c r="L24" s="582">
        <v>11801964</v>
      </c>
      <c r="M24" s="582">
        <v>696893</v>
      </c>
      <c r="N24" s="582">
        <v>862460</v>
      </c>
      <c r="O24" s="583">
        <v>66.561900000000009</v>
      </c>
      <c r="P24" s="583">
        <v>48.011899999999997</v>
      </c>
      <c r="Q24" s="323">
        <v>18.55</v>
      </c>
      <c r="R24" s="589">
        <f t="shared" ref="R24:AZ24" si="17">SUM(R19:R23)</f>
        <v>0</v>
      </c>
      <c r="S24" s="582">
        <f t="shared" si="17"/>
        <v>129917</v>
      </c>
      <c r="T24" s="582">
        <f t="shared" si="17"/>
        <v>0</v>
      </c>
      <c r="U24" s="582">
        <f t="shared" si="17"/>
        <v>0</v>
      </c>
      <c r="V24" s="582">
        <f t="shared" si="17"/>
        <v>129917</v>
      </c>
      <c r="W24" s="582">
        <f t="shared" si="17"/>
        <v>0</v>
      </c>
      <c r="X24" s="582">
        <f t="shared" si="17"/>
        <v>0</v>
      </c>
      <c r="Y24" s="582">
        <f t="shared" si="17"/>
        <v>0</v>
      </c>
      <c r="Z24" s="582">
        <f t="shared" si="17"/>
        <v>0</v>
      </c>
      <c r="AA24" s="582">
        <f t="shared" si="17"/>
        <v>129917</v>
      </c>
      <c r="AB24" s="582">
        <f t="shared" si="17"/>
        <v>43912</v>
      </c>
      <c r="AC24" s="582">
        <f t="shared" si="17"/>
        <v>2598</v>
      </c>
      <c r="AD24" s="582">
        <f t="shared" si="17"/>
        <v>0</v>
      </c>
      <c r="AE24" s="582">
        <f t="shared" si="17"/>
        <v>0</v>
      </c>
      <c r="AF24" s="582">
        <f t="shared" si="17"/>
        <v>0</v>
      </c>
      <c r="AG24" s="582">
        <f t="shared" si="17"/>
        <v>176427</v>
      </c>
      <c r="AH24" s="583">
        <f t="shared" si="17"/>
        <v>0</v>
      </c>
      <c r="AI24" s="583">
        <f t="shared" si="17"/>
        <v>0</v>
      </c>
      <c r="AJ24" s="583">
        <f t="shared" si="17"/>
        <v>0.38</v>
      </c>
      <c r="AK24" s="583">
        <f t="shared" si="17"/>
        <v>0</v>
      </c>
      <c r="AL24" s="583">
        <f t="shared" si="17"/>
        <v>0</v>
      </c>
      <c r="AM24" s="583">
        <f t="shared" si="17"/>
        <v>0</v>
      </c>
      <c r="AN24" s="583">
        <f t="shared" si="17"/>
        <v>0</v>
      </c>
      <c r="AO24" s="583">
        <f t="shared" si="17"/>
        <v>0.38</v>
      </c>
      <c r="AP24" s="583">
        <f t="shared" si="17"/>
        <v>0</v>
      </c>
      <c r="AQ24" s="323">
        <f t="shared" si="17"/>
        <v>0.38</v>
      </c>
      <c r="AR24" s="589">
        <f t="shared" si="17"/>
        <v>48454798</v>
      </c>
      <c r="AS24" s="582">
        <f t="shared" si="17"/>
        <v>34974561</v>
      </c>
      <c r="AT24" s="582">
        <f t="shared" si="17"/>
        <v>72410</v>
      </c>
      <c r="AU24" s="582">
        <f t="shared" si="17"/>
        <v>11845876</v>
      </c>
      <c r="AV24" s="582">
        <f t="shared" si="17"/>
        <v>699491</v>
      </c>
      <c r="AW24" s="582">
        <f t="shared" si="17"/>
        <v>862460</v>
      </c>
      <c r="AX24" s="583">
        <f t="shared" si="17"/>
        <v>66.941900000000004</v>
      </c>
      <c r="AY24" s="583">
        <f t="shared" si="17"/>
        <v>48.391899999999993</v>
      </c>
      <c r="AZ24" s="323">
        <f t="shared" si="17"/>
        <v>18.55</v>
      </c>
    </row>
    <row r="25" spans="1:52" ht="12.95" customHeight="1" x14ac:dyDescent="0.25">
      <c r="A25" s="313">
        <v>4</v>
      </c>
      <c r="B25" s="314">
        <v>4457</v>
      </c>
      <c r="C25" s="314">
        <v>600074609</v>
      </c>
      <c r="D25" s="314">
        <v>72743964</v>
      </c>
      <c r="E25" s="316" t="s">
        <v>333</v>
      </c>
      <c r="F25" s="314">
        <v>3117</v>
      </c>
      <c r="G25" s="317" t="s">
        <v>330</v>
      </c>
      <c r="H25" s="317" t="s">
        <v>278</v>
      </c>
      <c r="I25" s="494">
        <v>6784769</v>
      </c>
      <c r="J25" s="489">
        <v>4873681</v>
      </c>
      <c r="K25" s="489">
        <v>19500</v>
      </c>
      <c r="L25" s="489">
        <v>1653895</v>
      </c>
      <c r="M25" s="489">
        <v>97473</v>
      </c>
      <c r="N25" s="489">
        <v>140220</v>
      </c>
      <c r="O25" s="490">
        <v>9.1536000000000008</v>
      </c>
      <c r="P25" s="491">
        <v>6.3635999999999999</v>
      </c>
      <c r="Q25" s="658">
        <v>2.79</v>
      </c>
      <c r="R25" s="501">
        <f t="shared" si="1"/>
        <v>0</v>
      </c>
      <c r="S25" s="492">
        <v>0</v>
      </c>
      <c r="T25" s="492">
        <v>0</v>
      </c>
      <c r="U25" s="492">
        <v>0</v>
      </c>
      <c r="V25" s="492">
        <f t="shared" si="2"/>
        <v>0</v>
      </c>
      <c r="W25" s="492">
        <v>0</v>
      </c>
      <c r="X25" s="492">
        <v>0</v>
      </c>
      <c r="Y25" s="492">
        <v>0</v>
      </c>
      <c r="Z25" s="492">
        <f>SUM(W25:Y25)</f>
        <v>0</v>
      </c>
      <c r="AA25" s="492">
        <f>V25+Z25</f>
        <v>0</v>
      </c>
      <c r="AB25" s="74">
        <f>ROUND((V25+W25+X25)*33.8%,0)</f>
        <v>0</v>
      </c>
      <c r="AC25" s="74">
        <f>ROUND(V25*2%,0)</f>
        <v>0</v>
      </c>
      <c r="AD25" s="492">
        <v>0</v>
      </c>
      <c r="AE25" s="492">
        <v>0</v>
      </c>
      <c r="AF25" s="492">
        <f t="shared" si="3"/>
        <v>0</v>
      </c>
      <c r="AG25" s="492">
        <f t="shared" si="4"/>
        <v>0</v>
      </c>
      <c r="AH25" s="493">
        <v>0</v>
      </c>
      <c r="AI25" s="493">
        <v>0</v>
      </c>
      <c r="AJ25" s="493">
        <v>0</v>
      </c>
      <c r="AK25" s="493">
        <v>0</v>
      </c>
      <c r="AL25" s="493">
        <v>0</v>
      </c>
      <c r="AM25" s="493">
        <v>0</v>
      </c>
      <c r="AN25" s="493">
        <v>0</v>
      </c>
      <c r="AO25" s="493">
        <f t="shared" ref="AO25:AO29" si="18">AH25+AJ25+AK25+AM25</f>
        <v>0</v>
      </c>
      <c r="AP25" s="493">
        <f t="shared" ref="AP25:AP29" si="19">AI25+AN25+AL25</f>
        <v>0</v>
      </c>
      <c r="AQ25" s="495">
        <f t="shared" si="7"/>
        <v>0</v>
      </c>
      <c r="AR25" s="501">
        <f>I25+AG25</f>
        <v>6784769</v>
      </c>
      <c r="AS25" s="492">
        <f>J25+V25</f>
        <v>4873681</v>
      </c>
      <c r="AT25" s="492">
        <f t="shared" ref="AT25:AT29" si="20">K25+Z25</f>
        <v>19500</v>
      </c>
      <c r="AU25" s="492">
        <f t="shared" ref="AU25:AV29" si="21">L25+AB25</f>
        <v>1653895</v>
      </c>
      <c r="AV25" s="492">
        <f t="shared" si="21"/>
        <v>97473</v>
      </c>
      <c r="AW25" s="492">
        <f>N25+AF25</f>
        <v>140220</v>
      </c>
      <c r="AX25" s="493">
        <f>O25+AQ25</f>
        <v>9.1536000000000008</v>
      </c>
      <c r="AY25" s="493">
        <f t="shared" ref="AY25:AZ29" si="22">P25+AO25</f>
        <v>6.3635999999999999</v>
      </c>
      <c r="AZ25" s="495">
        <f t="shared" si="22"/>
        <v>2.79</v>
      </c>
    </row>
    <row r="26" spans="1:52" ht="12.95" customHeight="1" x14ac:dyDescent="0.25">
      <c r="A26" s="313">
        <v>4</v>
      </c>
      <c r="B26" s="314">
        <v>4457</v>
      </c>
      <c r="C26" s="314">
        <v>600074609</v>
      </c>
      <c r="D26" s="314">
        <v>72743964</v>
      </c>
      <c r="E26" s="316" t="s">
        <v>333</v>
      </c>
      <c r="F26" s="314">
        <v>3117</v>
      </c>
      <c r="G26" s="317" t="s">
        <v>320</v>
      </c>
      <c r="H26" s="317" t="s">
        <v>279</v>
      </c>
      <c r="I26" s="494">
        <v>1103056</v>
      </c>
      <c r="J26" s="489">
        <v>812265</v>
      </c>
      <c r="K26" s="489">
        <v>0</v>
      </c>
      <c r="L26" s="489">
        <v>274546</v>
      </c>
      <c r="M26" s="489">
        <v>16245</v>
      </c>
      <c r="N26" s="489">
        <v>0</v>
      </c>
      <c r="O26" s="490">
        <v>2.33</v>
      </c>
      <c r="P26" s="491">
        <v>2.33</v>
      </c>
      <c r="Q26" s="658">
        <v>0</v>
      </c>
      <c r="R26" s="501">
        <f t="shared" si="1"/>
        <v>0</v>
      </c>
      <c r="S26" s="492">
        <v>0</v>
      </c>
      <c r="T26" s="492">
        <v>0</v>
      </c>
      <c r="U26" s="492">
        <v>0</v>
      </c>
      <c r="V26" s="492">
        <f t="shared" si="2"/>
        <v>0</v>
      </c>
      <c r="W26" s="492">
        <v>0</v>
      </c>
      <c r="X26" s="492">
        <v>0</v>
      </c>
      <c r="Y26" s="492">
        <v>0</v>
      </c>
      <c r="Z26" s="492">
        <f>SUM(W26:Y26)</f>
        <v>0</v>
      </c>
      <c r="AA26" s="492">
        <f>V26+Z26</f>
        <v>0</v>
      </c>
      <c r="AB26" s="74">
        <f>ROUND((V26+W26+X26)*33.8%,0)</f>
        <v>0</v>
      </c>
      <c r="AC26" s="74">
        <f>ROUND(V26*2%,0)</f>
        <v>0</v>
      </c>
      <c r="AD26" s="492">
        <v>0</v>
      </c>
      <c r="AE26" s="492">
        <v>0</v>
      </c>
      <c r="AF26" s="492">
        <f t="shared" si="3"/>
        <v>0</v>
      </c>
      <c r="AG26" s="492">
        <f t="shared" si="4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si="18"/>
        <v>0</v>
      </c>
      <c r="AP26" s="493">
        <f t="shared" si="19"/>
        <v>0</v>
      </c>
      <c r="AQ26" s="495">
        <f t="shared" si="7"/>
        <v>0</v>
      </c>
      <c r="AR26" s="501">
        <f>I26+AG26</f>
        <v>1103056</v>
      </c>
      <c r="AS26" s="492">
        <f>J26+V26</f>
        <v>812265</v>
      </c>
      <c r="AT26" s="492">
        <f t="shared" si="20"/>
        <v>0</v>
      </c>
      <c r="AU26" s="492">
        <f t="shared" si="21"/>
        <v>274546</v>
      </c>
      <c r="AV26" s="492">
        <f t="shared" si="21"/>
        <v>16245</v>
      </c>
      <c r="AW26" s="492">
        <f>N26+AF26</f>
        <v>0</v>
      </c>
      <c r="AX26" s="493">
        <f>O26+AQ26</f>
        <v>2.33</v>
      </c>
      <c r="AY26" s="493">
        <f t="shared" si="22"/>
        <v>2.33</v>
      </c>
      <c r="AZ26" s="495">
        <f t="shared" si="22"/>
        <v>0</v>
      </c>
    </row>
    <row r="27" spans="1:52" ht="12.95" customHeight="1" x14ac:dyDescent="0.25">
      <c r="A27" s="313">
        <v>4</v>
      </c>
      <c r="B27" s="314">
        <v>4457</v>
      </c>
      <c r="C27" s="314">
        <v>600074609</v>
      </c>
      <c r="D27" s="314">
        <v>72743964</v>
      </c>
      <c r="E27" s="316" t="s">
        <v>333</v>
      </c>
      <c r="F27" s="314">
        <v>3141</v>
      </c>
      <c r="G27" s="317" t="s">
        <v>316</v>
      </c>
      <c r="H27" s="317" t="s">
        <v>279</v>
      </c>
      <c r="I27" s="494">
        <v>285106</v>
      </c>
      <c r="J27" s="489">
        <v>207847</v>
      </c>
      <c r="K27" s="489">
        <v>0</v>
      </c>
      <c r="L27" s="489">
        <v>70252</v>
      </c>
      <c r="M27" s="489">
        <v>4157</v>
      </c>
      <c r="N27" s="489">
        <v>2850</v>
      </c>
      <c r="O27" s="490">
        <v>0.65</v>
      </c>
      <c r="P27" s="491">
        <v>0</v>
      </c>
      <c r="Q27" s="658">
        <v>0.65</v>
      </c>
      <c r="R27" s="501">
        <f t="shared" si="1"/>
        <v>0</v>
      </c>
      <c r="S27" s="492">
        <v>0</v>
      </c>
      <c r="T27" s="492">
        <v>0</v>
      </c>
      <c r="U27" s="492">
        <v>0</v>
      </c>
      <c r="V27" s="492">
        <f t="shared" si="2"/>
        <v>0</v>
      </c>
      <c r="W27" s="492">
        <v>0</v>
      </c>
      <c r="X27" s="492">
        <v>0</v>
      </c>
      <c r="Y27" s="492">
        <v>0</v>
      </c>
      <c r="Z27" s="492">
        <f>SUM(W27:Y27)</f>
        <v>0</v>
      </c>
      <c r="AA27" s="492">
        <f>V27+Z27</f>
        <v>0</v>
      </c>
      <c r="AB27" s="74">
        <f>ROUND((V27+W27+X27)*33.8%,0)</f>
        <v>0</v>
      </c>
      <c r="AC27" s="74">
        <f>ROUND(V27*2%,0)</f>
        <v>0</v>
      </c>
      <c r="AD27" s="492">
        <v>0</v>
      </c>
      <c r="AE27" s="492">
        <v>0</v>
      </c>
      <c r="AF27" s="492">
        <f t="shared" si="3"/>
        <v>0</v>
      </c>
      <c r="AG27" s="492">
        <f t="shared" si="4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si="18"/>
        <v>0</v>
      </c>
      <c r="AP27" s="493">
        <f t="shared" si="19"/>
        <v>0</v>
      </c>
      <c r="AQ27" s="495">
        <f t="shared" si="7"/>
        <v>0</v>
      </c>
      <c r="AR27" s="501">
        <f>I27+AG27</f>
        <v>285106</v>
      </c>
      <c r="AS27" s="492">
        <f>J27+V27</f>
        <v>207847</v>
      </c>
      <c r="AT27" s="492">
        <f t="shared" si="20"/>
        <v>0</v>
      </c>
      <c r="AU27" s="492">
        <f t="shared" si="21"/>
        <v>70252</v>
      </c>
      <c r="AV27" s="492">
        <f t="shared" si="21"/>
        <v>4157</v>
      </c>
      <c r="AW27" s="492">
        <f>N27+AF27</f>
        <v>2850</v>
      </c>
      <c r="AX27" s="493">
        <f>O27+AQ27</f>
        <v>0.65</v>
      </c>
      <c r="AY27" s="493">
        <f t="shared" si="22"/>
        <v>0</v>
      </c>
      <c r="AZ27" s="495">
        <f t="shared" si="22"/>
        <v>0.65</v>
      </c>
    </row>
    <row r="28" spans="1:52" ht="12.95" customHeight="1" x14ac:dyDescent="0.25">
      <c r="A28" s="313">
        <v>4</v>
      </c>
      <c r="B28" s="314">
        <v>4457</v>
      </c>
      <c r="C28" s="314">
        <v>600074609</v>
      </c>
      <c r="D28" s="314">
        <v>72743964</v>
      </c>
      <c r="E28" s="316" t="s">
        <v>333</v>
      </c>
      <c r="F28" s="314">
        <v>3143</v>
      </c>
      <c r="G28" s="317" t="s">
        <v>629</v>
      </c>
      <c r="H28" s="317" t="s">
        <v>278</v>
      </c>
      <c r="I28" s="494">
        <v>1321583</v>
      </c>
      <c r="J28" s="489">
        <v>973183</v>
      </c>
      <c r="K28" s="489">
        <v>0</v>
      </c>
      <c r="L28" s="489">
        <v>328936</v>
      </c>
      <c r="M28" s="489">
        <v>19464</v>
      </c>
      <c r="N28" s="489">
        <v>0</v>
      </c>
      <c r="O28" s="490">
        <v>2.0356000000000001</v>
      </c>
      <c r="P28" s="491">
        <v>2.0356000000000001</v>
      </c>
      <c r="Q28" s="658">
        <v>0</v>
      </c>
      <c r="R28" s="501">
        <f t="shared" si="1"/>
        <v>0</v>
      </c>
      <c r="S28" s="492">
        <v>0</v>
      </c>
      <c r="T28" s="492">
        <v>0</v>
      </c>
      <c r="U28" s="492">
        <v>0</v>
      </c>
      <c r="V28" s="492">
        <f t="shared" si="2"/>
        <v>0</v>
      </c>
      <c r="W28" s="492">
        <v>0</v>
      </c>
      <c r="X28" s="492">
        <v>0</v>
      </c>
      <c r="Y28" s="492">
        <v>0</v>
      </c>
      <c r="Z28" s="492">
        <f>SUM(W28:Y28)</f>
        <v>0</v>
      </c>
      <c r="AA28" s="492">
        <f>V28+Z28</f>
        <v>0</v>
      </c>
      <c r="AB28" s="74">
        <f>ROUND((V28+W28+X28)*33.8%,0)</f>
        <v>0</v>
      </c>
      <c r="AC28" s="74">
        <f>ROUND(V28*2%,0)</f>
        <v>0</v>
      </c>
      <c r="AD28" s="492">
        <v>0</v>
      </c>
      <c r="AE28" s="492">
        <v>0</v>
      </c>
      <c r="AF28" s="492">
        <f t="shared" si="3"/>
        <v>0</v>
      </c>
      <c r="AG28" s="492">
        <f t="shared" si="4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si="18"/>
        <v>0</v>
      </c>
      <c r="AP28" s="493">
        <f t="shared" si="19"/>
        <v>0</v>
      </c>
      <c r="AQ28" s="495">
        <f t="shared" si="7"/>
        <v>0</v>
      </c>
      <c r="AR28" s="501">
        <f>I28+AG28</f>
        <v>1321583</v>
      </c>
      <c r="AS28" s="492">
        <f>J28+V28</f>
        <v>973183</v>
      </c>
      <c r="AT28" s="492">
        <f t="shared" si="20"/>
        <v>0</v>
      </c>
      <c r="AU28" s="492">
        <f t="shared" si="21"/>
        <v>328936</v>
      </c>
      <c r="AV28" s="492">
        <f t="shared" si="21"/>
        <v>19464</v>
      </c>
      <c r="AW28" s="492">
        <f>N28+AF28</f>
        <v>0</v>
      </c>
      <c r="AX28" s="493">
        <f>O28+AQ28</f>
        <v>2.0356000000000001</v>
      </c>
      <c r="AY28" s="493">
        <f t="shared" si="22"/>
        <v>2.0356000000000001</v>
      </c>
      <c r="AZ28" s="495">
        <f t="shared" si="22"/>
        <v>0</v>
      </c>
    </row>
    <row r="29" spans="1:52" ht="12.95" customHeight="1" x14ac:dyDescent="0.25">
      <c r="A29" s="313">
        <v>4</v>
      </c>
      <c r="B29" s="314">
        <v>4457</v>
      </c>
      <c r="C29" s="314">
        <v>600074609</v>
      </c>
      <c r="D29" s="314">
        <v>72743964</v>
      </c>
      <c r="E29" s="316" t="s">
        <v>333</v>
      </c>
      <c r="F29" s="314">
        <v>3143</v>
      </c>
      <c r="G29" s="317" t="s">
        <v>630</v>
      </c>
      <c r="H29" s="317" t="s">
        <v>279</v>
      </c>
      <c r="I29" s="494">
        <v>37044</v>
      </c>
      <c r="J29" s="489">
        <v>26196</v>
      </c>
      <c r="K29" s="489">
        <v>0</v>
      </c>
      <c r="L29" s="489">
        <v>8854</v>
      </c>
      <c r="M29" s="489">
        <v>524</v>
      </c>
      <c r="N29" s="489">
        <v>1470</v>
      </c>
      <c r="O29" s="490">
        <v>0.1</v>
      </c>
      <c r="P29" s="491">
        <v>0</v>
      </c>
      <c r="Q29" s="658">
        <v>0.1</v>
      </c>
      <c r="R29" s="501">
        <f t="shared" si="1"/>
        <v>0</v>
      </c>
      <c r="S29" s="492">
        <v>0</v>
      </c>
      <c r="T29" s="492">
        <v>0</v>
      </c>
      <c r="U29" s="492">
        <v>0</v>
      </c>
      <c r="V29" s="492">
        <f t="shared" si="2"/>
        <v>0</v>
      </c>
      <c r="W29" s="492">
        <v>0</v>
      </c>
      <c r="X29" s="492">
        <v>0</v>
      </c>
      <c r="Y29" s="492">
        <v>0</v>
      </c>
      <c r="Z29" s="492">
        <f>SUM(W29:Y29)</f>
        <v>0</v>
      </c>
      <c r="AA29" s="492">
        <f>V29+Z29</f>
        <v>0</v>
      </c>
      <c r="AB29" s="74">
        <f>ROUND((V29+W29+X29)*33.8%,0)</f>
        <v>0</v>
      </c>
      <c r="AC29" s="74">
        <f>ROUND(V29*2%,0)</f>
        <v>0</v>
      </c>
      <c r="AD29" s="492">
        <v>0</v>
      </c>
      <c r="AE29" s="492">
        <v>0</v>
      </c>
      <c r="AF29" s="492">
        <f t="shared" si="3"/>
        <v>0</v>
      </c>
      <c r="AG29" s="492">
        <f t="shared" si="4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18"/>
        <v>0</v>
      </c>
      <c r="AP29" s="493">
        <f t="shared" si="19"/>
        <v>0</v>
      </c>
      <c r="AQ29" s="495">
        <f t="shared" si="7"/>
        <v>0</v>
      </c>
      <c r="AR29" s="501">
        <f>I29+AG29</f>
        <v>37044</v>
      </c>
      <c r="AS29" s="492">
        <f>J29+V29</f>
        <v>26196</v>
      </c>
      <c r="AT29" s="492">
        <f t="shared" si="20"/>
        <v>0</v>
      </c>
      <c r="AU29" s="492">
        <f t="shared" si="21"/>
        <v>8854</v>
      </c>
      <c r="AV29" s="492">
        <f t="shared" si="21"/>
        <v>524</v>
      </c>
      <c r="AW29" s="492">
        <f>N29+AF29</f>
        <v>1470</v>
      </c>
      <c r="AX29" s="493">
        <f>O29+AQ29</f>
        <v>0.1</v>
      </c>
      <c r="AY29" s="493">
        <f t="shared" si="22"/>
        <v>0</v>
      </c>
      <c r="AZ29" s="495">
        <f t="shared" si="22"/>
        <v>0.1</v>
      </c>
    </row>
    <row r="30" spans="1:52" ht="12.95" customHeight="1" x14ac:dyDescent="0.25">
      <c r="A30" s="306">
        <v>4</v>
      </c>
      <c r="B30" s="308">
        <v>4457</v>
      </c>
      <c r="C30" s="308">
        <v>600074609</v>
      </c>
      <c r="D30" s="308">
        <v>72743964</v>
      </c>
      <c r="E30" s="321" t="s">
        <v>334</v>
      </c>
      <c r="F30" s="324"/>
      <c r="G30" s="325"/>
      <c r="H30" s="325"/>
      <c r="I30" s="585">
        <v>9531558</v>
      </c>
      <c r="J30" s="582">
        <v>6893172</v>
      </c>
      <c r="K30" s="582">
        <v>19500</v>
      </c>
      <c r="L30" s="582">
        <v>2336483</v>
      </c>
      <c r="M30" s="582">
        <v>137863</v>
      </c>
      <c r="N30" s="582">
        <v>144540</v>
      </c>
      <c r="O30" s="583">
        <v>14.269200000000001</v>
      </c>
      <c r="P30" s="583">
        <v>10.729200000000001</v>
      </c>
      <c r="Q30" s="323">
        <v>3.54</v>
      </c>
      <c r="R30" s="589">
        <f t="shared" ref="R30:AZ30" si="23">SUM(R25:R29)</f>
        <v>0</v>
      </c>
      <c r="S30" s="582">
        <f t="shared" si="23"/>
        <v>0</v>
      </c>
      <c r="T30" s="582">
        <f t="shared" si="23"/>
        <v>0</v>
      </c>
      <c r="U30" s="582">
        <f t="shared" si="23"/>
        <v>0</v>
      </c>
      <c r="V30" s="582">
        <f t="shared" si="23"/>
        <v>0</v>
      </c>
      <c r="W30" s="582">
        <f t="shared" si="23"/>
        <v>0</v>
      </c>
      <c r="X30" s="582">
        <f t="shared" si="23"/>
        <v>0</v>
      </c>
      <c r="Y30" s="582">
        <f t="shared" si="23"/>
        <v>0</v>
      </c>
      <c r="Z30" s="582">
        <f t="shared" si="23"/>
        <v>0</v>
      </c>
      <c r="AA30" s="582">
        <f t="shared" si="23"/>
        <v>0</v>
      </c>
      <c r="AB30" s="582">
        <f t="shared" si="23"/>
        <v>0</v>
      </c>
      <c r="AC30" s="582">
        <f t="shared" si="23"/>
        <v>0</v>
      </c>
      <c r="AD30" s="582">
        <f t="shared" si="23"/>
        <v>0</v>
      </c>
      <c r="AE30" s="582">
        <f t="shared" si="23"/>
        <v>0</v>
      </c>
      <c r="AF30" s="582">
        <f t="shared" si="23"/>
        <v>0</v>
      </c>
      <c r="AG30" s="582">
        <f t="shared" si="23"/>
        <v>0</v>
      </c>
      <c r="AH30" s="583">
        <f t="shared" si="23"/>
        <v>0</v>
      </c>
      <c r="AI30" s="583">
        <f t="shared" si="23"/>
        <v>0</v>
      </c>
      <c r="AJ30" s="583">
        <f t="shared" si="23"/>
        <v>0</v>
      </c>
      <c r="AK30" s="583">
        <f t="shared" si="23"/>
        <v>0</v>
      </c>
      <c r="AL30" s="583">
        <f t="shared" si="23"/>
        <v>0</v>
      </c>
      <c r="AM30" s="583">
        <f t="shared" si="23"/>
        <v>0</v>
      </c>
      <c r="AN30" s="583">
        <f t="shared" si="23"/>
        <v>0</v>
      </c>
      <c r="AO30" s="583">
        <f t="shared" si="23"/>
        <v>0</v>
      </c>
      <c r="AP30" s="583">
        <f t="shared" si="23"/>
        <v>0</v>
      </c>
      <c r="AQ30" s="323">
        <f t="shared" si="23"/>
        <v>0</v>
      </c>
      <c r="AR30" s="589">
        <f t="shared" si="23"/>
        <v>9531558</v>
      </c>
      <c r="AS30" s="582">
        <f t="shared" si="23"/>
        <v>6893172</v>
      </c>
      <c r="AT30" s="582">
        <f t="shared" si="23"/>
        <v>19500</v>
      </c>
      <c r="AU30" s="582">
        <f t="shared" si="23"/>
        <v>2336483</v>
      </c>
      <c r="AV30" s="582">
        <f t="shared" si="23"/>
        <v>137863</v>
      </c>
      <c r="AW30" s="582">
        <f t="shared" si="23"/>
        <v>144540</v>
      </c>
      <c r="AX30" s="583">
        <f t="shared" si="23"/>
        <v>14.269200000000001</v>
      </c>
      <c r="AY30" s="583">
        <f t="shared" si="23"/>
        <v>10.729200000000001</v>
      </c>
      <c r="AZ30" s="323">
        <f t="shared" si="23"/>
        <v>3.54</v>
      </c>
    </row>
    <row r="31" spans="1:52" ht="12.95" customHeight="1" x14ac:dyDescent="0.25">
      <c r="A31" s="313">
        <v>5</v>
      </c>
      <c r="B31" s="314">
        <v>4456</v>
      </c>
      <c r="C31" s="314">
        <v>600074617</v>
      </c>
      <c r="D31" s="314">
        <v>68430132</v>
      </c>
      <c r="E31" s="316" t="s">
        <v>335</v>
      </c>
      <c r="F31" s="314">
        <v>3113</v>
      </c>
      <c r="G31" s="317" t="s">
        <v>330</v>
      </c>
      <c r="H31" s="317" t="s">
        <v>278</v>
      </c>
      <c r="I31" s="494">
        <v>42646165</v>
      </c>
      <c r="J31" s="489">
        <v>30578854</v>
      </c>
      <c r="K31" s="489">
        <v>149500</v>
      </c>
      <c r="L31" s="489">
        <v>10386184</v>
      </c>
      <c r="M31" s="489">
        <v>611577</v>
      </c>
      <c r="N31" s="489">
        <v>920050</v>
      </c>
      <c r="O31" s="490">
        <v>54.858899999999998</v>
      </c>
      <c r="P31" s="491">
        <v>43.954000000000001</v>
      </c>
      <c r="Q31" s="658">
        <v>10.9049</v>
      </c>
      <c r="R31" s="501">
        <f t="shared" si="1"/>
        <v>0</v>
      </c>
      <c r="S31" s="492">
        <v>0</v>
      </c>
      <c r="T31" s="492">
        <v>0</v>
      </c>
      <c r="U31" s="492">
        <v>0</v>
      </c>
      <c r="V31" s="492">
        <f t="shared" si="2"/>
        <v>0</v>
      </c>
      <c r="W31" s="492">
        <v>0</v>
      </c>
      <c r="X31" s="492">
        <v>0</v>
      </c>
      <c r="Y31" s="492">
        <v>0</v>
      </c>
      <c r="Z31" s="492">
        <f>SUM(W31:Y31)</f>
        <v>0</v>
      </c>
      <c r="AA31" s="492">
        <f>V31+Z31</f>
        <v>0</v>
      </c>
      <c r="AB31" s="74">
        <f>ROUND((V31+W31+X31)*33.8%,0)</f>
        <v>0</v>
      </c>
      <c r="AC31" s="74">
        <f>ROUND(V31*2%,0)</f>
        <v>0</v>
      </c>
      <c r="AD31" s="492">
        <v>0</v>
      </c>
      <c r="AE31" s="492">
        <v>0</v>
      </c>
      <c r="AF31" s="492">
        <f t="shared" si="3"/>
        <v>0</v>
      </c>
      <c r="AG31" s="492">
        <f t="shared" si="4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ref="AO31:AO35" si="24">AH31+AJ31+AK31+AM31</f>
        <v>0</v>
      </c>
      <c r="AP31" s="493">
        <f t="shared" ref="AP31:AP35" si="25">AI31+AN31+AL31</f>
        <v>0</v>
      </c>
      <c r="AQ31" s="495">
        <f t="shared" si="7"/>
        <v>0</v>
      </c>
      <c r="AR31" s="501">
        <f>I31+AG31</f>
        <v>42646165</v>
      </c>
      <c r="AS31" s="492">
        <f>J31+V31</f>
        <v>30578854</v>
      </c>
      <c r="AT31" s="492">
        <f t="shared" ref="AT31:AT35" si="26">K31+Z31</f>
        <v>149500</v>
      </c>
      <c r="AU31" s="492">
        <f t="shared" ref="AU31:AV35" si="27">L31+AB31</f>
        <v>10386184</v>
      </c>
      <c r="AV31" s="492">
        <f t="shared" si="27"/>
        <v>611577</v>
      </c>
      <c r="AW31" s="492">
        <f>N31+AF31</f>
        <v>920050</v>
      </c>
      <c r="AX31" s="493">
        <f>O31+AQ31</f>
        <v>54.858899999999998</v>
      </c>
      <c r="AY31" s="493">
        <f t="shared" ref="AY31:AZ35" si="28">P31+AO31</f>
        <v>43.954000000000001</v>
      </c>
      <c r="AZ31" s="495">
        <f t="shared" si="28"/>
        <v>10.9049</v>
      </c>
    </row>
    <row r="32" spans="1:52" ht="12.95" customHeight="1" x14ac:dyDescent="0.25">
      <c r="A32" s="313">
        <v>5</v>
      </c>
      <c r="B32" s="314">
        <v>4456</v>
      </c>
      <c r="C32" s="314">
        <v>600074617</v>
      </c>
      <c r="D32" s="314">
        <v>68430132</v>
      </c>
      <c r="E32" s="316" t="s">
        <v>335</v>
      </c>
      <c r="F32" s="314">
        <v>3113</v>
      </c>
      <c r="G32" s="317" t="s">
        <v>320</v>
      </c>
      <c r="H32" s="317" t="s">
        <v>279</v>
      </c>
      <c r="I32" s="494">
        <v>2968935</v>
      </c>
      <c r="J32" s="489">
        <v>2182758</v>
      </c>
      <c r="K32" s="489">
        <v>0</v>
      </c>
      <c r="L32" s="489">
        <v>737772</v>
      </c>
      <c r="M32" s="489">
        <v>43655</v>
      </c>
      <c r="N32" s="489">
        <v>4750</v>
      </c>
      <c r="O32" s="490">
        <v>6.37</v>
      </c>
      <c r="P32" s="491">
        <v>6.37</v>
      </c>
      <c r="Q32" s="658">
        <v>0</v>
      </c>
      <c r="R32" s="501">
        <f t="shared" si="1"/>
        <v>0</v>
      </c>
      <c r="S32" s="492">
        <v>0</v>
      </c>
      <c r="T32" s="492">
        <v>0</v>
      </c>
      <c r="U32" s="492">
        <v>0</v>
      </c>
      <c r="V32" s="492">
        <f t="shared" si="2"/>
        <v>0</v>
      </c>
      <c r="W32" s="492">
        <v>0</v>
      </c>
      <c r="X32" s="492">
        <v>0</v>
      </c>
      <c r="Y32" s="492">
        <v>0</v>
      </c>
      <c r="Z32" s="492">
        <f>SUM(W32:Y32)</f>
        <v>0</v>
      </c>
      <c r="AA32" s="492">
        <f>V32+Z32</f>
        <v>0</v>
      </c>
      <c r="AB32" s="74">
        <f>ROUND((V32+W32+X32)*33.8%,0)</f>
        <v>0</v>
      </c>
      <c r="AC32" s="74">
        <f>ROUND(V32*2%,0)</f>
        <v>0</v>
      </c>
      <c r="AD32" s="492">
        <v>0</v>
      </c>
      <c r="AE32" s="492">
        <v>0</v>
      </c>
      <c r="AF32" s="492">
        <f t="shared" si="3"/>
        <v>0</v>
      </c>
      <c r="AG32" s="492">
        <f t="shared" si="4"/>
        <v>0</v>
      </c>
      <c r="AH32" s="493">
        <v>0</v>
      </c>
      <c r="AI32" s="493">
        <v>0</v>
      </c>
      <c r="AJ32" s="493">
        <v>0</v>
      </c>
      <c r="AK32" s="493">
        <v>0</v>
      </c>
      <c r="AL32" s="493">
        <v>0</v>
      </c>
      <c r="AM32" s="493">
        <v>0</v>
      </c>
      <c r="AN32" s="493">
        <v>0</v>
      </c>
      <c r="AO32" s="493">
        <f t="shared" si="24"/>
        <v>0</v>
      </c>
      <c r="AP32" s="493">
        <f t="shared" si="25"/>
        <v>0</v>
      </c>
      <c r="AQ32" s="495">
        <f t="shared" si="7"/>
        <v>0</v>
      </c>
      <c r="AR32" s="501">
        <f>I32+AG32</f>
        <v>2968935</v>
      </c>
      <c r="AS32" s="492">
        <f>J32+V32</f>
        <v>2182758</v>
      </c>
      <c r="AT32" s="492">
        <f t="shared" si="26"/>
        <v>0</v>
      </c>
      <c r="AU32" s="492">
        <f t="shared" si="27"/>
        <v>737772</v>
      </c>
      <c r="AV32" s="492">
        <f t="shared" si="27"/>
        <v>43655</v>
      </c>
      <c r="AW32" s="492">
        <f>N32+AF32</f>
        <v>4750</v>
      </c>
      <c r="AX32" s="493">
        <f>O32+AQ32</f>
        <v>6.37</v>
      </c>
      <c r="AY32" s="493">
        <f t="shared" si="28"/>
        <v>6.37</v>
      </c>
      <c r="AZ32" s="495">
        <f t="shared" si="28"/>
        <v>0</v>
      </c>
    </row>
    <row r="33" spans="1:52" ht="12.95" customHeight="1" x14ac:dyDescent="0.25">
      <c r="A33" s="313">
        <v>5</v>
      </c>
      <c r="B33" s="314">
        <v>4456</v>
      </c>
      <c r="C33" s="314">
        <v>600074617</v>
      </c>
      <c r="D33" s="314">
        <v>68430132</v>
      </c>
      <c r="E33" s="316" t="s">
        <v>335</v>
      </c>
      <c r="F33" s="314">
        <v>3141</v>
      </c>
      <c r="G33" s="317" t="s">
        <v>316</v>
      </c>
      <c r="H33" s="317" t="s">
        <v>279</v>
      </c>
      <c r="I33" s="494">
        <v>4321347</v>
      </c>
      <c r="J33" s="489">
        <v>3154266</v>
      </c>
      <c r="K33" s="489">
        <v>0</v>
      </c>
      <c r="L33" s="489">
        <v>1066142</v>
      </c>
      <c r="M33" s="489">
        <v>63085</v>
      </c>
      <c r="N33" s="489">
        <v>37854</v>
      </c>
      <c r="O33" s="490">
        <v>9.93</v>
      </c>
      <c r="P33" s="491">
        <v>0</v>
      </c>
      <c r="Q33" s="658">
        <v>9.93</v>
      </c>
      <c r="R33" s="501">
        <f t="shared" si="1"/>
        <v>0</v>
      </c>
      <c r="S33" s="492">
        <v>0</v>
      </c>
      <c r="T33" s="492">
        <v>0</v>
      </c>
      <c r="U33" s="492">
        <v>0</v>
      </c>
      <c r="V33" s="492">
        <f t="shared" si="2"/>
        <v>0</v>
      </c>
      <c r="W33" s="492">
        <v>0</v>
      </c>
      <c r="X33" s="492">
        <v>0</v>
      </c>
      <c r="Y33" s="492">
        <v>0</v>
      </c>
      <c r="Z33" s="492">
        <f>SUM(W33:Y33)</f>
        <v>0</v>
      </c>
      <c r="AA33" s="492">
        <f>V33+Z33</f>
        <v>0</v>
      </c>
      <c r="AB33" s="74">
        <f>ROUND((V33+W33+X33)*33.8%,0)</f>
        <v>0</v>
      </c>
      <c r="AC33" s="74">
        <f>ROUND(V33*2%,0)</f>
        <v>0</v>
      </c>
      <c r="AD33" s="492">
        <v>0</v>
      </c>
      <c r="AE33" s="492">
        <v>0</v>
      </c>
      <c r="AF33" s="492">
        <f t="shared" si="3"/>
        <v>0</v>
      </c>
      <c r="AG33" s="492">
        <f t="shared" si="4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si="24"/>
        <v>0</v>
      </c>
      <c r="AP33" s="493">
        <f t="shared" si="25"/>
        <v>0</v>
      </c>
      <c r="AQ33" s="495">
        <f t="shared" si="7"/>
        <v>0</v>
      </c>
      <c r="AR33" s="501">
        <f>I33+AG33</f>
        <v>4321347</v>
      </c>
      <c r="AS33" s="492">
        <f>J33+V33</f>
        <v>3154266</v>
      </c>
      <c r="AT33" s="492">
        <f t="shared" si="26"/>
        <v>0</v>
      </c>
      <c r="AU33" s="492">
        <f t="shared" si="27"/>
        <v>1066142</v>
      </c>
      <c r="AV33" s="492">
        <f t="shared" si="27"/>
        <v>63085</v>
      </c>
      <c r="AW33" s="492">
        <f>N33+AF33</f>
        <v>37854</v>
      </c>
      <c r="AX33" s="493">
        <f>O33+AQ33</f>
        <v>9.93</v>
      </c>
      <c r="AY33" s="493">
        <f t="shared" si="28"/>
        <v>0</v>
      </c>
      <c r="AZ33" s="495">
        <f t="shared" si="28"/>
        <v>9.93</v>
      </c>
    </row>
    <row r="34" spans="1:52" ht="12.95" customHeight="1" x14ac:dyDescent="0.25">
      <c r="A34" s="313">
        <v>5</v>
      </c>
      <c r="B34" s="314">
        <v>4456</v>
      </c>
      <c r="C34" s="314">
        <v>600074617</v>
      </c>
      <c r="D34" s="314">
        <v>68430132</v>
      </c>
      <c r="E34" s="316" t="s">
        <v>335</v>
      </c>
      <c r="F34" s="314">
        <v>3143</v>
      </c>
      <c r="G34" s="317" t="s">
        <v>629</v>
      </c>
      <c r="H34" s="317" t="s">
        <v>278</v>
      </c>
      <c r="I34" s="494">
        <v>3142551</v>
      </c>
      <c r="J34" s="489">
        <v>2304496</v>
      </c>
      <c r="K34" s="489">
        <v>9750</v>
      </c>
      <c r="L34" s="489">
        <v>782215</v>
      </c>
      <c r="M34" s="489">
        <v>46090</v>
      </c>
      <c r="N34" s="489">
        <v>0</v>
      </c>
      <c r="O34" s="490">
        <v>4.3929999999999998</v>
      </c>
      <c r="P34" s="491">
        <v>4.3929999999999998</v>
      </c>
      <c r="Q34" s="658">
        <v>0</v>
      </c>
      <c r="R34" s="501">
        <f t="shared" si="1"/>
        <v>0</v>
      </c>
      <c r="S34" s="492">
        <v>0</v>
      </c>
      <c r="T34" s="492">
        <v>0</v>
      </c>
      <c r="U34" s="492">
        <v>0</v>
      </c>
      <c r="V34" s="492">
        <f t="shared" si="2"/>
        <v>0</v>
      </c>
      <c r="W34" s="492">
        <v>0</v>
      </c>
      <c r="X34" s="492">
        <v>0</v>
      </c>
      <c r="Y34" s="492">
        <v>0</v>
      </c>
      <c r="Z34" s="492">
        <f>SUM(W34:Y34)</f>
        <v>0</v>
      </c>
      <c r="AA34" s="492">
        <f>V34+Z34</f>
        <v>0</v>
      </c>
      <c r="AB34" s="74">
        <f>ROUND((V34+W34+X34)*33.8%,0)</f>
        <v>0</v>
      </c>
      <c r="AC34" s="74">
        <f>ROUND(V34*2%,0)</f>
        <v>0</v>
      </c>
      <c r="AD34" s="492">
        <v>0</v>
      </c>
      <c r="AE34" s="492">
        <v>0</v>
      </c>
      <c r="AF34" s="492">
        <f t="shared" si="3"/>
        <v>0</v>
      </c>
      <c r="AG34" s="492">
        <f t="shared" si="4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24"/>
        <v>0</v>
      </c>
      <c r="AP34" s="493">
        <f t="shared" si="25"/>
        <v>0</v>
      </c>
      <c r="AQ34" s="495">
        <f t="shared" si="7"/>
        <v>0</v>
      </c>
      <c r="AR34" s="501">
        <f>I34+AG34</f>
        <v>3142551</v>
      </c>
      <c r="AS34" s="492">
        <f>J34+V34</f>
        <v>2304496</v>
      </c>
      <c r="AT34" s="492">
        <f t="shared" si="26"/>
        <v>9750</v>
      </c>
      <c r="AU34" s="492">
        <f t="shared" si="27"/>
        <v>782215</v>
      </c>
      <c r="AV34" s="492">
        <f t="shared" si="27"/>
        <v>46090</v>
      </c>
      <c r="AW34" s="492">
        <f>N34+AF34</f>
        <v>0</v>
      </c>
      <c r="AX34" s="493">
        <f>O34+AQ34</f>
        <v>4.3929999999999998</v>
      </c>
      <c r="AY34" s="493">
        <f t="shared" si="28"/>
        <v>4.3929999999999998</v>
      </c>
      <c r="AZ34" s="495">
        <f t="shared" si="28"/>
        <v>0</v>
      </c>
    </row>
    <row r="35" spans="1:52" ht="12.95" customHeight="1" x14ac:dyDescent="0.25">
      <c r="A35" s="313">
        <v>5</v>
      </c>
      <c r="B35" s="314">
        <v>4456</v>
      </c>
      <c r="C35" s="314">
        <v>600074617</v>
      </c>
      <c r="D35" s="314">
        <v>68430132</v>
      </c>
      <c r="E35" s="316" t="s">
        <v>335</v>
      </c>
      <c r="F35" s="314">
        <v>3143</v>
      </c>
      <c r="G35" s="317" t="s">
        <v>630</v>
      </c>
      <c r="H35" s="317" t="s">
        <v>279</v>
      </c>
      <c r="I35" s="494">
        <v>111887</v>
      </c>
      <c r="J35" s="489">
        <v>79122</v>
      </c>
      <c r="K35" s="489">
        <v>0</v>
      </c>
      <c r="L35" s="489">
        <v>26743</v>
      </c>
      <c r="M35" s="489">
        <v>1582</v>
      </c>
      <c r="N35" s="489">
        <v>4440</v>
      </c>
      <c r="O35" s="490">
        <v>0.31</v>
      </c>
      <c r="P35" s="491">
        <v>0</v>
      </c>
      <c r="Q35" s="658">
        <v>0.31</v>
      </c>
      <c r="R35" s="501">
        <f t="shared" si="1"/>
        <v>0</v>
      </c>
      <c r="S35" s="492">
        <v>0</v>
      </c>
      <c r="T35" s="492">
        <v>0</v>
      </c>
      <c r="U35" s="492">
        <v>0</v>
      </c>
      <c r="V35" s="492">
        <f t="shared" si="2"/>
        <v>0</v>
      </c>
      <c r="W35" s="492">
        <v>0</v>
      </c>
      <c r="X35" s="492">
        <v>0</v>
      </c>
      <c r="Y35" s="492">
        <v>0</v>
      </c>
      <c r="Z35" s="492">
        <f>SUM(W35:Y35)</f>
        <v>0</v>
      </c>
      <c r="AA35" s="492">
        <f>V35+Z35</f>
        <v>0</v>
      </c>
      <c r="AB35" s="74">
        <f>ROUND((V35+W35+X35)*33.8%,0)</f>
        <v>0</v>
      </c>
      <c r="AC35" s="74">
        <f>ROUND(V35*2%,0)</f>
        <v>0</v>
      </c>
      <c r="AD35" s="492">
        <v>0</v>
      </c>
      <c r="AE35" s="492">
        <v>0</v>
      </c>
      <c r="AF35" s="492">
        <f t="shared" si="3"/>
        <v>0</v>
      </c>
      <c r="AG35" s="492">
        <f t="shared" si="4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24"/>
        <v>0</v>
      </c>
      <c r="AP35" s="493">
        <f t="shared" si="25"/>
        <v>0</v>
      </c>
      <c r="AQ35" s="495">
        <f t="shared" si="7"/>
        <v>0</v>
      </c>
      <c r="AR35" s="501">
        <f>I35+AG35</f>
        <v>111887</v>
      </c>
      <c r="AS35" s="492">
        <f>J35+V35</f>
        <v>79122</v>
      </c>
      <c r="AT35" s="492">
        <f t="shared" si="26"/>
        <v>0</v>
      </c>
      <c r="AU35" s="492">
        <f t="shared" si="27"/>
        <v>26743</v>
      </c>
      <c r="AV35" s="492">
        <f t="shared" si="27"/>
        <v>1582</v>
      </c>
      <c r="AW35" s="492">
        <f>N35+AF35</f>
        <v>4440</v>
      </c>
      <c r="AX35" s="493">
        <f>O35+AQ35</f>
        <v>0.31</v>
      </c>
      <c r="AY35" s="493">
        <f t="shared" si="28"/>
        <v>0</v>
      </c>
      <c r="AZ35" s="495">
        <f t="shared" si="28"/>
        <v>0.31</v>
      </c>
    </row>
    <row r="36" spans="1:52" ht="12.95" customHeight="1" x14ac:dyDescent="0.25">
      <c r="A36" s="306">
        <v>5</v>
      </c>
      <c r="B36" s="308">
        <v>4456</v>
      </c>
      <c r="C36" s="308">
        <v>600074617</v>
      </c>
      <c r="D36" s="308">
        <v>68430132</v>
      </c>
      <c r="E36" s="321" t="s">
        <v>336</v>
      </c>
      <c r="F36" s="324"/>
      <c r="G36" s="325"/>
      <c r="H36" s="325"/>
      <c r="I36" s="585">
        <v>53190885</v>
      </c>
      <c r="J36" s="582">
        <v>38299496</v>
      </c>
      <c r="K36" s="582">
        <v>159250</v>
      </c>
      <c r="L36" s="582">
        <v>12999056</v>
      </c>
      <c r="M36" s="582">
        <v>765989</v>
      </c>
      <c r="N36" s="582">
        <v>967094</v>
      </c>
      <c r="O36" s="583">
        <v>75.861899999999991</v>
      </c>
      <c r="P36" s="583">
        <v>54.716999999999999</v>
      </c>
      <c r="Q36" s="323">
        <v>21.144899999999996</v>
      </c>
      <c r="R36" s="589">
        <f t="shared" ref="R36:AZ36" si="29">SUM(R31:R35)</f>
        <v>0</v>
      </c>
      <c r="S36" s="582">
        <f t="shared" si="29"/>
        <v>0</v>
      </c>
      <c r="T36" s="582">
        <f t="shared" si="29"/>
        <v>0</v>
      </c>
      <c r="U36" s="582">
        <f t="shared" si="29"/>
        <v>0</v>
      </c>
      <c r="V36" s="582">
        <f t="shared" si="29"/>
        <v>0</v>
      </c>
      <c r="W36" s="582">
        <f t="shared" si="29"/>
        <v>0</v>
      </c>
      <c r="X36" s="582">
        <f t="shared" si="29"/>
        <v>0</v>
      </c>
      <c r="Y36" s="582">
        <f t="shared" si="29"/>
        <v>0</v>
      </c>
      <c r="Z36" s="582">
        <f t="shared" si="29"/>
        <v>0</v>
      </c>
      <c r="AA36" s="582">
        <f t="shared" si="29"/>
        <v>0</v>
      </c>
      <c r="AB36" s="582">
        <f t="shared" si="29"/>
        <v>0</v>
      </c>
      <c r="AC36" s="582">
        <f t="shared" si="29"/>
        <v>0</v>
      </c>
      <c r="AD36" s="582">
        <f t="shared" si="29"/>
        <v>0</v>
      </c>
      <c r="AE36" s="582">
        <f t="shared" si="29"/>
        <v>0</v>
      </c>
      <c r="AF36" s="582">
        <f t="shared" si="29"/>
        <v>0</v>
      </c>
      <c r="AG36" s="582">
        <f t="shared" si="29"/>
        <v>0</v>
      </c>
      <c r="AH36" s="583">
        <f t="shared" si="29"/>
        <v>0</v>
      </c>
      <c r="AI36" s="583">
        <f t="shared" si="29"/>
        <v>0</v>
      </c>
      <c r="AJ36" s="583">
        <f t="shared" si="29"/>
        <v>0</v>
      </c>
      <c r="AK36" s="583">
        <f t="shared" si="29"/>
        <v>0</v>
      </c>
      <c r="AL36" s="583">
        <f t="shared" si="29"/>
        <v>0</v>
      </c>
      <c r="AM36" s="583">
        <f t="shared" si="29"/>
        <v>0</v>
      </c>
      <c r="AN36" s="583">
        <f t="shared" si="29"/>
        <v>0</v>
      </c>
      <c r="AO36" s="583">
        <f t="shared" si="29"/>
        <v>0</v>
      </c>
      <c r="AP36" s="583">
        <f t="shared" si="29"/>
        <v>0</v>
      </c>
      <c r="AQ36" s="323">
        <f t="shared" si="29"/>
        <v>0</v>
      </c>
      <c r="AR36" s="589">
        <f t="shared" si="29"/>
        <v>53190885</v>
      </c>
      <c r="AS36" s="582">
        <f t="shared" si="29"/>
        <v>38299496</v>
      </c>
      <c r="AT36" s="582">
        <f t="shared" si="29"/>
        <v>159250</v>
      </c>
      <c r="AU36" s="582">
        <f t="shared" si="29"/>
        <v>12999056</v>
      </c>
      <c r="AV36" s="582">
        <f t="shared" si="29"/>
        <v>765989</v>
      </c>
      <c r="AW36" s="582">
        <f t="shared" si="29"/>
        <v>967094</v>
      </c>
      <c r="AX36" s="583">
        <f t="shared" si="29"/>
        <v>75.861899999999991</v>
      </c>
      <c r="AY36" s="583">
        <f t="shared" si="29"/>
        <v>54.716999999999999</v>
      </c>
      <c r="AZ36" s="323">
        <f t="shared" si="29"/>
        <v>21.144899999999996</v>
      </c>
    </row>
    <row r="37" spans="1:52" ht="12.95" customHeight="1" x14ac:dyDescent="0.25">
      <c r="A37" s="313">
        <v>6</v>
      </c>
      <c r="B37" s="314">
        <v>4478</v>
      </c>
      <c r="C37" s="314">
        <v>600075141</v>
      </c>
      <c r="D37" s="314">
        <v>70975191</v>
      </c>
      <c r="E37" s="316" t="s">
        <v>337</v>
      </c>
      <c r="F37" s="314">
        <v>3114</v>
      </c>
      <c r="G37" s="319" t="s">
        <v>559</v>
      </c>
      <c r="H37" s="317" t="s">
        <v>278</v>
      </c>
      <c r="I37" s="494">
        <v>8877145</v>
      </c>
      <c r="J37" s="489">
        <v>6424786</v>
      </c>
      <c r="K37" s="489">
        <v>32500</v>
      </c>
      <c r="L37" s="489">
        <v>2182563</v>
      </c>
      <c r="M37" s="489">
        <v>128496</v>
      </c>
      <c r="N37" s="489">
        <v>108800</v>
      </c>
      <c r="O37" s="490">
        <v>11.725999999999999</v>
      </c>
      <c r="P37" s="491">
        <v>8.3635999999999999</v>
      </c>
      <c r="Q37" s="658">
        <v>3.3624000000000001</v>
      </c>
      <c r="R37" s="501">
        <f t="shared" si="1"/>
        <v>0</v>
      </c>
      <c r="S37" s="492">
        <v>0</v>
      </c>
      <c r="T37" s="492">
        <v>0</v>
      </c>
      <c r="U37" s="492">
        <v>0</v>
      </c>
      <c r="V37" s="492">
        <f t="shared" si="2"/>
        <v>0</v>
      </c>
      <c r="W37" s="492">
        <v>0</v>
      </c>
      <c r="X37" s="492">
        <v>0</v>
      </c>
      <c r="Y37" s="492">
        <v>0</v>
      </c>
      <c r="Z37" s="492">
        <f>SUM(W37:Y37)</f>
        <v>0</v>
      </c>
      <c r="AA37" s="492">
        <f>V37+Z37</f>
        <v>0</v>
      </c>
      <c r="AB37" s="74">
        <f>ROUND((V37+W37+X37)*33.8%,0)</f>
        <v>0</v>
      </c>
      <c r="AC37" s="74">
        <f>ROUND(V37*2%,0)</f>
        <v>0</v>
      </c>
      <c r="AD37" s="492">
        <v>0</v>
      </c>
      <c r="AE37" s="492">
        <v>0</v>
      </c>
      <c r="AF37" s="492">
        <f t="shared" si="3"/>
        <v>0</v>
      </c>
      <c r="AG37" s="492">
        <f t="shared" si="4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ref="AO37:AO41" si="30">AH37+AJ37+AK37+AM37</f>
        <v>0</v>
      </c>
      <c r="AP37" s="493">
        <f t="shared" ref="AP37:AP41" si="31">AI37+AN37+AL37</f>
        <v>0</v>
      </c>
      <c r="AQ37" s="495">
        <f t="shared" si="7"/>
        <v>0</v>
      </c>
      <c r="AR37" s="501">
        <f>I37+AG37</f>
        <v>8877145</v>
      </c>
      <c r="AS37" s="492">
        <f>J37+V37</f>
        <v>6424786</v>
      </c>
      <c r="AT37" s="492">
        <f t="shared" ref="AT37:AT41" si="32">K37+Z37</f>
        <v>32500</v>
      </c>
      <c r="AU37" s="492">
        <f t="shared" ref="AU37:AV41" si="33">L37+AB37</f>
        <v>2182563</v>
      </c>
      <c r="AV37" s="492">
        <f t="shared" si="33"/>
        <v>128496</v>
      </c>
      <c r="AW37" s="492">
        <f>N37+AF37</f>
        <v>108800</v>
      </c>
      <c r="AX37" s="493">
        <f>O37+AQ37</f>
        <v>11.725999999999999</v>
      </c>
      <c r="AY37" s="493">
        <f t="shared" ref="AY37:AZ41" si="34">P37+AO37</f>
        <v>8.3635999999999999</v>
      </c>
      <c r="AZ37" s="495">
        <f t="shared" si="34"/>
        <v>3.3624000000000001</v>
      </c>
    </row>
    <row r="38" spans="1:52" ht="12.95" customHeight="1" x14ac:dyDescent="0.25">
      <c r="A38" s="313">
        <v>6</v>
      </c>
      <c r="B38" s="314">
        <v>4478</v>
      </c>
      <c r="C38" s="314">
        <v>600075141</v>
      </c>
      <c r="D38" s="314">
        <v>70975191</v>
      </c>
      <c r="E38" s="316" t="s">
        <v>337</v>
      </c>
      <c r="F38" s="314">
        <v>3114</v>
      </c>
      <c r="G38" s="319" t="s">
        <v>320</v>
      </c>
      <c r="H38" s="317" t="s">
        <v>279</v>
      </c>
      <c r="I38" s="494">
        <v>0</v>
      </c>
      <c r="J38" s="489">
        <v>0</v>
      </c>
      <c r="K38" s="489">
        <v>0</v>
      </c>
      <c r="L38" s="489">
        <v>0</v>
      </c>
      <c r="M38" s="489">
        <v>0</v>
      </c>
      <c r="N38" s="489">
        <v>0</v>
      </c>
      <c r="O38" s="490">
        <v>0</v>
      </c>
      <c r="P38" s="491">
        <v>0</v>
      </c>
      <c r="Q38" s="658">
        <v>0</v>
      </c>
      <c r="R38" s="501">
        <f t="shared" si="1"/>
        <v>0</v>
      </c>
      <c r="S38" s="492">
        <v>0</v>
      </c>
      <c r="T38" s="492">
        <v>0</v>
      </c>
      <c r="U38" s="492">
        <v>0</v>
      </c>
      <c r="V38" s="492">
        <f t="shared" si="2"/>
        <v>0</v>
      </c>
      <c r="W38" s="492">
        <v>0</v>
      </c>
      <c r="X38" s="492">
        <v>0</v>
      </c>
      <c r="Y38" s="492">
        <v>0</v>
      </c>
      <c r="Z38" s="492">
        <f>SUM(W38:Y38)</f>
        <v>0</v>
      </c>
      <c r="AA38" s="492">
        <f>V38+Z38</f>
        <v>0</v>
      </c>
      <c r="AB38" s="74">
        <f>ROUND((V38+W38+X38)*33.8%,0)</f>
        <v>0</v>
      </c>
      <c r="AC38" s="74">
        <f>ROUND(V38*2%,0)</f>
        <v>0</v>
      </c>
      <c r="AD38" s="492">
        <v>0</v>
      </c>
      <c r="AE38" s="492">
        <v>0</v>
      </c>
      <c r="AF38" s="492">
        <f t="shared" si="3"/>
        <v>0</v>
      </c>
      <c r="AG38" s="492">
        <f t="shared" si="4"/>
        <v>0</v>
      </c>
      <c r="AH38" s="493">
        <v>0</v>
      </c>
      <c r="AI38" s="493">
        <v>0</v>
      </c>
      <c r="AJ38" s="493">
        <v>0</v>
      </c>
      <c r="AK38" s="493">
        <v>0</v>
      </c>
      <c r="AL38" s="493">
        <v>0</v>
      </c>
      <c r="AM38" s="493">
        <v>0</v>
      </c>
      <c r="AN38" s="493">
        <v>0</v>
      </c>
      <c r="AO38" s="493">
        <f t="shared" si="30"/>
        <v>0</v>
      </c>
      <c r="AP38" s="493">
        <f t="shared" si="31"/>
        <v>0</v>
      </c>
      <c r="AQ38" s="495">
        <f t="shared" si="7"/>
        <v>0</v>
      </c>
      <c r="AR38" s="501">
        <f>I38+AG38</f>
        <v>0</v>
      </c>
      <c r="AS38" s="492">
        <f>J38+V38</f>
        <v>0</v>
      </c>
      <c r="AT38" s="492">
        <f t="shared" si="32"/>
        <v>0</v>
      </c>
      <c r="AU38" s="492">
        <f t="shared" si="33"/>
        <v>0</v>
      </c>
      <c r="AV38" s="492">
        <f t="shared" si="33"/>
        <v>0</v>
      </c>
      <c r="AW38" s="492">
        <f>N38+AF38</f>
        <v>0</v>
      </c>
      <c r="AX38" s="493">
        <f>O38+AQ38</f>
        <v>0</v>
      </c>
      <c r="AY38" s="493">
        <f t="shared" si="34"/>
        <v>0</v>
      </c>
      <c r="AZ38" s="495">
        <f t="shared" si="34"/>
        <v>0</v>
      </c>
    </row>
    <row r="39" spans="1:52" ht="12.95" customHeight="1" x14ac:dyDescent="0.25">
      <c r="A39" s="313">
        <v>6</v>
      </c>
      <c r="B39" s="314">
        <v>4478</v>
      </c>
      <c r="C39" s="314">
        <v>600075141</v>
      </c>
      <c r="D39" s="314">
        <v>70975191</v>
      </c>
      <c r="E39" s="316" t="s">
        <v>337</v>
      </c>
      <c r="F39" s="314">
        <v>3114</v>
      </c>
      <c r="G39" s="319" t="s">
        <v>314</v>
      </c>
      <c r="H39" s="317" t="s">
        <v>278</v>
      </c>
      <c r="I39" s="494">
        <v>581173</v>
      </c>
      <c r="J39" s="489">
        <v>427963</v>
      </c>
      <c r="K39" s="489">
        <v>0</v>
      </c>
      <c r="L39" s="489">
        <v>144651</v>
      </c>
      <c r="M39" s="489">
        <v>8559</v>
      </c>
      <c r="N39" s="489">
        <v>0</v>
      </c>
      <c r="O39" s="490">
        <v>0.97209999999999996</v>
      </c>
      <c r="P39" s="491">
        <v>0.97209999999999996</v>
      </c>
      <c r="Q39" s="658">
        <v>0</v>
      </c>
      <c r="R39" s="501">
        <f t="shared" si="1"/>
        <v>0</v>
      </c>
      <c r="S39" s="492">
        <v>0</v>
      </c>
      <c r="T39" s="492">
        <v>0</v>
      </c>
      <c r="U39" s="492">
        <v>0</v>
      </c>
      <c r="V39" s="492">
        <f t="shared" si="2"/>
        <v>0</v>
      </c>
      <c r="W39" s="492">
        <v>0</v>
      </c>
      <c r="X39" s="492">
        <v>0</v>
      </c>
      <c r="Y39" s="492">
        <v>0</v>
      </c>
      <c r="Z39" s="492">
        <f>SUM(W39:Y39)</f>
        <v>0</v>
      </c>
      <c r="AA39" s="492">
        <f>V39+Z39</f>
        <v>0</v>
      </c>
      <c r="AB39" s="74">
        <f>ROUND((V39+W39+X39)*33.8%,0)</f>
        <v>0</v>
      </c>
      <c r="AC39" s="74">
        <f>ROUND(V39*2%,0)</f>
        <v>0</v>
      </c>
      <c r="AD39" s="492">
        <v>0</v>
      </c>
      <c r="AE39" s="492">
        <v>0</v>
      </c>
      <c r="AF39" s="492">
        <f t="shared" si="3"/>
        <v>0</v>
      </c>
      <c r="AG39" s="492">
        <f t="shared" si="4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si="30"/>
        <v>0</v>
      </c>
      <c r="AP39" s="493">
        <f t="shared" si="31"/>
        <v>0</v>
      </c>
      <c r="AQ39" s="495">
        <f t="shared" si="7"/>
        <v>0</v>
      </c>
      <c r="AR39" s="501">
        <f>I39+AG39</f>
        <v>581173</v>
      </c>
      <c r="AS39" s="492">
        <f>J39+V39</f>
        <v>427963</v>
      </c>
      <c r="AT39" s="492">
        <f t="shared" si="32"/>
        <v>0</v>
      </c>
      <c r="AU39" s="492">
        <f t="shared" si="33"/>
        <v>144651</v>
      </c>
      <c r="AV39" s="492">
        <f t="shared" si="33"/>
        <v>8559</v>
      </c>
      <c r="AW39" s="492">
        <f>N39+AF39</f>
        <v>0</v>
      </c>
      <c r="AX39" s="493">
        <f>O39+AQ39</f>
        <v>0.97209999999999996</v>
      </c>
      <c r="AY39" s="493">
        <f t="shared" si="34"/>
        <v>0.97209999999999996</v>
      </c>
      <c r="AZ39" s="495">
        <f t="shared" si="34"/>
        <v>0</v>
      </c>
    </row>
    <row r="40" spans="1:52" ht="12.95" customHeight="1" x14ac:dyDescent="0.25">
      <c r="A40" s="313">
        <v>6</v>
      </c>
      <c r="B40" s="314">
        <v>4478</v>
      </c>
      <c r="C40" s="314">
        <v>600075141</v>
      </c>
      <c r="D40" s="314">
        <v>70975191</v>
      </c>
      <c r="E40" s="316" t="s">
        <v>337</v>
      </c>
      <c r="F40" s="314">
        <v>3143</v>
      </c>
      <c r="G40" s="317" t="s">
        <v>629</v>
      </c>
      <c r="H40" s="317" t="s">
        <v>278</v>
      </c>
      <c r="I40" s="494">
        <v>403516</v>
      </c>
      <c r="J40" s="489">
        <v>297140</v>
      </c>
      <c r="K40" s="489">
        <v>0</v>
      </c>
      <c r="L40" s="489">
        <v>100433</v>
      </c>
      <c r="M40" s="489">
        <v>5943</v>
      </c>
      <c r="N40" s="489">
        <v>0</v>
      </c>
      <c r="O40" s="490">
        <v>0.64270000000000005</v>
      </c>
      <c r="P40" s="491">
        <v>0.64270000000000005</v>
      </c>
      <c r="Q40" s="658">
        <v>0</v>
      </c>
      <c r="R40" s="501">
        <f t="shared" si="1"/>
        <v>0</v>
      </c>
      <c r="S40" s="492">
        <v>0</v>
      </c>
      <c r="T40" s="492">
        <v>0</v>
      </c>
      <c r="U40" s="492">
        <v>0</v>
      </c>
      <c r="V40" s="492">
        <f t="shared" si="2"/>
        <v>0</v>
      </c>
      <c r="W40" s="492">
        <v>0</v>
      </c>
      <c r="X40" s="492">
        <v>0</v>
      </c>
      <c r="Y40" s="492">
        <v>0</v>
      </c>
      <c r="Z40" s="492">
        <f>SUM(W40:Y40)</f>
        <v>0</v>
      </c>
      <c r="AA40" s="492">
        <f>V40+Z40</f>
        <v>0</v>
      </c>
      <c r="AB40" s="74">
        <f>ROUND((V40+W40+X40)*33.8%,0)</f>
        <v>0</v>
      </c>
      <c r="AC40" s="74">
        <f>ROUND(V40*2%,0)</f>
        <v>0</v>
      </c>
      <c r="AD40" s="492">
        <v>0</v>
      </c>
      <c r="AE40" s="492">
        <v>0</v>
      </c>
      <c r="AF40" s="492">
        <f t="shared" si="3"/>
        <v>0</v>
      </c>
      <c r="AG40" s="492">
        <f t="shared" si="4"/>
        <v>0</v>
      </c>
      <c r="AH40" s="493">
        <v>0</v>
      </c>
      <c r="AI40" s="493">
        <v>0</v>
      </c>
      <c r="AJ40" s="493">
        <v>0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30"/>
        <v>0</v>
      </c>
      <c r="AP40" s="493">
        <f t="shared" si="31"/>
        <v>0</v>
      </c>
      <c r="AQ40" s="495">
        <f t="shared" si="7"/>
        <v>0</v>
      </c>
      <c r="AR40" s="501">
        <f>I40+AG40</f>
        <v>403516</v>
      </c>
      <c r="AS40" s="492">
        <f>J40+V40</f>
        <v>297140</v>
      </c>
      <c r="AT40" s="492">
        <f t="shared" si="32"/>
        <v>0</v>
      </c>
      <c r="AU40" s="492">
        <f t="shared" si="33"/>
        <v>100433</v>
      </c>
      <c r="AV40" s="492">
        <f t="shared" si="33"/>
        <v>5943</v>
      </c>
      <c r="AW40" s="492">
        <f>N40+AF40</f>
        <v>0</v>
      </c>
      <c r="AX40" s="493">
        <f>O40+AQ40</f>
        <v>0.64270000000000005</v>
      </c>
      <c r="AY40" s="493">
        <f t="shared" si="34"/>
        <v>0.64270000000000005</v>
      </c>
      <c r="AZ40" s="495">
        <f t="shared" si="34"/>
        <v>0</v>
      </c>
    </row>
    <row r="41" spans="1:52" ht="12.95" customHeight="1" x14ac:dyDescent="0.25">
      <c r="A41" s="313">
        <v>6</v>
      </c>
      <c r="B41" s="314">
        <v>4478</v>
      </c>
      <c r="C41" s="314">
        <v>600075141</v>
      </c>
      <c r="D41" s="314">
        <v>70975191</v>
      </c>
      <c r="E41" s="316" t="s">
        <v>337</v>
      </c>
      <c r="F41" s="314">
        <v>3143</v>
      </c>
      <c r="G41" s="317" t="s">
        <v>630</v>
      </c>
      <c r="H41" s="317" t="s">
        <v>279</v>
      </c>
      <c r="I41" s="494">
        <v>7560</v>
      </c>
      <c r="J41" s="489">
        <v>5346</v>
      </c>
      <c r="K41" s="489">
        <v>0</v>
      </c>
      <c r="L41" s="489">
        <v>1807</v>
      </c>
      <c r="M41" s="489">
        <v>107</v>
      </c>
      <c r="N41" s="489">
        <v>300</v>
      </c>
      <c r="O41" s="490">
        <v>0.02</v>
      </c>
      <c r="P41" s="491">
        <v>0</v>
      </c>
      <c r="Q41" s="658">
        <v>0.02</v>
      </c>
      <c r="R41" s="501">
        <f t="shared" si="1"/>
        <v>0</v>
      </c>
      <c r="S41" s="492">
        <v>0</v>
      </c>
      <c r="T41" s="492">
        <v>0</v>
      </c>
      <c r="U41" s="492">
        <v>0</v>
      </c>
      <c r="V41" s="492">
        <f t="shared" si="2"/>
        <v>0</v>
      </c>
      <c r="W41" s="492">
        <v>0</v>
      </c>
      <c r="X41" s="492">
        <v>0</v>
      </c>
      <c r="Y41" s="492">
        <v>0</v>
      </c>
      <c r="Z41" s="492">
        <f>SUM(W41:Y41)</f>
        <v>0</v>
      </c>
      <c r="AA41" s="492">
        <f>V41+Z41</f>
        <v>0</v>
      </c>
      <c r="AB41" s="74">
        <f>ROUND((V41+W41+X41)*33.8%,0)</f>
        <v>0</v>
      </c>
      <c r="AC41" s="74">
        <f>ROUND(V41*2%,0)</f>
        <v>0</v>
      </c>
      <c r="AD41" s="492">
        <v>0</v>
      </c>
      <c r="AE41" s="492">
        <v>0</v>
      </c>
      <c r="AF41" s="492">
        <f t="shared" si="3"/>
        <v>0</v>
      </c>
      <c r="AG41" s="492">
        <f t="shared" si="4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30"/>
        <v>0</v>
      </c>
      <c r="AP41" s="493">
        <f t="shared" si="31"/>
        <v>0</v>
      </c>
      <c r="AQ41" s="495">
        <f t="shared" si="7"/>
        <v>0</v>
      </c>
      <c r="AR41" s="501">
        <f>I41+AG41</f>
        <v>7560</v>
      </c>
      <c r="AS41" s="492">
        <f>J41+V41</f>
        <v>5346</v>
      </c>
      <c r="AT41" s="492">
        <f t="shared" si="32"/>
        <v>0</v>
      </c>
      <c r="AU41" s="492">
        <f t="shared" si="33"/>
        <v>1807</v>
      </c>
      <c r="AV41" s="492">
        <f t="shared" si="33"/>
        <v>107</v>
      </c>
      <c r="AW41" s="492">
        <f>N41+AF41</f>
        <v>300</v>
      </c>
      <c r="AX41" s="493">
        <f>O41+AQ41</f>
        <v>0.02</v>
      </c>
      <c r="AY41" s="493">
        <f t="shared" si="34"/>
        <v>0</v>
      </c>
      <c r="AZ41" s="495">
        <f t="shared" si="34"/>
        <v>0.02</v>
      </c>
    </row>
    <row r="42" spans="1:52" ht="12.95" customHeight="1" x14ac:dyDescent="0.25">
      <c r="A42" s="306">
        <v>6</v>
      </c>
      <c r="B42" s="308">
        <v>4478</v>
      </c>
      <c r="C42" s="308">
        <v>600075141</v>
      </c>
      <c r="D42" s="308">
        <v>70975191</v>
      </c>
      <c r="E42" s="321" t="s">
        <v>338</v>
      </c>
      <c r="F42" s="324"/>
      <c r="G42" s="325"/>
      <c r="H42" s="325"/>
      <c r="I42" s="585">
        <v>9869394</v>
      </c>
      <c r="J42" s="582">
        <v>7155235</v>
      </c>
      <c r="K42" s="582">
        <v>32500</v>
      </c>
      <c r="L42" s="582">
        <v>2429454</v>
      </c>
      <c r="M42" s="582">
        <v>143105</v>
      </c>
      <c r="N42" s="582">
        <v>109100</v>
      </c>
      <c r="O42" s="583">
        <v>13.360799999999998</v>
      </c>
      <c r="P42" s="583">
        <v>9.9783999999999988</v>
      </c>
      <c r="Q42" s="323">
        <v>3.3824000000000001</v>
      </c>
      <c r="R42" s="589">
        <f t="shared" ref="R42:AZ42" si="35">SUM(R37:R41)</f>
        <v>0</v>
      </c>
      <c r="S42" s="582">
        <f t="shared" si="35"/>
        <v>0</v>
      </c>
      <c r="T42" s="582">
        <f t="shared" si="35"/>
        <v>0</v>
      </c>
      <c r="U42" s="582">
        <f t="shared" si="35"/>
        <v>0</v>
      </c>
      <c r="V42" s="582">
        <f t="shared" si="35"/>
        <v>0</v>
      </c>
      <c r="W42" s="582">
        <f t="shared" si="35"/>
        <v>0</v>
      </c>
      <c r="X42" s="582">
        <f t="shared" si="35"/>
        <v>0</v>
      </c>
      <c r="Y42" s="582">
        <f t="shared" si="35"/>
        <v>0</v>
      </c>
      <c r="Z42" s="582">
        <f t="shared" si="35"/>
        <v>0</v>
      </c>
      <c r="AA42" s="582">
        <f t="shared" si="35"/>
        <v>0</v>
      </c>
      <c r="AB42" s="582">
        <f t="shared" si="35"/>
        <v>0</v>
      </c>
      <c r="AC42" s="582">
        <f t="shared" si="35"/>
        <v>0</v>
      </c>
      <c r="AD42" s="582">
        <f t="shared" si="35"/>
        <v>0</v>
      </c>
      <c r="AE42" s="582">
        <f t="shared" si="35"/>
        <v>0</v>
      </c>
      <c r="AF42" s="582">
        <f t="shared" si="35"/>
        <v>0</v>
      </c>
      <c r="AG42" s="582">
        <f t="shared" si="35"/>
        <v>0</v>
      </c>
      <c r="AH42" s="583">
        <f t="shared" si="35"/>
        <v>0</v>
      </c>
      <c r="AI42" s="583">
        <f t="shared" si="35"/>
        <v>0</v>
      </c>
      <c r="AJ42" s="583">
        <f t="shared" si="35"/>
        <v>0</v>
      </c>
      <c r="AK42" s="583">
        <f t="shared" si="35"/>
        <v>0</v>
      </c>
      <c r="AL42" s="583">
        <f t="shared" si="35"/>
        <v>0</v>
      </c>
      <c r="AM42" s="583">
        <f t="shared" si="35"/>
        <v>0</v>
      </c>
      <c r="AN42" s="583">
        <f t="shared" si="35"/>
        <v>0</v>
      </c>
      <c r="AO42" s="583">
        <f t="shared" si="35"/>
        <v>0</v>
      </c>
      <c r="AP42" s="583">
        <f t="shared" si="35"/>
        <v>0</v>
      </c>
      <c r="AQ42" s="323">
        <f t="shared" si="35"/>
        <v>0</v>
      </c>
      <c r="AR42" s="589">
        <f t="shared" si="35"/>
        <v>9869394</v>
      </c>
      <c r="AS42" s="582">
        <f t="shared" si="35"/>
        <v>7155235</v>
      </c>
      <c r="AT42" s="582">
        <f t="shared" si="35"/>
        <v>32500</v>
      </c>
      <c r="AU42" s="582">
        <f t="shared" si="35"/>
        <v>2429454</v>
      </c>
      <c r="AV42" s="582">
        <f t="shared" si="35"/>
        <v>143105</v>
      </c>
      <c r="AW42" s="582">
        <f t="shared" si="35"/>
        <v>109100</v>
      </c>
      <c r="AX42" s="583">
        <f t="shared" si="35"/>
        <v>13.360799999999998</v>
      </c>
      <c r="AY42" s="583">
        <f t="shared" si="35"/>
        <v>9.9783999999999988</v>
      </c>
      <c r="AZ42" s="323">
        <f t="shared" si="35"/>
        <v>3.3824000000000001</v>
      </c>
    </row>
    <row r="43" spans="1:52" ht="12.95" customHeight="1" x14ac:dyDescent="0.25">
      <c r="A43" s="313">
        <v>7</v>
      </c>
      <c r="B43" s="314">
        <v>4471</v>
      </c>
      <c r="C43" s="314">
        <v>600075061</v>
      </c>
      <c r="D43" s="314">
        <v>70975205</v>
      </c>
      <c r="E43" s="316" t="s">
        <v>339</v>
      </c>
      <c r="F43" s="314">
        <v>3231</v>
      </c>
      <c r="G43" s="317" t="s">
        <v>317</v>
      </c>
      <c r="H43" s="317" t="s">
        <v>278</v>
      </c>
      <c r="I43" s="494">
        <v>10287321</v>
      </c>
      <c r="J43" s="489">
        <v>7536942</v>
      </c>
      <c r="K43" s="489">
        <v>13000</v>
      </c>
      <c r="L43" s="489">
        <v>2551880</v>
      </c>
      <c r="M43" s="489">
        <v>150739</v>
      </c>
      <c r="N43" s="489">
        <v>34760</v>
      </c>
      <c r="O43" s="490">
        <v>14.0457</v>
      </c>
      <c r="P43" s="491">
        <v>12.420999999999999</v>
      </c>
      <c r="Q43" s="658">
        <v>1.6247</v>
      </c>
      <c r="R43" s="501">
        <f t="shared" si="1"/>
        <v>0</v>
      </c>
      <c r="S43" s="492">
        <v>0</v>
      </c>
      <c r="T43" s="492">
        <v>0</v>
      </c>
      <c r="U43" s="492">
        <v>0</v>
      </c>
      <c r="V43" s="492">
        <f t="shared" si="2"/>
        <v>0</v>
      </c>
      <c r="W43" s="492">
        <v>0</v>
      </c>
      <c r="X43" s="492">
        <v>0</v>
      </c>
      <c r="Y43" s="492">
        <v>0</v>
      </c>
      <c r="Z43" s="492">
        <f>SUM(W43:Y43)</f>
        <v>0</v>
      </c>
      <c r="AA43" s="492">
        <f>V43+Z43</f>
        <v>0</v>
      </c>
      <c r="AB43" s="74">
        <f>ROUND((V43+W43+X43)*33.8%,0)</f>
        <v>0</v>
      </c>
      <c r="AC43" s="74">
        <f>ROUND(V43*2%,0)</f>
        <v>0</v>
      </c>
      <c r="AD43" s="492">
        <v>0</v>
      </c>
      <c r="AE43" s="492">
        <v>0</v>
      </c>
      <c r="AF43" s="492">
        <f t="shared" si="3"/>
        <v>0</v>
      </c>
      <c r="AG43" s="492">
        <f t="shared" si="4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ref="AO43" si="36">AH43+AJ43+AK43+AM43</f>
        <v>0</v>
      </c>
      <c r="AP43" s="493">
        <f t="shared" ref="AP43" si="37">AI43+AN43+AL43</f>
        <v>0</v>
      </c>
      <c r="AQ43" s="495">
        <f t="shared" si="7"/>
        <v>0</v>
      </c>
      <c r="AR43" s="501">
        <f>I43+AG43</f>
        <v>10287321</v>
      </c>
      <c r="AS43" s="492">
        <f>J43+V43</f>
        <v>7536942</v>
      </c>
      <c r="AT43" s="492">
        <f>K43+Z43</f>
        <v>13000</v>
      </c>
      <c r="AU43" s="492">
        <f>L43+AB43</f>
        <v>2551880</v>
      </c>
      <c r="AV43" s="492">
        <f>M43+AC43</f>
        <v>150739</v>
      </c>
      <c r="AW43" s="492">
        <f>N43+AF43</f>
        <v>34760</v>
      </c>
      <c r="AX43" s="493">
        <f>O43+AQ43</f>
        <v>14.0457</v>
      </c>
      <c r="AY43" s="493">
        <f>P43+AO43</f>
        <v>12.420999999999999</v>
      </c>
      <c r="AZ43" s="495">
        <f>Q43+AP43</f>
        <v>1.6247</v>
      </c>
    </row>
    <row r="44" spans="1:52" ht="12.95" customHeight="1" x14ac:dyDescent="0.25">
      <c r="A44" s="306">
        <v>7</v>
      </c>
      <c r="B44" s="308">
        <v>4471</v>
      </c>
      <c r="C44" s="308">
        <v>600075061</v>
      </c>
      <c r="D44" s="308">
        <v>70975205</v>
      </c>
      <c r="E44" s="321" t="s">
        <v>340</v>
      </c>
      <c r="F44" s="324"/>
      <c r="G44" s="325"/>
      <c r="H44" s="325"/>
      <c r="I44" s="585">
        <v>10287321</v>
      </c>
      <c r="J44" s="582">
        <v>7536942</v>
      </c>
      <c r="K44" s="582">
        <v>13000</v>
      </c>
      <c r="L44" s="582">
        <v>2551880</v>
      </c>
      <c r="M44" s="582">
        <v>150739</v>
      </c>
      <c r="N44" s="582">
        <v>34760</v>
      </c>
      <c r="O44" s="583">
        <v>14.0457</v>
      </c>
      <c r="P44" s="583">
        <v>12.420999999999999</v>
      </c>
      <c r="Q44" s="323">
        <v>1.6247</v>
      </c>
      <c r="R44" s="589">
        <f t="shared" ref="R44:AZ44" si="38">SUM(R43)</f>
        <v>0</v>
      </c>
      <c r="S44" s="582">
        <f t="shared" si="38"/>
        <v>0</v>
      </c>
      <c r="T44" s="582">
        <f t="shared" si="38"/>
        <v>0</v>
      </c>
      <c r="U44" s="582">
        <f t="shared" si="38"/>
        <v>0</v>
      </c>
      <c r="V44" s="582">
        <f t="shared" si="38"/>
        <v>0</v>
      </c>
      <c r="W44" s="582">
        <f t="shared" si="38"/>
        <v>0</v>
      </c>
      <c r="X44" s="582">
        <f t="shared" si="38"/>
        <v>0</v>
      </c>
      <c r="Y44" s="582">
        <f t="shared" si="38"/>
        <v>0</v>
      </c>
      <c r="Z44" s="582">
        <f t="shared" si="38"/>
        <v>0</v>
      </c>
      <c r="AA44" s="582">
        <f t="shared" si="38"/>
        <v>0</v>
      </c>
      <c r="AB44" s="582">
        <f t="shared" si="38"/>
        <v>0</v>
      </c>
      <c r="AC44" s="582">
        <f t="shared" si="38"/>
        <v>0</v>
      </c>
      <c r="AD44" s="582">
        <f t="shared" si="38"/>
        <v>0</v>
      </c>
      <c r="AE44" s="582">
        <f t="shared" si="38"/>
        <v>0</v>
      </c>
      <c r="AF44" s="582">
        <f t="shared" si="38"/>
        <v>0</v>
      </c>
      <c r="AG44" s="582">
        <f t="shared" si="38"/>
        <v>0</v>
      </c>
      <c r="AH44" s="583">
        <f t="shared" si="38"/>
        <v>0</v>
      </c>
      <c r="AI44" s="583">
        <f t="shared" si="38"/>
        <v>0</v>
      </c>
      <c r="AJ44" s="583">
        <f t="shared" si="38"/>
        <v>0</v>
      </c>
      <c r="AK44" s="583">
        <f t="shared" si="38"/>
        <v>0</v>
      </c>
      <c r="AL44" s="583">
        <f t="shared" si="38"/>
        <v>0</v>
      </c>
      <c r="AM44" s="583">
        <f t="shared" si="38"/>
        <v>0</v>
      </c>
      <c r="AN44" s="583">
        <f t="shared" si="38"/>
        <v>0</v>
      </c>
      <c r="AO44" s="583">
        <f t="shared" si="38"/>
        <v>0</v>
      </c>
      <c r="AP44" s="583">
        <f t="shared" si="38"/>
        <v>0</v>
      </c>
      <c r="AQ44" s="323">
        <f t="shared" si="38"/>
        <v>0</v>
      </c>
      <c r="AR44" s="589">
        <f t="shared" si="38"/>
        <v>10287321</v>
      </c>
      <c r="AS44" s="582">
        <f t="shared" si="38"/>
        <v>7536942</v>
      </c>
      <c r="AT44" s="582">
        <f t="shared" si="38"/>
        <v>13000</v>
      </c>
      <c r="AU44" s="582">
        <f t="shared" si="38"/>
        <v>2551880</v>
      </c>
      <c r="AV44" s="582">
        <f t="shared" si="38"/>
        <v>150739</v>
      </c>
      <c r="AW44" s="582">
        <f t="shared" si="38"/>
        <v>34760</v>
      </c>
      <c r="AX44" s="583">
        <f t="shared" si="38"/>
        <v>14.0457</v>
      </c>
      <c r="AY44" s="583">
        <f t="shared" si="38"/>
        <v>12.420999999999999</v>
      </c>
      <c r="AZ44" s="323">
        <f t="shared" si="38"/>
        <v>1.6247</v>
      </c>
    </row>
    <row r="45" spans="1:52" ht="12.95" customHeight="1" x14ac:dyDescent="0.25">
      <c r="A45" s="313">
        <v>8</v>
      </c>
      <c r="B45" s="314">
        <v>4474</v>
      </c>
      <c r="C45" s="314">
        <v>600075192</v>
      </c>
      <c r="D45" s="314">
        <v>49864661</v>
      </c>
      <c r="E45" s="316" t="s">
        <v>341</v>
      </c>
      <c r="F45" s="314">
        <v>3233</v>
      </c>
      <c r="G45" s="326" t="s">
        <v>319</v>
      </c>
      <c r="H45" s="317" t="s">
        <v>279</v>
      </c>
      <c r="I45" s="494">
        <v>1802430</v>
      </c>
      <c r="J45" s="489">
        <v>1293992</v>
      </c>
      <c r="K45" s="489">
        <v>32500</v>
      </c>
      <c r="L45" s="489">
        <v>448354</v>
      </c>
      <c r="M45" s="489">
        <v>25880</v>
      </c>
      <c r="N45" s="489">
        <v>1704</v>
      </c>
      <c r="O45" s="490">
        <v>2.7600000000000002</v>
      </c>
      <c r="P45" s="491">
        <v>1.97</v>
      </c>
      <c r="Q45" s="658">
        <v>0.79</v>
      </c>
      <c r="R45" s="501">
        <f t="shared" si="1"/>
        <v>0</v>
      </c>
      <c r="S45" s="492">
        <v>0</v>
      </c>
      <c r="T45" s="492">
        <v>217129</v>
      </c>
      <c r="U45" s="492">
        <v>0</v>
      </c>
      <c r="V45" s="492">
        <f t="shared" si="2"/>
        <v>217129</v>
      </c>
      <c r="W45" s="492">
        <v>0</v>
      </c>
      <c r="X45" s="492">
        <v>0</v>
      </c>
      <c r="Y45" s="492">
        <v>0</v>
      </c>
      <c r="Z45" s="492">
        <f>SUM(W45:Y45)</f>
        <v>0</v>
      </c>
      <c r="AA45" s="492">
        <f>V45+Z45</f>
        <v>217129</v>
      </c>
      <c r="AB45" s="74">
        <f>ROUND((V45+W45+X45)*33.8%,0)</f>
        <v>73390</v>
      </c>
      <c r="AC45" s="74">
        <f>ROUND(V45*2%,0)</f>
        <v>4343</v>
      </c>
      <c r="AD45" s="492">
        <v>0</v>
      </c>
      <c r="AE45" s="492">
        <v>10011</v>
      </c>
      <c r="AF45" s="492">
        <f t="shared" si="3"/>
        <v>10011</v>
      </c>
      <c r="AG45" s="492">
        <f t="shared" si="4"/>
        <v>304873</v>
      </c>
      <c r="AH45" s="493">
        <v>0</v>
      </c>
      <c r="AI45" s="493">
        <v>0</v>
      </c>
      <c r="AJ45" s="493">
        <v>0</v>
      </c>
      <c r="AK45" s="493">
        <v>0.33</v>
      </c>
      <c r="AL45" s="493">
        <v>0.13</v>
      </c>
      <c r="AM45" s="493">
        <v>0</v>
      </c>
      <c r="AN45" s="493">
        <v>0</v>
      </c>
      <c r="AO45" s="493">
        <f t="shared" ref="AO45" si="39">AH45+AJ45+AK45+AM45</f>
        <v>0.33</v>
      </c>
      <c r="AP45" s="493">
        <f t="shared" ref="AP45" si="40">AI45+AN45+AL45</f>
        <v>0.13</v>
      </c>
      <c r="AQ45" s="495">
        <f t="shared" si="7"/>
        <v>0.46</v>
      </c>
      <c r="AR45" s="501">
        <f>I45+AG45</f>
        <v>2107303</v>
      </c>
      <c r="AS45" s="492">
        <f>J45+V45</f>
        <v>1511121</v>
      </c>
      <c r="AT45" s="492">
        <f>K45+Z45</f>
        <v>32500</v>
      </c>
      <c r="AU45" s="492">
        <f>L45+AB45</f>
        <v>521744</v>
      </c>
      <c r="AV45" s="492">
        <f>M45+AC45</f>
        <v>30223</v>
      </c>
      <c r="AW45" s="492">
        <f>N45+AF45</f>
        <v>11715</v>
      </c>
      <c r="AX45" s="493">
        <f>O45+AQ45</f>
        <v>3.22</v>
      </c>
      <c r="AY45" s="493">
        <f>P45+AO45</f>
        <v>2.2999999999999998</v>
      </c>
      <c r="AZ45" s="495">
        <f>Q45+AP45</f>
        <v>0.92</v>
      </c>
    </row>
    <row r="46" spans="1:52" ht="12.95" customHeight="1" x14ac:dyDescent="0.25">
      <c r="A46" s="306">
        <v>8</v>
      </c>
      <c r="B46" s="308">
        <v>4474</v>
      </c>
      <c r="C46" s="308">
        <v>600075192</v>
      </c>
      <c r="D46" s="308">
        <v>49864661</v>
      </c>
      <c r="E46" s="321" t="s">
        <v>342</v>
      </c>
      <c r="F46" s="324"/>
      <c r="G46" s="325"/>
      <c r="H46" s="325"/>
      <c r="I46" s="585">
        <v>1802430</v>
      </c>
      <c r="J46" s="582">
        <v>1293992</v>
      </c>
      <c r="K46" s="582">
        <v>32500</v>
      </c>
      <c r="L46" s="582">
        <v>448354</v>
      </c>
      <c r="M46" s="582">
        <v>25880</v>
      </c>
      <c r="N46" s="582">
        <v>1704</v>
      </c>
      <c r="O46" s="583">
        <v>2.7600000000000002</v>
      </c>
      <c r="P46" s="583">
        <v>1.97</v>
      </c>
      <c r="Q46" s="323">
        <v>0.79</v>
      </c>
      <c r="R46" s="589">
        <f t="shared" ref="R46:AZ46" si="41">SUM(R45)</f>
        <v>0</v>
      </c>
      <c r="S46" s="582">
        <f t="shared" si="41"/>
        <v>0</v>
      </c>
      <c r="T46" s="582">
        <f t="shared" si="41"/>
        <v>217129</v>
      </c>
      <c r="U46" s="582">
        <f t="shared" si="41"/>
        <v>0</v>
      </c>
      <c r="V46" s="582">
        <f t="shared" si="41"/>
        <v>217129</v>
      </c>
      <c r="W46" s="582">
        <f t="shared" si="41"/>
        <v>0</v>
      </c>
      <c r="X46" s="582">
        <f t="shared" si="41"/>
        <v>0</v>
      </c>
      <c r="Y46" s="582">
        <f t="shared" si="41"/>
        <v>0</v>
      </c>
      <c r="Z46" s="582">
        <f t="shared" si="41"/>
        <v>0</v>
      </c>
      <c r="AA46" s="582">
        <f t="shared" si="41"/>
        <v>217129</v>
      </c>
      <c r="AB46" s="582">
        <f t="shared" si="41"/>
        <v>73390</v>
      </c>
      <c r="AC46" s="582">
        <f t="shared" si="41"/>
        <v>4343</v>
      </c>
      <c r="AD46" s="582">
        <f t="shared" si="41"/>
        <v>0</v>
      </c>
      <c r="AE46" s="582">
        <f t="shared" si="41"/>
        <v>10011</v>
      </c>
      <c r="AF46" s="582">
        <f t="shared" si="41"/>
        <v>10011</v>
      </c>
      <c r="AG46" s="582">
        <f t="shared" si="41"/>
        <v>304873</v>
      </c>
      <c r="AH46" s="583">
        <f t="shared" si="41"/>
        <v>0</v>
      </c>
      <c r="AI46" s="583">
        <f t="shared" si="41"/>
        <v>0</v>
      </c>
      <c r="AJ46" s="583">
        <f t="shared" si="41"/>
        <v>0</v>
      </c>
      <c r="AK46" s="583">
        <f t="shared" si="41"/>
        <v>0.33</v>
      </c>
      <c r="AL46" s="583">
        <f t="shared" si="41"/>
        <v>0.13</v>
      </c>
      <c r="AM46" s="583">
        <f t="shared" si="41"/>
        <v>0</v>
      </c>
      <c r="AN46" s="583">
        <f t="shared" si="41"/>
        <v>0</v>
      </c>
      <c r="AO46" s="583">
        <f t="shared" si="41"/>
        <v>0.33</v>
      </c>
      <c r="AP46" s="583">
        <f t="shared" si="41"/>
        <v>0.13</v>
      </c>
      <c r="AQ46" s="323">
        <f t="shared" si="41"/>
        <v>0.46</v>
      </c>
      <c r="AR46" s="589">
        <f t="shared" si="41"/>
        <v>2107303</v>
      </c>
      <c r="AS46" s="582">
        <f t="shared" si="41"/>
        <v>1511121</v>
      </c>
      <c r="AT46" s="582">
        <f t="shared" si="41"/>
        <v>32500</v>
      </c>
      <c r="AU46" s="582">
        <f t="shared" si="41"/>
        <v>521744</v>
      </c>
      <c r="AV46" s="582">
        <f t="shared" si="41"/>
        <v>30223</v>
      </c>
      <c r="AW46" s="582">
        <f t="shared" si="41"/>
        <v>11715</v>
      </c>
      <c r="AX46" s="583">
        <f t="shared" si="41"/>
        <v>3.22</v>
      </c>
      <c r="AY46" s="583">
        <f t="shared" si="41"/>
        <v>2.2999999999999998</v>
      </c>
      <c r="AZ46" s="323">
        <f t="shared" si="41"/>
        <v>0.92</v>
      </c>
    </row>
    <row r="47" spans="1:52" ht="12.95" customHeight="1" x14ac:dyDescent="0.25">
      <c r="A47" s="313">
        <v>9</v>
      </c>
      <c r="B47" s="314">
        <v>4402</v>
      </c>
      <c r="C47" s="315">
        <v>600074021</v>
      </c>
      <c r="D47" s="314">
        <v>70695342</v>
      </c>
      <c r="E47" s="316" t="s">
        <v>343</v>
      </c>
      <c r="F47" s="314">
        <v>3111</v>
      </c>
      <c r="G47" s="317" t="s">
        <v>326</v>
      </c>
      <c r="H47" s="317" t="s">
        <v>278</v>
      </c>
      <c r="I47" s="494">
        <v>12030224</v>
      </c>
      <c r="J47" s="489">
        <v>8803442</v>
      </c>
      <c r="K47" s="489">
        <v>0</v>
      </c>
      <c r="L47" s="489">
        <v>2975563</v>
      </c>
      <c r="M47" s="489">
        <v>176069</v>
      </c>
      <c r="N47" s="489">
        <v>75150</v>
      </c>
      <c r="O47" s="490">
        <v>19.607300000000002</v>
      </c>
      <c r="P47" s="491">
        <v>13.972300000000001</v>
      </c>
      <c r="Q47" s="658">
        <v>5.6349999999999998</v>
      </c>
      <c r="R47" s="501">
        <f t="shared" si="1"/>
        <v>0</v>
      </c>
      <c r="S47" s="492">
        <v>0</v>
      </c>
      <c r="T47" s="492">
        <v>0</v>
      </c>
      <c r="U47" s="492">
        <v>0</v>
      </c>
      <c r="V47" s="492">
        <f t="shared" si="2"/>
        <v>0</v>
      </c>
      <c r="W47" s="492">
        <v>0</v>
      </c>
      <c r="X47" s="492">
        <v>0</v>
      </c>
      <c r="Y47" s="492">
        <v>0</v>
      </c>
      <c r="Z47" s="492">
        <f>SUM(W47:Y47)</f>
        <v>0</v>
      </c>
      <c r="AA47" s="492">
        <f>V47+Z47</f>
        <v>0</v>
      </c>
      <c r="AB47" s="74">
        <f>ROUND((V47+W47+X47)*33.8%,0)</f>
        <v>0</v>
      </c>
      <c r="AC47" s="74">
        <f>ROUND(V47*2%,0)</f>
        <v>0</v>
      </c>
      <c r="AD47" s="492">
        <v>0</v>
      </c>
      <c r="AE47" s="492">
        <v>0</v>
      </c>
      <c r="AF47" s="492">
        <f t="shared" si="3"/>
        <v>0</v>
      </c>
      <c r="AG47" s="492">
        <f t="shared" si="4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ref="AO47:AO49" si="42">AH47+AJ47+AK47+AM47</f>
        <v>0</v>
      </c>
      <c r="AP47" s="493">
        <f t="shared" ref="AP47:AP49" si="43">AI47+AN47+AL47</f>
        <v>0</v>
      </c>
      <c r="AQ47" s="495">
        <f t="shared" si="7"/>
        <v>0</v>
      </c>
      <c r="AR47" s="501">
        <f>I47+AG47</f>
        <v>12030224</v>
      </c>
      <c r="AS47" s="492">
        <f>J47+V47</f>
        <v>8803442</v>
      </c>
      <c r="AT47" s="492">
        <f t="shared" ref="AT47:AT49" si="44">K47+Z47</f>
        <v>0</v>
      </c>
      <c r="AU47" s="492">
        <f t="shared" ref="AU47:AV49" si="45">L47+AB47</f>
        <v>2975563</v>
      </c>
      <c r="AV47" s="492">
        <f t="shared" si="45"/>
        <v>176069</v>
      </c>
      <c r="AW47" s="492">
        <f>N47+AF47</f>
        <v>75150</v>
      </c>
      <c r="AX47" s="493">
        <f>O47+AQ47</f>
        <v>19.607300000000002</v>
      </c>
      <c r="AY47" s="493">
        <f t="shared" ref="AY47:AZ49" si="46">P47+AO47</f>
        <v>13.972300000000001</v>
      </c>
      <c r="AZ47" s="495">
        <f t="shared" si="46"/>
        <v>5.6349999999999998</v>
      </c>
    </row>
    <row r="48" spans="1:52" ht="12.95" customHeight="1" x14ac:dyDescent="0.25">
      <c r="A48" s="313">
        <v>9</v>
      </c>
      <c r="B48" s="314">
        <v>4402</v>
      </c>
      <c r="C48" s="315">
        <v>600074021</v>
      </c>
      <c r="D48" s="314">
        <v>70695342</v>
      </c>
      <c r="E48" s="316" t="s">
        <v>343</v>
      </c>
      <c r="F48" s="314">
        <v>3111</v>
      </c>
      <c r="G48" s="317" t="s">
        <v>320</v>
      </c>
      <c r="H48" s="317" t="s">
        <v>279</v>
      </c>
      <c r="I48" s="494">
        <v>653436</v>
      </c>
      <c r="J48" s="489">
        <v>481175</v>
      </c>
      <c r="K48" s="489">
        <v>0</v>
      </c>
      <c r="L48" s="489">
        <v>162637</v>
      </c>
      <c r="M48" s="489">
        <v>9624</v>
      </c>
      <c r="N48" s="489">
        <v>0</v>
      </c>
      <c r="O48" s="490">
        <v>1.39</v>
      </c>
      <c r="P48" s="491">
        <v>1.39</v>
      </c>
      <c r="Q48" s="658">
        <v>0</v>
      </c>
      <c r="R48" s="501">
        <f t="shared" si="1"/>
        <v>0</v>
      </c>
      <c r="S48" s="492">
        <v>0</v>
      </c>
      <c r="T48" s="492">
        <v>0</v>
      </c>
      <c r="U48" s="492">
        <v>0</v>
      </c>
      <c r="V48" s="492">
        <f t="shared" si="2"/>
        <v>0</v>
      </c>
      <c r="W48" s="492">
        <v>0</v>
      </c>
      <c r="X48" s="492">
        <v>0</v>
      </c>
      <c r="Y48" s="492">
        <v>0</v>
      </c>
      <c r="Z48" s="492">
        <f>SUM(W48:Y48)</f>
        <v>0</v>
      </c>
      <c r="AA48" s="492">
        <f>V48+Z48</f>
        <v>0</v>
      </c>
      <c r="AB48" s="74">
        <f>ROUND((V48+W48+X48)*33.8%,0)</f>
        <v>0</v>
      </c>
      <c r="AC48" s="74">
        <f>ROUND(V48*2%,0)</f>
        <v>0</v>
      </c>
      <c r="AD48" s="492">
        <v>0</v>
      </c>
      <c r="AE48" s="492">
        <v>0</v>
      </c>
      <c r="AF48" s="492">
        <f t="shared" si="3"/>
        <v>0</v>
      </c>
      <c r="AG48" s="492">
        <f t="shared" si="4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42"/>
        <v>0</v>
      </c>
      <c r="AP48" s="493">
        <f t="shared" si="43"/>
        <v>0</v>
      </c>
      <c r="AQ48" s="495">
        <f t="shared" si="7"/>
        <v>0</v>
      </c>
      <c r="AR48" s="501">
        <f>I48+AG48</f>
        <v>653436</v>
      </c>
      <c r="AS48" s="492">
        <f>J48+V48</f>
        <v>481175</v>
      </c>
      <c r="AT48" s="492">
        <f t="shared" si="44"/>
        <v>0</v>
      </c>
      <c r="AU48" s="492">
        <f t="shared" si="45"/>
        <v>162637</v>
      </c>
      <c r="AV48" s="492">
        <f t="shared" si="45"/>
        <v>9624</v>
      </c>
      <c r="AW48" s="492">
        <f>N48+AF48</f>
        <v>0</v>
      </c>
      <c r="AX48" s="493">
        <f>O48+AQ48</f>
        <v>1.39</v>
      </c>
      <c r="AY48" s="493">
        <f t="shared" si="46"/>
        <v>1.39</v>
      </c>
      <c r="AZ48" s="495">
        <f t="shared" si="46"/>
        <v>0</v>
      </c>
    </row>
    <row r="49" spans="1:52" ht="12.95" customHeight="1" x14ac:dyDescent="0.25">
      <c r="A49" s="313">
        <v>9</v>
      </c>
      <c r="B49" s="314">
        <v>4402</v>
      </c>
      <c r="C49" s="315">
        <v>600074021</v>
      </c>
      <c r="D49" s="314">
        <v>70695342</v>
      </c>
      <c r="E49" s="316" t="s">
        <v>343</v>
      </c>
      <c r="F49" s="314">
        <v>3141</v>
      </c>
      <c r="G49" s="317" t="s">
        <v>316</v>
      </c>
      <c r="H49" s="317" t="s">
        <v>279</v>
      </c>
      <c r="I49" s="494">
        <v>2087724</v>
      </c>
      <c r="J49" s="489">
        <v>1530021</v>
      </c>
      <c r="K49" s="489">
        <v>0</v>
      </c>
      <c r="L49" s="489">
        <v>517147</v>
      </c>
      <c r="M49" s="489">
        <v>30600</v>
      </c>
      <c r="N49" s="489">
        <v>9956</v>
      </c>
      <c r="O49" s="490">
        <v>4.82</v>
      </c>
      <c r="P49" s="491">
        <v>0</v>
      </c>
      <c r="Q49" s="658">
        <v>4.82</v>
      </c>
      <c r="R49" s="501">
        <f t="shared" si="1"/>
        <v>0</v>
      </c>
      <c r="S49" s="492">
        <v>0</v>
      </c>
      <c r="T49" s="492">
        <v>0</v>
      </c>
      <c r="U49" s="492">
        <v>0</v>
      </c>
      <c r="V49" s="492">
        <f t="shared" si="2"/>
        <v>0</v>
      </c>
      <c r="W49" s="492">
        <v>0</v>
      </c>
      <c r="X49" s="492">
        <v>0</v>
      </c>
      <c r="Y49" s="492">
        <v>0</v>
      </c>
      <c r="Z49" s="492">
        <f>SUM(W49:Y49)</f>
        <v>0</v>
      </c>
      <c r="AA49" s="492">
        <f>V49+Z49</f>
        <v>0</v>
      </c>
      <c r="AB49" s="74">
        <f>ROUND((V49+W49+X49)*33.8%,0)</f>
        <v>0</v>
      </c>
      <c r="AC49" s="74">
        <f>ROUND(V49*2%,0)</f>
        <v>0</v>
      </c>
      <c r="AD49" s="492">
        <v>0</v>
      </c>
      <c r="AE49" s="492">
        <v>0</v>
      </c>
      <c r="AF49" s="492">
        <f t="shared" si="3"/>
        <v>0</v>
      </c>
      <c r="AG49" s="492">
        <f t="shared" si="4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si="42"/>
        <v>0</v>
      </c>
      <c r="AP49" s="493">
        <f t="shared" si="43"/>
        <v>0</v>
      </c>
      <c r="AQ49" s="495">
        <f t="shared" si="7"/>
        <v>0</v>
      </c>
      <c r="AR49" s="501">
        <f>I49+AG49</f>
        <v>2087724</v>
      </c>
      <c r="AS49" s="492">
        <f>J49+V49</f>
        <v>1530021</v>
      </c>
      <c r="AT49" s="492">
        <f t="shared" si="44"/>
        <v>0</v>
      </c>
      <c r="AU49" s="492">
        <f t="shared" si="45"/>
        <v>517147</v>
      </c>
      <c r="AV49" s="492">
        <f t="shared" si="45"/>
        <v>30600</v>
      </c>
      <c r="AW49" s="492">
        <f>N49+AF49</f>
        <v>9956</v>
      </c>
      <c r="AX49" s="493">
        <f>O49+AQ49</f>
        <v>4.82</v>
      </c>
      <c r="AY49" s="493">
        <f t="shared" si="46"/>
        <v>0</v>
      </c>
      <c r="AZ49" s="495">
        <f t="shared" si="46"/>
        <v>4.82</v>
      </c>
    </row>
    <row r="50" spans="1:52" ht="12.95" customHeight="1" x14ac:dyDescent="0.25">
      <c r="A50" s="306">
        <v>9</v>
      </c>
      <c r="B50" s="308">
        <v>4402</v>
      </c>
      <c r="C50" s="320">
        <v>600074021</v>
      </c>
      <c r="D50" s="308">
        <v>70695342</v>
      </c>
      <c r="E50" s="321" t="s">
        <v>344</v>
      </c>
      <c r="F50" s="324"/>
      <c r="G50" s="325"/>
      <c r="H50" s="325"/>
      <c r="I50" s="585">
        <v>14771384</v>
      </c>
      <c r="J50" s="582">
        <v>10814638</v>
      </c>
      <c r="K50" s="582">
        <v>0</v>
      </c>
      <c r="L50" s="582">
        <v>3655347</v>
      </c>
      <c r="M50" s="582">
        <v>216293</v>
      </c>
      <c r="N50" s="582">
        <v>85106</v>
      </c>
      <c r="O50" s="583">
        <v>25.817300000000003</v>
      </c>
      <c r="P50" s="583">
        <v>15.362300000000001</v>
      </c>
      <c r="Q50" s="323">
        <v>10.455</v>
      </c>
      <c r="R50" s="589">
        <f t="shared" ref="R50:AZ50" si="47">SUM(R47:R49)</f>
        <v>0</v>
      </c>
      <c r="S50" s="582">
        <f t="shared" si="47"/>
        <v>0</v>
      </c>
      <c r="T50" s="582">
        <f t="shared" si="47"/>
        <v>0</v>
      </c>
      <c r="U50" s="582">
        <f t="shared" si="47"/>
        <v>0</v>
      </c>
      <c r="V50" s="582">
        <f t="shared" si="47"/>
        <v>0</v>
      </c>
      <c r="W50" s="582">
        <f t="shared" si="47"/>
        <v>0</v>
      </c>
      <c r="X50" s="582">
        <f t="shared" si="47"/>
        <v>0</v>
      </c>
      <c r="Y50" s="582">
        <f t="shared" si="47"/>
        <v>0</v>
      </c>
      <c r="Z50" s="582">
        <f t="shared" si="47"/>
        <v>0</v>
      </c>
      <c r="AA50" s="582">
        <f t="shared" si="47"/>
        <v>0</v>
      </c>
      <c r="AB50" s="582">
        <f t="shared" si="47"/>
        <v>0</v>
      </c>
      <c r="AC50" s="582">
        <f t="shared" si="47"/>
        <v>0</v>
      </c>
      <c r="AD50" s="582">
        <f t="shared" si="47"/>
        <v>0</v>
      </c>
      <c r="AE50" s="582">
        <f t="shared" si="47"/>
        <v>0</v>
      </c>
      <c r="AF50" s="582">
        <f t="shared" si="47"/>
        <v>0</v>
      </c>
      <c r="AG50" s="582">
        <f t="shared" si="47"/>
        <v>0</v>
      </c>
      <c r="AH50" s="583">
        <f t="shared" si="47"/>
        <v>0</v>
      </c>
      <c r="AI50" s="583">
        <f t="shared" si="47"/>
        <v>0</v>
      </c>
      <c r="AJ50" s="583">
        <f t="shared" si="47"/>
        <v>0</v>
      </c>
      <c r="AK50" s="583">
        <f t="shared" si="47"/>
        <v>0</v>
      </c>
      <c r="AL50" s="583">
        <f t="shared" si="47"/>
        <v>0</v>
      </c>
      <c r="AM50" s="583">
        <f t="shared" si="47"/>
        <v>0</v>
      </c>
      <c r="AN50" s="583">
        <f t="shared" si="47"/>
        <v>0</v>
      </c>
      <c r="AO50" s="583">
        <f t="shared" si="47"/>
        <v>0</v>
      </c>
      <c r="AP50" s="583">
        <f t="shared" si="47"/>
        <v>0</v>
      </c>
      <c r="AQ50" s="323">
        <f t="shared" si="47"/>
        <v>0</v>
      </c>
      <c r="AR50" s="589">
        <f t="shared" si="47"/>
        <v>14771384</v>
      </c>
      <c r="AS50" s="582">
        <f t="shared" si="47"/>
        <v>10814638</v>
      </c>
      <c r="AT50" s="582">
        <f t="shared" si="47"/>
        <v>0</v>
      </c>
      <c r="AU50" s="582">
        <f t="shared" si="47"/>
        <v>3655347</v>
      </c>
      <c r="AV50" s="582">
        <f t="shared" si="47"/>
        <v>216293</v>
      </c>
      <c r="AW50" s="582">
        <f t="shared" si="47"/>
        <v>85106</v>
      </c>
      <c r="AX50" s="583">
        <f t="shared" si="47"/>
        <v>25.817300000000003</v>
      </c>
      <c r="AY50" s="583">
        <f t="shared" si="47"/>
        <v>15.362300000000001</v>
      </c>
      <c r="AZ50" s="323">
        <f t="shared" si="47"/>
        <v>10.455</v>
      </c>
    </row>
    <row r="51" spans="1:52" ht="12.95" customHeight="1" x14ac:dyDescent="0.25">
      <c r="A51" s="313">
        <v>10</v>
      </c>
      <c r="B51" s="314">
        <v>4481</v>
      </c>
      <c r="C51" s="314">
        <v>600074722</v>
      </c>
      <c r="D51" s="314">
        <v>70942692</v>
      </c>
      <c r="E51" s="316" t="s">
        <v>345</v>
      </c>
      <c r="F51" s="314">
        <v>3113</v>
      </c>
      <c r="G51" s="317" t="s">
        <v>346</v>
      </c>
      <c r="H51" s="317" t="s">
        <v>278</v>
      </c>
      <c r="I51" s="494">
        <v>26042570</v>
      </c>
      <c r="J51" s="489">
        <v>18793343</v>
      </c>
      <c r="K51" s="489">
        <v>0</v>
      </c>
      <c r="L51" s="489">
        <v>6352150</v>
      </c>
      <c r="M51" s="489">
        <v>375867</v>
      </c>
      <c r="N51" s="489">
        <v>521210</v>
      </c>
      <c r="O51" s="490">
        <v>33.789200000000001</v>
      </c>
      <c r="P51" s="491">
        <v>25.4998</v>
      </c>
      <c r="Q51" s="658">
        <v>8.2894000000000005</v>
      </c>
      <c r="R51" s="501">
        <f t="shared" si="1"/>
        <v>0</v>
      </c>
      <c r="S51" s="492">
        <v>0</v>
      </c>
      <c r="T51" s="492">
        <v>0</v>
      </c>
      <c r="U51" s="492">
        <v>0</v>
      </c>
      <c r="V51" s="492">
        <f t="shared" si="2"/>
        <v>0</v>
      </c>
      <c r="W51" s="492">
        <v>0</v>
      </c>
      <c r="X51" s="492">
        <v>0</v>
      </c>
      <c r="Y51" s="492">
        <v>0</v>
      </c>
      <c r="Z51" s="492">
        <f>SUM(W51:Y51)</f>
        <v>0</v>
      </c>
      <c r="AA51" s="492">
        <f>V51+Z51</f>
        <v>0</v>
      </c>
      <c r="AB51" s="74">
        <f>ROUND((V51+W51+X51)*33.8%,0)</f>
        <v>0</v>
      </c>
      <c r="AC51" s="74">
        <f>ROUND(V51*2%,0)</f>
        <v>0</v>
      </c>
      <c r="AD51" s="492">
        <v>0</v>
      </c>
      <c r="AE51" s="492">
        <v>0</v>
      </c>
      <c r="AF51" s="492">
        <f t="shared" si="3"/>
        <v>0</v>
      </c>
      <c r="AG51" s="492">
        <f t="shared" si="4"/>
        <v>0</v>
      </c>
      <c r="AH51" s="493">
        <v>0</v>
      </c>
      <c r="AI51" s="493">
        <v>0</v>
      </c>
      <c r="AJ51" s="493">
        <v>0</v>
      </c>
      <c r="AK51" s="493">
        <v>0</v>
      </c>
      <c r="AL51" s="493">
        <v>0</v>
      </c>
      <c r="AM51" s="493">
        <v>0</v>
      </c>
      <c r="AN51" s="493">
        <v>0</v>
      </c>
      <c r="AO51" s="493">
        <f t="shared" ref="AO51:AO55" si="48">AH51+AJ51+AK51+AM51</f>
        <v>0</v>
      </c>
      <c r="AP51" s="493">
        <f t="shared" ref="AP51:AP55" si="49">AI51+AN51+AL51</f>
        <v>0</v>
      </c>
      <c r="AQ51" s="495">
        <f t="shared" si="7"/>
        <v>0</v>
      </c>
      <c r="AR51" s="501">
        <f>I51+AG51</f>
        <v>26042570</v>
      </c>
      <c r="AS51" s="492">
        <f>J51+V51</f>
        <v>18793343</v>
      </c>
      <c r="AT51" s="492">
        <f t="shared" ref="AT51:AT55" si="50">K51+Z51</f>
        <v>0</v>
      </c>
      <c r="AU51" s="492">
        <f t="shared" ref="AU51:AV55" si="51">L51+AB51</f>
        <v>6352150</v>
      </c>
      <c r="AV51" s="492">
        <f t="shared" si="51"/>
        <v>375867</v>
      </c>
      <c r="AW51" s="492">
        <f>N51+AF51</f>
        <v>521210</v>
      </c>
      <c r="AX51" s="493">
        <f>O51+AQ51</f>
        <v>33.789200000000001</v>
      </c>
      <c r="AY51" s="493">
        <f t="shared" ref="AY51:AZ55" si="52">P51+AO51</f>
        <v>25.4998</v>
      </c>
      <c r="AZ51" s="495">
        <f t="shared" si="52"/>
        <v>8.2894000000000005</v>
      </c>
    </row>
    <row r="52" spans="1:52" ht="12.95" customHeight="1" x14ac:dyDescent="0.25">
      <c r="A52" s="313">
        <v>10</v>
      </c>
      <c r="B52" s="314">
        <v>4481</v>
      </c>
      <c r="C52" s="314">
        <v>600074722</v>
      </c>
      <c r="D52" s="314">
        <v>70942692</v>
      </c>
      <c r="E52" s="316" t="s">
        <v>347</v>
      </c>
      <c r="F52" s="314">
        <v>3113</v>
      </c>
      <c r="G52" s="317" t="s">
        <v>320</v>
      </c>
      <c r="H52" s="317" t="s">
        <v>279</v>
      </c>
      <c r="I52" s="494">
        <v>2152298</v>
      </c>
      <c r="J52" s="489">
        <v>1583062</v>
      </c>
      <c r="K52" s="489">
        <v>0</v>
      </c>
      <c r="L52" s="489">
        <v>535075</v>
      </c>
      <c r="M52" s="489">
        <v>31661</v>
      </c>
      <c r="N52" s="489">
        <v>2500</v>
      </c>
      <c r="O52" s="490">
        <v>4.57</v>
      </c>
      <c r="P52" s="491">
        <v>4.57</v>
      </c>
      <c r="Q52" s="658">
        <v>0</v>
      </c>
      <c r="R52" s="501">
        <f t="shared" si="1"/>
        <v>0</v>
      </c>
      <c r="S52" s="492">
        <v>64958</v>
      </c>
      <c r="T52" s="492">
        <v>0</v>
      </c>
      <c r="U52" s="492">
        <v>0</v>
      </c>
      <c r="V52" s="492">
        <f t="shared" si="2"/>
        <v>64958</v>
      </c>
      <c r="W52" s="492">
        <v>0</v>
      </c>
      <c r="X52" s="492">
        <v>0</v>
      </c>
      <c r="Y52" s="492">
        <v>0</v>
      </c>
      <c r="Z52" s="492">
        <f>SUM(W52:Y52)</f>
        <v>0</v>
      </c>
      <c r="AA52" s="492">
        <f>V52+Z52</f>
        <v>64958</v>
      </c>
      <c r="AB52" s="74">
        <f>ROUND((V52+W52+X52)*33.8%,0)</f>
        <v>21956</v>
      </c>
      <c r="AC52" s="74">
        <f>ROUND(V52*2%,0)</f>
        <v>1299</v>
      </c>
      <c r="AD52" s="492">
        <v>0</v>
      </c>
      <c r="AE52" s="492">
        <v>0</v>
      </c>
      <c r="AF52" s="492">
        <f t="shared" si="3"/>
        <v>0</v>
      </c>
      <c r="AG52" s="492">
        <f t="shared" si="4"/>
        <v>88213</v>
      </c>
      <c r="AH52" s="493">
        <v>0</v>
      </c>
      <c r="AI52" s="493">
        <v>0</v>
      </c>
      <c r="AJ52" s="493">
        <v>0.19</v>
      </c>
      <c r="AK52" s="493">
        <v>0</v>
      </c>
      <c r="AL52" s="493">
        <v>0</v>
      </c>
      <c r="AM52" s="493">
        <v>0</v>
      </c>
      <c r="AN52" s="493">
        <v>0</v>
      </c>
      <c r="AO52" s="493">
        <f t="shared" si="48"/>
        <v>0.19</v>
      </c>
      <c r="AP52" s="493">
        <f t="shared" si="49"/>
        <v>0</v>
      </c>
      <c r="AQ52" s="495">
        <f t="shared" si="7"/>
        <v>0.19</v>
      </c>
      <c r="AR52" s="501">
        <f>I52+AG52</f>
        <v>2240511</v>
      </c>
      <c r="AS52" s="492">
        <f>J52+V52</f>
        <v>1648020</v>
      </c>
      <c r="AT52" s="492">
        <f t="shared" si="50"/>
        <v>0</v>
      </c>
      <c r="AU52" s="492">
        <f t="shared" si="51"/>
        <v>557031</v>
      </c>
      <c r="AV52" s="492">
        <f t="shared" si="51"/>
        <v>32960</v>
      </c>
      <c r="AW52" s="492">
        <f>N52+AF52</f>
        <v>2500</v>
      </c>
      <c r="AX52" s="493">
        <f>O52+AQ52</f>
        <v>4.7600000000000007</v>
      </c>
      <c r="AY52" s="493">
        <f t="shared" si="52"/>
        <v>4.7600000000000007</v>
      </c>
      <c r="AZ52" s="495">
        <f t="shared" si="52"/>
        <v>0</v>
      </c>
    </row>
    <row r="53" spans="1:52" ht="12.95" customHeight="1" x14ac:dyDescent="0.25">
      <c r="A53" s="313">
        <v>10</v>
      </c>
      <c r="B53" s="314">
        <v>4481</v>
      </c>
      <c r="C53" s="314">
        <v>600074722</v>
      </c>
      <c r="D53" s="314">
        <v>70942692</v>
      </c>
      <c r="E53" s="316" t="s">
        <v>347</v>
      </c>
      <c r="F53" s="314">
        <v>3141</v>
      </c>
      <c r="G53" s="317" t="s">
        <v>316</v>
      </c>
      <c r="H53" s="317" t="s">
        <v>279</v>
      </c>
      <c r="I53" s="494">
        <v>1580274</v>
      </c>
      <c r="J53" s="489">
        <v>1154666</v>
      </c>
      <c r="K53" s="489">
        <v>0</v>
      </c>
      <c r="L53" s="489">
        <v>390277</v>
      </c>
      <c r="M53" s="489">
        <v>23093</v>
      </c>
      <c r="N53" s="489">
        <v>12238</v>
      </c>
      <c r="O53" s="490">
        <v>3.64</v>
      </c>
      <c r="P53" s="491">
        <v>0</v>
      </c>
      <c r="Q53" s="658">
        <v>3.64</v>
      </c>
      <c r="R53" s="501">
        <f t="shared" si="1"/>
        <v>0</v>
      </c>
      <c r="S53" s="492">
        <v>0</v>
      </c>
      <c r="T53" s="492">
        <v>0</v>
      </c>
      <c r="U53" s="492">
        <v>0</v>
      </c>
      <c r="V53" s="492">
        <f t="shared" si="2"/>
        <v>0</v>
      </c>
      <c r="W53" s="492">
        <v>0</v>
      </c>
      <c r="X53" s="492">
        <v>0</v>
      </c>
      <c r="Y53" s="492">
        <v>0</v>
      </c>
      <c r="Z53" s="492">
        <f>SUM(W53:Y53)</f>
        <v>0</v>
      </c>
      <c r="AA53" s="492">
        <f>V53+Z53</f>
        <v>0</v>
      </c>
      <c r="AB53" s="74">
        <f>ROUND((V53+W53+X53)*33.8%,0)</f>
        <v>0</v>
      </c>
      <c r="AC53" s="74">
        <f>ROUND(V53*2%,0)</f>
        <v>0</v>
      </c>
      <c r="AD53" s="492">
        <v>0</v>
      </c>
      <c r="AE53" s="492">
        <v>0</v>
      </c>
      <c r="AF53" s="492">
        <f t="shared" si="3"/>
        <v>0</v>
      </c>
      <c r="AG53" s="492">
        <f t="shared" si="4"/>
        <v>0</v>
      </c>
      <c r="AH53" s="493">
        <v>0</v>
      </c>
      <c r="AI53" s="493">
        <v>0</v>
      </c>
      <c r="AJ53" s="493">
        <v>0</v>
      </c>
      <c r="AK53" s="493">
        <v>0</v>
      </c>
      <c r="AL53" s="493">
        <v>0</v>
      </c>
      <c r="AM53" s="493">
        <v>0</v>
      </c>
      <c r="AN53" s="493">
        <v>0</v>
      </c>
      <c r="AO53" s="493">
        <f t="shared" si="48"/>
        <v>0</v>
      </c>
      <c r="AP53" s="493">
        <f t="shared" si="49"/>
        <v>0</v>
      </c>
      <c r="AQ53" s="495">
        <f t="shared" si="7"/>
        <v>0</v>
      </c>
      <c r="AR53" s="501">
        <f>I53+AG53</f>
        <v>1580274</v>
      </c>
      <c r="AS53" s="492">
        <f>J53+V53</f>
        <v>1154666</v>
      </c>
      <c r="AT53" s="492">
        <f t="shared" si="50"/>
        <v>0</v>
      </c>
      <c r="AU53" s="492">
        <f t="shared" si="51"/>
        <v>390277</v>
      </c>
      <c r="AV53" s="492">
        <f t="shared" si="51"/>
        <v>23093</v>
      </c>
      <c r="AW53" s="492">
        <f>N53+AF53</f>
        <v>12238</v>
      </c>
      <c r="AX53" s="493">
        <f>O53+AQ53</f>
        <v>3.64</v>
      </c>
      <c r="AY53" s="493">
        <f t="shared" si="52"/>
        <v>0</v>
      </c>
      <c r="AZ53" s="495">
        <f t="shared" si="52"/>
        <v>3.64</v>
      </c>
    </row>
    <row r="54" spans="1:52" ht="12.95" customHeight="1" x14ac:dyDescent="0.25">
      <c r="A54" s="313">
        <v>10</v>
      </c>
      <c r="B54" s="314">
        <v>4481</v>
      </c>
      <c r="C54" s="314">
        <v>600074722</v>
      </c>
      <c r="D54" s="314">
        <v>70942692</v>
      </c>
      <c r="E54" s="316" t="s">
        <v>347</v>
      </c>
      <c r="F54" s="314">
        <v>3143</v>
      </c>
      <c r="G54" s="317" t="s">
        <v>629</v>
      </c>
      <c r="H54" s="317" t="s">
        <v>278</v>
      </c>
      <c r="I54" s="494">
        <v>1696284</v>
      </c>
      <c r="J54" s="489">
        <v>1249105</v>
      </c>
      <c r="K54" s="489">
        <v>0</v>
      </c>
      <c r="L54" s="489">
        <v>422197</v>
      </c>
      <c r="M54" s="489">
        <v>24982</v>
      </c>
      <c r="N54" s="489">
        <v>0</v>
      </c>
      <c r="O54" s="490">
        <v>2.5356999999999998</v>
      </c>
      <c r="P54" s="491">
        <v>2.5356999999999998</v>
      </c>
      <c r="Q54" s="658">
        <v>0</v>
      </c>
      <c r="R54" s="501">
        <f t="shared" si="1"/>
        <v>0</v>
      </c>
      <c r="S54" s="492">
        <v>0</v>
      </c>
      <c r="T54" s="492">
        <v>0</v>
      </c>
      <c r="U54" s="492">
        <v>0</v>
      </c>
      <c r="V54" s="492">
        <f t="shared" si="2"/>
        <v>0</v>
      </c>
      <c r="W54" s="492">
        <v>0</v>
      </c>
      <c r="X54" s="492">
        <v>0</v>
      </c>
      <c r="Y54" s="492">
        <v>0</v>
      </c>
      <c r="Z54" s="492">
        <f>SUM(W54:Y54)</f>
        <v>0</v>
      </c>
      <c r="AA54" s="492">
        <f>V54+Z54</f>
        <v>0</v>
      </c>
      <c r="AB54" s="74">
        <f>ROUND((V54+W54+X54)*33.8%,0)</f>
        <v>0</v>
      </c>
      <c r="AC54" s="74">
        <f>ROUND(V54*2%,0)</f>
        <v>0</v>
      </c>
      <c r="AD54" s="492">
        <v>0</v>
      </c>
      <c r="AE54" s="492">
        <v>0</v>
      </c>
      <c r="AF54" s="492">
        <f t="shared" si="3"/>
        <v>0</v>
      </c>
      <c r="AG54" s="492">
        <f t="shared" si="4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si="48"/>
        <v>0</v>
      </c>
      <c r="AP54" s="493">
        <f t="shared" si="49"/>
        <v>0</v>
      </c>
      <c r="AQ54" s="495">
        <f t="shared" si="7"/>
        <v>0</v>
      </c>
      <c r="AR54" s="501">
        <f>I54+AG54</f>
        <v>1696284</v>
      </c>
      <c r="AS54" s="492">
        <f>J54+V54</f>
        <v>1249105</v>
      </c>
      <c r="AT54" s="492">
        <f t="shared" si="50"/>
        <v>0</v>
      </c>
      <c r="AU54" s="492">
        <f t="shared" si="51"/>
        <v>422197</v>
      </c>
      <c r="AV54" s="492">
        <f t="shared" si="51"/>
        <v>24982</v>
      </c>
      <c r="AW54" s="492">
        <f>N54+AF54</f>
        <v>0</v>
      </c>
      <c r="AX54" s="493">
        <f>O54+AQ54</f>
        <v>2.5356999999999998</v>
      </c>
      <c r="AY54" s="493">
        <f t="shared" si="52"/>
        <v>2.5356999999999998</v>
      </c>
      <c r="AZ54" s="495">
        <f t="shared" si="52"/>
        <v>0</v>
      </c>
    </row>
    <row r="55" spans="1:52" ht="12.95" customHeight="1" x14ac:dyDescent="0.25">
      <c r="A55" s="313">
        <v>10</v>
      </c>
      <c r="B55" s="314">
        <v>4481</v>
      </c>
      <c r="C55" s="314">
        <v>600074722</v>
      </c>
      <c r="D55" s="314">
        <v>70942692</v>
      </c>
      <c r="E55" s="316" t="s">
        <v>347</v>
      </c>
      <c r="F55" s="314">
        <v>3143</v>
      </c>
      <c r="G55" s="317" t="s">
        <v>630</v>
      </c>
      <c r="H55" s="317" t="s">
        <v>279</v>
      </c>
      <c r="I55" s="494">
        <v>57456</v>
      </c>
      <c r="J55" s="489">
        <v>40630</v>
      </c>
      <c r="K55" s="489">
        <v>0</v>
      </c>
      <c r="L55" s="489">
        <v>13733</v>
      </c>
      <c r="M55" s="489">
        <v>813</v>
      </c>
      <c r="N55" s="489">
        <v>2280</v>
      </c>
      <c r="O55" s="490">
        <v>0.16</v>
      </c>
      <c r="P55" s="491">
        <v>0</v>
      </c>
      <c r="Q55" s="658">
        <v>0.16</v>
      </c>
      <c r="R55" s="501">
        <f t="shared" si="1"/>
        <v>0</v>
      </c>
      <c r="S55" s="492">
        <v>0</v>
      </c>
      <c r="T55" s="492">
        <v>0</v>
      </c>
      <c r="U55" s="492">
        <v>0</v>
      </c>
      <c r="V55" s="492">
        <f t="shared" si="2"/>
        <v>0</v>
      </c>
      <c r="W55" s="492">
        <v>0</v>
      </c>
      <c r="X55" s="492">
        <v>0</v>
      </c>
      <c r="Y55" s="492">
        <v>0</v>
      </c>
      <c r="Z55" s="492">
        <f>SUM(W55:Y55)</f>
        <v>0</v>
      </c>
      <c r="AA55" s="492">
        <f>V55+Z55</f>
        <v>0</v>
      </c>
      <c r="AB55" s="74">
        <f>ROUND((V55+W55+X55)*33.8%,0)</f>
        <v>0</v>
      </c>
      <c r="AC55" s="74">
        <f>ROUND(V55*2%,0)</f>
        <v>0</v>
      </c>
      <c r="AD55" s="492">
        <v>0</v>
      </c>
      <c r="AE55" s="492">
        <v>0</v>
      </c>
      <c r="AF55" s="492">
        <f t="shared" si="3"/>
        <v>0</v>
      </c>
      <c r="AG55" s="492">
        <f t="shared" si="4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48"/>
        <v>0</v>
      </c>
      <c r="AP55" s="493">
        <f t="shared" si="49"/>
        <v>0</v>
      </c>
      <c r="AQ55" s="495">
        <f t="shared" si="7"/>
        <v>0</v>
      </c>
      <c r="AR55" s="501">
        <f>I55+AG55</f>
        <v>57456</v>
      </c>
      <c r="AS55" s="492">
        <f>J55+V55</f>
        <v>40630</v>
      </c>
      <c r="AT55" s="492">
        <f t="shared" si="50"/>
        <v>0</v>
      </c>
      <c r="AU55" s="492">
        <f t="shared" si="51"/>
        <v>13733</v>
      </c>
      <c r="AV55" s="492">
        <f t="shared" si="51"/>
        <v>813</v>
      </c>
      <c r="AW55" s="492">
        <f>N55+AF55</f>
        <v>2280</v>
      </c>
      <c r="AX55" s="493">
        <f>O55+AQ55</f>
        <v>0.16</v>
      </c>
      <c r="AY55" s="493">
        <f t="shared" si="52"/>
        <v>0</v>
      </c>
      <c r="AZ55" s="495">
        <f t="shared" si="52"/>
        <v>0.16</v>
      </c>
    </row>
    <row r="56" spans="1:52" ht="12.95" customHeight="1" x14ac:dyDescent="0.25">
      <c r="A56" s="306">
        <v>10</v>
      </c>
      <c r="B56" s="308">
        <v>4481</v>
      </c>
      <c r="C56" s="308">
        <v>600074722</v>
      </c>
      <c r="D56" s="308">
        <v>70942692</v>
      </c>
      <c r="E56" s="321" t="s">
        <v>348</v>
      </c>
      <c r="F56" s="324"/>
      <c r="G56" s="325"/>
      <c r="H56" s="325"/>
      <c r="I56" s="585">
        <v>31528882</v>
      </c>
      <c r="J56" s="582">
        <v>22820806</v>
      </c>
      <c r="K56" s="582">
        <v>0</v>
      </c>
      <c r="L56" s="582">
        <v>7713432</v>
      </c>
      <c r="M56" s="582">
        <v>456416</v>
      </c>
      <c r="N56" s="582">
        <v>538228</v>
      </c>
      <c r="O56" s="583">
        <v>44.694899999999997</v>
      </c>
      <c r="P56" s="583">
        <v>32.605499999999999</v>
      </c>
      <c r="Q56" s="323">
        <v>12.089400000000001</v>
      </c>
      <c r="R56" s="589">
        <f t="shared" ref="R56:AZ56" si="53">SUM(R51:R55)</f>
        <v>0</v>
      </c>
      <c r="S56" s="582">
        <f t="shared" si="53"/>
        <v>64958</v>
      </c>
      <c r="T56" s="582">
        <f t="shared" si="53"/>
        <v>0</v>
      </c>
      <c r="U56" s="582">
        <f t="shared" si="53"/>
        <v>0</v>
      </c>
      <c r="V56" s="582">
        <f t="shared" si="53"/>
        <v>64958</v>
      </c>
      <c r="W56" s="582">
        <f t="shared" si="53"/>
        <v>0</v>
      </c>
      <c r="X56" s="582">
        <f t="shared" si="53"/>
        <v>0</v>
      </c>
      <c r="Y56" s="582">
        <f t="shared" si="53"/>
        <v>0</v>
      </c>
      <c r="Z56" s="582">
        <f t="shared" si="53"/>
        <v>0</v>
      </c>
      <c r="AA56" s="582">
        <f t="shared" si="53"/>
        <v>64958</v>
      </c>
      <c r="AB56" s="582">
        <f t="shared" si="53"/>
        <v>21956</v>
      </c>
      <c r="AC56" s="582">
        <f t="shared" si="53"/>
        <v>1299</v>
      </c>
      <c r="AD56" s="582">
        <f t="shared" si="53"/>
        <v>0</v>
      </c>
      <c r="AE56" s="582">
        <f t="shared" si="53"/>
        <v>0</v>
      </c>
      <c r="AF56" s="582">
        <f t="shared" si="53"/>
        <v>0</v>
      </c>
      <c r="AG56" s="582">
        <f t="shared" si="53"/>
        <v>88213</v>
      </c>
      <c r="AH56" s="583">
        <f t="shared" si="53"/>
        <v>0</v>
      </c>
      <c r="AI56" s="583">
        <f t="shared" si="53"/>
        <v>0</v>
      </c>
      <c r="AJ56" s="583">
        <f t="shared" si="53"/>
        <v>0.19</v>
      </c>
      <c r="AK56" s="583">
        <f t="shared" si="53"/>
        <v>0</v>
      </c>
      <c r="AL56" s="583">
        <f t="shared" si="53"/>
        <v>0</v>
      </c>
      <c r="AM56" s="583">
        <f t="shared" si="53"/>
        <v>0</v>
      </c>
      <c r="AN56" s="583">
        <f t="shared" si="53"/>
        <v>0</v>
      </c>
      <c r="AO56" s="583">
        <f t="shared" si="53"/>
        <v>0.19</v>
      </c>
      <c r="AP56" s="583">
        <f t="shared" si="53"/>
        <v>0</v>
      </c>
      <c r="AQ56" s="323">
        <f t="shared" si="53"/>
        <v>0.19</v>
      </c>
      <c r="AR56" s="589">
        <f t="shared" si="53"/>
        <v>31617095</v>
      </c>
      <c r="AS56" s="582">
        <f t="shared" si="53"/>
        <v>22885764</v>
      </c>
      <c r="AT56" s="582">
        <f t="shared" si="53"/>
        <v>0</v>
      </c>
      <c r="AU56" s="582">
        <f t="shared" si="53"/>
        <v>7735388</v>
      </c>
      <c r="AV56" s="582">
        <f t="shared" si="53"/>
        <v>457715</v>
      </c>
      <c r="AW56" s="582">
        <f t="shared" si="53"/>
        <v>538228</v>
      </c>
      <c r="AX56" s="583">
        <f t="shared" si="53"/>
        <v>44.884899999999995</v>
      </c>
      <c r="AY56" s="583">
        <f t="shared" si="53"/>
        <v>32.795500000000004</v>
      </c>
      <c r="AZ56" s="323">
        <f t="shared" si="53"/>
        <v>12.089400000000001</v>
      </c>
    </row>
    <row r="57" spans="1:52" ht="12.95" customHeight="1" x14ac:dyDescent="0.25">
      <c r="A57" s="313">
        <v>11</v>
      </c>
      <c r="B57" s="314">
        <v>4469</v>
      </c>
      <c r="C57" s="314">
        <v>600075079</v>
      </c>
      <c r="D57" s="314">
        <v>70695334</v>
      </c>
      <c r="E57" s="316" t="s">
        <v>349</v>
      </c>
      <c r="F57" s="314">
        <v>3231</v>
      </c>
      <c r="G57" s="317" t="s">
        <v>419</v>
      </c>
      <c r="H57" s="317" t="s">
        <v>278</v>
      </c>
      <c r="I57" s="494">
        <v>3054861</v>
      </c>
      <c r="J57" s="489">
        <v>2242265</v>
      </c>
      <c r="K57" s="489">
        <v>0</v>
      </c>
      <c r="L57" s="489">
        <v>757886</v>
      </c>
      <c r="M57" s="489">
        <v>44845</v>
      </c>
      <c r="N57" s="489">
        <v>9865</v>
      </c>
      <c r="O57" s="490">
        <v>4.1668000000000003</v>
      </c>
      <c r="P57" s="491">
        <v>3.6964999999999999</v>
      </c>
      <c r="Q57" s="658">
        <v>0.4703</v>
      </c>
      <c r="R57" s="501">
        <f t="shared" si="1"/>
        <v>0</v>
      </c>
      <c r="S57" s="492">
        <v>0</v>
      </c>
      <c r="T57" s="492">
        <v>0</v>
      </c>
      <c r="U57" s="492">
        <v>0</v>
      </c>
      <c r="V57" s="492">
        <f t="shared" si="2"/>
        <v>0</v>
      </c>
      <c r="W57" s="492">
        <v>0</v>
      </c>
      <c r="X57" s="492">
        <v>0</v>
      </c>
      <c r="Y57" s="492">
        <v>0</v>
      </c>
      <c r="Z57" s="492">
        <f>SUM(W57:Y57)</f>
        <v>0</v>
      </c>
      <c r="AA57" s="492">
        <f>V57+Z57</f>
        <v>0</v>
      </c>
      <c r="AB57" s="74">
        <f>ROUND((V57+W57+X57)*33.8%,0)</f>
        <v>0</v>
      </c>
      <c r="AC57" s="74">
        <f>ROUND(V57*2%,0)</f>
        <v>0</v>
      </c>
      <c r="AD57" s="492">
        <v>0</v>
      </c>
      <c r="AE57" s="492">
        <v>0</v>
      </c>
      <c r="AF57" s="492">
        <f t="shared" si="3"/>
        <v>0</v>
      </c>
      <c r="AG57" s="492">
        <f t="shared" si="4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ref="AO57" si="54">AH57+AJ57+AK57+AM57</f>
        <v>0</v>
      </c>
      <c r="AP57" s="493">
        <f t="shared" ref="AP57" si="55">AI57+AN57+AL57</f>
        <v>0</v>
      </c>
      <c r="AQ57" s="495">
        <f t="shared" si="7"/>
        <v>0</v>
      </c>
      <c r="AR57" s="501">
        <f>I57+AG57</f>
        <v>3054861</v>
      </c>
      <c r="AS57" s="492">
        <f>J57+V57</f>
        <v>2242265</v>
      </c>
      <c r="AT57" s="492">
        <f>K57+Z57</f>
        <v>0</v>
      </c>
      <c r="AU57" s="492">
        <f>L57+AB57</f>
        <v>757886</v>
      </c>
      <c r="AV57" s="492">
        <f>M57+AC57</f>
        <v>44845</v>
      </c>
      <c r="AW57" s="492">
        <f>N57+AF57</f>
        <v>9865</v>
      </c>
      <c r="AX57" s="493">
        <f>O57+AQ57</f>
        <v>4.1668000000000003</v>
      </c>
      <c r="AY57" s="493">
        <f>P57+AO57</f>
        <v>3.6964999999999999</v>
      </c>
      <c r="AZ57" s="495">
        <f>Q57+AP57</f>
        <v>0.4703</v>
      </c>
    </row>
    <row r="58" spans="1:52" ht="12.95" customHeight="1" x14ac:dyDescent="0.25">
      <c r="A58" s="306">
        <v>11</v>
      </c>
      <c r="B58" s="308">
        <v>4469</v>
      </c>
      <c r="C58" s="308">
        <v>600075079</v>
      </c>
      <c r="D58" s="308">
        <v>70695334</v>
      </c>
      <c r="E58" s="321" t="s">
        <v>350</v>
      </c>
      <c r="F58" s="324"/>
      <c r="G58" s="325"/>
      <c r="H58" s="325"/>
      <c r="I58" s="585">
        <v>3054861</v>
      </c>
      <c r="J58" s="582">
        <v>2242265</v>
      </c>
      <c r="K58" s="582">
        <v>0</v>
      </c>
      <c r="L58" s="582">
        <v>757886</v>
      </c>
      <c r="M58" s="582">
        <v>44845</v>
      </c>
      <c r="N58" s="582">
        <v>9865</v>
      </c>
      <c r="O58" s="583">
        <v>4.1668000000000003</v>
      </c>
      <c r="P58" s="583">
        <v>3.6964999999999999</v>
      </c>
      <c r="Q58" s="323">
        <v>0.4703</v>
      </c>
      <c r="R58" s="589">
        <f t="shared" ref="R58:AZ58" si="56">SUM(R57)</f>
        <v>0</v>
      </c>
      <c r="S58" s="582">
        <f t="shared" si="56"/>
        <v>0</v>
      </c>
      <c r="T58" s="582">
        <f t="shared" si="56"/>
        <v>0</v>
      </c>
      <c r="U58" s="582">
        <f t="shared" si="56"/>
        <v>0</v>
      </c>
      <c r="V58" s="582">
        <f t="shared" si="56"/>
        <v>0</v>
      </c>
      <c r="W58" s="582">
        <f t="shared" si="56"/>
        <v>0</v>
      </c>
      <c r="X58" s="582">
        <f t="shared" si="56"/>
        <v>0</v>
      </c>
      <c r="Y58" s="582">
        <f t="shared" si="56"/>
        <v>0</v>
      </c>
      <c r="Z58" s="582">
        <f t="shared" si="56"/>
        <v>0</v>
      </c>
      <c r="AA58" s="582">
        <f t="shared" si="56"/>
        <v>0</v>
      </c>
      <c r="AB58" s="582">
        <f t="shared" si="56"/>
        <v>0</v>
      </c>
      <c r="AC58" s="582">
        <f t="shared" si="56"/>
        <v>0</v>
      </c>
      <c r="AD58" s="582">
        <f t="shared" si="56"/>
        <v>0</v>
      </c>
      <c r="AE58" s="582">
        <f t="shared" si="56"/>
        <v>0</v>
      </c>
      <c r="AF58" s="582">
        <f t="shared" si="56"/>
        <v>0</v>
      </c>
      <c r="AG58" s="582">
        <f t="shared" si="56"/>
        <v>0</v>
      </c>
      <c r="AH58" s="583">
        <f t="shared" si="56"/>
        <v>0</v>
      </c>
      <c r="AI58" s="583">
        <f t="shared" si="56"/>
        <v>0</v>
      </c>
      <c r="AJ58" s="583">
        <f t="shared" si="56"/>
        <v>0</v>
      </c>
      <c r="AK58" s="583">
        <f t="shared" si="56"/>
        <v>0</v>
      </c>
      <c r="AL58" s="583">
        <f t="shared" si="56"/>
        <v>0</v>
      </c>
      <c r="AM58" s="583">
        <f t="shared" si="56"/>
        <v>0</v>
      </c>
      <c r="AN58" s="583">
        <f t="shared" si="56"/>
        <v>0</v>
      </c>
      <c r="AO58" s="583">
        <f t="shared" si="56"/>
        <v>0</v>
      </c>
      <c r="AP58" s="583">
        <f t="shared" si="56"/>
        <v>0</v>
      </c>
      <c r="AQ58" s="323">
        <f t="shared" si="56"/>
        <v>0</v>
      </c>
      <c r="AR58" s="589">
        <f t="shared" si="56"/>
        <v>3054861</v>
      </c>
      <c r="AS58" s="582">
        <f t="shared" si="56"/>
        <v>2242265</v>
      </c>
      <c r="AT58" s="582">
        <f t="shared" si="56"/>
        <v>0</v>
      </c>
      <c r="AU58" s="582">
        <f t="shared" si="56"/>
        <v>757886</v>
      </c>
      <c r="AV58" s="582">
        <f t="shared" si="56"/>
        <v>44845</v>
      </c>
      <c r="AW58" s="582">
        <f t="shared" si="56"/>
        <v>9865</v>
      </c>
      <c r="AX58" s="583">
        <f t="shared" si="56"/>
        <v>4.1668000000000003</v>
      </c>
      <c r="AY58" s="583">
        <f t="shared" si="56"/>
        <v>3.6964999999999999</v>
      </c>
      <c r="AZ58" s="323">
        <f t="shared" si="56"/>
        <v>0.4703</v>
      </c>
    </row>
    <row r="59" spans="1:52" ht="12.95" customHeight="1" x14ac:dyDescent="0.25">
      <c r="A59" s="313">
        <v>12</v>
      </c>
      <c r="B59" s="314">
        <v>4451</v>
      </c>
      <c r="C59" s="314">
        <v>600074927</v>
      </c>
      <c r="D59" s="314">
        <v>49864653</v>
      </c>
      <c r="E59" s="316" t="s">
        <v>351</v>
      </c>
      <c r="F59" s="314">
        <v>3111</v>
      </c>
      <c r="G59" s="317" t="s">
        <v>326</v>
      </c>
      <c r="H59" s="317" t="s">
        <v>278</v>
      </c>
      <c r="I59" s="494">
        <v>7633326</v>
      </c>
      <c r="J59" s="489">
        <v>5578263</v>
      </c>
      <c r="K59" s="489">
        <v>9750</v>
      </c>
      <c r="L59" s="489">
        <v>1888748</v>
      </c>
      <c r="M59" s="489">
        <v>111565</v>
      </c>
      <c r="N59" s="489">
        <v>45000</v>
      </c>
      <c r="O59" s="490">
        <v>12.449800000000002</v>
      </c>
      <c r="P59" s="491">
        <v>10.145200000000001</v>
      </c>
      <c r="Q59" s="658">
        <v>2.3046000000000002</v>
      </c>
      <c r="R59" s="501">
        <f t="shared" si="1"/>
        <v>0</v>
      </c>
      <c r="S59" s="492">
        <v>0</v>
      </c>
      <c r="T59" s="492">
        <v>0</v>
      </c>
      <c r="U59" s="492">
        <v>0</v>
      </c>
      <c r="V59" s="492">
        <f t="shared" si="2"/>
        <v>0</v>
      </c>
      <c r="W59" s="492">
        <v>0</v>
      </c>
      <c r="X59" s="492">
        <v>0</v>
      </c>
      <c r="Y59" s="492">
        <v>0</v>
      </c>
      <c r="Z59" s="492">
        <f t="shared" ref="Z59:Z64" si="57">SUM(W59:Y59)</f>
        <v>0</v>
      </c>
      <c r="AA59" s="492">
        <f t="shared" ref="AA59:AA64" si="58">V59+Z59</f>
        <v>0</v>
      </c>
      <c r="AB59" s="74">
        <f t="shared" ref="AB59:AB64" si="59">ROUND((V59+W59+X59)*33.8%,0)</f>
        <v>0</v>
      </c>
      <c r="AC59" s="74">
        <f t="shared" ref="AC59:AC64" si="60">ROUND(V59*2%,0)</f>
        <v>0</v>
      </c>
      <c r="AD59" s="492">
        <v>0</v>
      </c>
      <c r="AE59" s="492">
        <v>0</v>
      </c>
      <c r="AF59" s="492">
        <f t="shared" si="3"/>
        <v>0</v>
      </c>
      <c r="AG59" s="492">
        <f t="shared" si="4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ref="AO59:AO64" si="61">AH59+AJ59+AK59+AM59</f>
        <v>0</v>
      </c>
      <c r="AP59" s="493">
        <f t="shared" ref="AP59:AP64" si="62">AI59+AN59+AL59</f>
        <v>0</v>
      </c>
      <c r="AQ59" s="495">
        <f t="shared" si="7"/>
        <v>0</v>
      </c>
      <c r="AR59" s="501">
        <f t="shared" ref="AR59:AR64" si="63">I59+AG59</f>
        <v>7633326</v>
      </c>
      <c r="AS59" s="492">
        <f t="shared" ref="AS59:AS64" si="64">J59+V59</f>
        <v>5578263</v>
      </c>
      <c r="AT59" s="492">
        <f t="shared" ref="AT59:AT64" si="65">K59+Z59</f>
        <v>9750</v>
      </c>
      <c r="AU59" s="492">
        <f t="shared" ref="AU59:AV64" si="66">L59+AB59</f>
        <v>1888748</v>
      </c>
      <c r="AV59" s="492">
        <f t="shared" si="66"/>
        <v>111565</v>
      </c>
      <c r="AW59" s="492">
        <f t="shared" ref="AW59:AW64" si="67">N59+AF59</f>
        <v>45000</v>
      </c>
      <c r="AX59" s="493">
        <f t="shared" ref="AX59:AX64" si="68">O59+AQ59</f>
        <v>12.449800000000002</v>
      </c>
      <c r="AY59" s="493">
        <f t="shared" ref="AY59:AZ64" si="69">P59+AO59</f>
        <v>10.145200000000001</v>
      </c>
      <c r="AZ59" s="495">
        <f t="shared" si="69"/>
        <v>2.3046000000000002</v>
      </c>
    </row>
    <row r="60" spans="1:52" ht="12.95" customHeight="1" x14ac:dyDescent="0.25">
      <c r="A60" s="313">
        <v>12</v>
      </c>
      <c r="B60" s="314">
        <v>4451</v>
      </c>
      <c r="C60" s="314">
        <v>600074927</v>
      </c>
      <c r="D60" s="314">
        <v>49864653</v>
      </c>
      <c r="E60" s="316" t="s">
        <v>351</v>
      </c>
      <c r="F60" s="314">
        <v>3113</v>
      </c>
      <c r="G60" s="317" t="s">
        <v>330</v>
      </c>
      <c r="H60" s="317" t="s">
        <v>278</v>
      </c>
      <c r="I60" s="494">
        <v>28822757</v>
      </c>
      <c r="J60" s="489">
        <v>20745302</v>
      </c>
      <c r="K60" s="489">
        <v>63375</v>
      </c>
      <c r="L60" s="489">
        <v>7033334</v>
      </c>
      <c r="M60" s="489">
        <v>414906</v>
      </c>
      <c r="N60" s="489">
        <v>565840</v>
      </c>
      <c r="O60" s="490">
        <v>37.415999999999997</v>
      </c>
      <c r="P60" s="491">
        <v>28.545400000000001</v>
      </c>
      <c r="Q60" s="658">
        <v>8.8705999999999996</v>
      </c>
      <c r="R60" s="501">
        <f t="shared" si="1"/>
        <v>0</v>
      </c>
      <c r="S60" s="492">
        <v>0</v>
      </c>
      <c r="T60" s="492">
        <v>0</v>
      </c>
      <c r="U60" s="492">
        <v>0</v>
      </c>
      <c r="V60" s="492">
        <f t="shared" si="2"/>
        <v>0</v>
      </c>
      <c r="W60" s="492">
        <v>0</v>
      </c>
      <c r="X60" s="492">
        <v>0</v>
      </c>
      <c r="Y60" s="492">
        <v>0</v>
      </c>
      <c r="Z60" s="492">
        <f t="shared" si="57"/>
        <v>0</v>
      </c>
      <c r="AA60" s="492">
        <f t="shared" si="58"/>
        <v>0</v>
      </c>
      <c r="AB60" s="74">
        <f t="shared" si="59"/>
        <v>0</v>
      </c>
      <c r="AC60" s="74">
        <f t="shared" si="60"/>
        <v>0</v>
      </c>
      <c r="AD60" s="492">
        <v>0</v>
      </c>
      <c r="AE60" s="492">
        <v>0</v>
      </c>
      <c r="AF60" s="492">
        <f t="shared" si="3"/>
        <v>0</v>
      </c>
      <c r="AG60" s="492">
        <f t="shared" si="4"/>
        <v>0</v>
      </c>
      <c r="AH60" s="493">
        <v>0</v>
      </c>
      <c r="AI60" s="493">
        <v>0</v>
      </c>
      <c r="AJ60" s="493">
        <v>0</v>
      </c>
      <c r="AK60" s="493">
        <v>0</v>
      </c>
      <c r="AL60" s="493">
        <v>0</v>
      </c>
      <c r="AM60" s="493">
        <v>0</v>
      </c>
      <c r="AN60" s="493">
        <v>0</v>
      </c>
      <c r="AO60" s="493">
        <f t="shared" si="61"/>
        <v>0</v>
      </c>
      <c r="AP60" s="493">
        <f t="shared" si="62"/>
        <v>0</v>
      </c>
      <c r="AQ60" s="495">
        <f t="shared" si="7"/>
        <v>0</v>
      </c>
      <c r="AR60" s="501">
        <f t="shared" si="63"/>
        <v>28822757</v>
      </c>
      <c r="AS60" s="492">
        <f t="shared" si="64"/>
        <v>20745302</v>
      </c>
      <c r="AT60" s="492">
        <f t="shared" si="65"/>
        <v>63375</v>
      </c>
      <c r="AU60" s="492">
        <f t="shared" si="66"/>
        <v>7033334</v>
      </c>
      <c r="AV60" s="492">
        <f t="shared" si="66"/>
        <v>414906</v>
      </c>
      <c r="AW60" s="492">
        <f t="shared" si="67"/>
        <v>565840</v>
      </c>
      <c r="AX60" s="493">
        <f t="shared" si="68"/>
        <v>37.415999999999997</v>
      </c>
      <c r="AY60" s="493">
        <f t="shared" si="69"/>
        <v>28.545400000000001</v>
      </c>
      <c r="AZ60" s="495">
        <f t="shared" si="69"/>
        <v>8.8705999999999996</v>
      </c>
    </row>
    <row r="61" spans="1:52" ht="12.95" customHeight="1" x14ac:dyDescent="0.25">
      <c r="A61" s="313">
        <v>12</v>
      </c>
      <c r="B61" s="314">
        <v>4451</v>
      </c>
      <c r="C61" s="314">
        <v>600074927</v>
      </c>
      <c r="D61" s="314">
        <v>49864653</v>
      </c>
      <c r="E61" s="316" t="s">
        <v>351</v>
      </c>
      <c r="F61" s="314">
        <v>3113</v>
      </c>
      <c r="G61" s="317" t="s">
        <v>320</v>
      </c>
      <c r="H61" s="317" t="s">
        <v>279</v>
      </c>
      <c r="I61" s="494">
        <v>5319732</v>
      </c>
      <c r="J61" s="489">
        <v>3917328</v>
      </c>
      <c r="K61" s="489">
        <v>0</v>
      </c>
      <c r="L61" s="489">
        <v>1324057</v>
      </c>
      <c r="M61" s="489">
        <v>78347</v>
      </c>
      <c r="N61" s="489">
        <v>0</v>
      </c>
      <c r="O61" s="490">
        <v>12.28</v>
      </c>
      <c r="P61" s="491">
        <v>12.28</v>
      </c>
      <c r="Q61" s="658">
        <v>0</v>
      </c>
      <c r="R61" s="501">
        <f t="shared" si="1"/>
        <v>0</v>
      </c>
      <c r="S61" s="492">
        <v>0</v>
      </c>
      <c r="T61" s="492">
        <v>0</v>
      </c>
      <c r="U61" s="492">
        <v>0</v>
      </c>
      <c r="V61" s="492">
        <f t="shared" si="2"/>
        <v>0</v>
      </c>
      <c r="W61" s="492">
        <v>0</v>
      </c>
      <c r="X61" s="492">
        <v>0</v>
      </c>
      <c r="Y61" s="492">
        <v>0</v>
      </c>
      <c r="Z61" s="492">
        <f t="shared" si="57"/>
        <v>0</v>
      </c>
      <c r="AA61" s="492">
        <f t="shared" si="58"/>
        <v>0</v>
      </c>
      <c r="AB61" s="74">
        <f t="shared" si="59"/>
        <v>0</v>
      </c>
      <c r="AC61" s="74">
        <f t="shared" si="60"/>
        <v>0</v>
      </c>
      <c r="AD61" s="492">
        <v>500</v>
      </c>
      <c r="AE61" s="492">
        <v>0</v>
      </c>
      <c r="AF61" s="492">
        <f t="shared" si="3"/>
        <v>500</v>
      </c>
      <c r="AG61" s="492">
        <f t="shared" si="4"/>
        <v>500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si="61"/>
        <v>0</v>
      </c>
      <c r="AP61" s="493">
        <f t="shared" si="62"/>
        <v>0</v>
      </c>
      <c r="AQ61" s="495">
        <f t="shared" si="7"/>
        <v>0</v>
      </c>
      <c r="AR61" s="501">
        <f t="shared" si="63"/>
        <v>5320232</v>
      </c>
      <c r="AS61" s="492">
        <f t="shared" si="64"/>
        <v>3917328</v>
      </c>
      <c r="AT61" s="492">
        <f t="shared" si="65"/>
        <v>0</v>
      </c>
      <c r="AU61" s="492">
        <f t="shared" si="66"/>
        <v>1324057</v>
      </c>
      <c r="AV61" s="492">
        <f t="shared" si="66"/>
        <v>78347</v>
      </c>
      <c r="AW61" s="492">
        <f t="shared" si="67"/>
        <v>500</v>
      </c>
      <c r="AX61" s="493">
        <f t="shared" si="68"/>
        <v>12.28</v>
      </c>
      <c r="AY61" s="493">
        <f t="shared" si="69"/>
        <v>12.28</v>
      </c>
      <c r="AZ61" s="495">
        <f t="shared" si="69"/>
        <v>0</v>
      </c>
    </row>
    <row r="62" spans="1:52" ht="12.95" customHeight="1" x14ac:dyDescent="0.25">
      <c r="A62" s="313">
        <v>12</v>
      </c>
      <c r="B62" s="314">
        <v>4451</v>
      </c>
      <c r="C62" s="314">
        <v>600074927</v>
      </c>
      <c r="D62" s="314">
        <v>49864653</v>
      </c>
      <c r="E62" s="316" t="s">
        <v>351</v>
      </c>
      <c r="F62" s="314">
        <v>3141</v>
      </c>
      <c r="G62" s="317" t="s">
        <v>316</v>
      </c>
      <c r="H62" s="317" t="s">
        <v>279</v>
      </c>
      <c r="I62" s="494">
        <v>4167825</v>
      </c>
      <c r="J62" s="489">
        <v>3037696</v>
      </c>
      <c r="K62" s="489">
        <v>9750</v>
      </c>
      <c r="L62" s="489">
        <v>1030037</v>
      </c>
      <c r="M62" s="489">
        <v>60754</v>
      </c>
      <c r="N62" s="489">
        <v>29588</v>
      </c>
      <c r="O62" s="490">
        <v>9.6</v>
      </c>
      <c r="P62" s="491">
        <v>0</v>
      </c>
      <c r="Q62" s="658">
        <v>9.6</v>
      </c>
      <c r="R62" s="501">
        <f t="shared" si="1"/>
        <v>0</v>
      </c>
      <c r="S62" s="492">
        <v>0</v>
      </c>
      <c r="T62" s="492">
        <v>0</v>
      </c>
      <c r="U62" s="492">
        <v>0</v>
      </c>
      <c r="V62" s="492">
        <f t="shared" si="2"/>
        <v>0</v>
      </c>
      <c r="W62" s="492">
        <v>0</v>
      </c>
      <c r="X62" s="492">
        <v>0</v>
      </c>
      <c r="Y62" s="492">
        <v>0</v>
      </c>
      <c r="Z62" s="492">
        <f t="shared" si="57"/>
        <v>0</v>
      </c>
      <c r="AA62" s="492">
        <f t="shared" si="58"/>
        <v>0</v>
      </c>
      <c r="AB62" s="74">
        <f t="shared" si="59"/>
        <v>0</v>
      </c>
      <c r="AC62" s="74">
        <f t="shared" si="60"/>
        <v>0</v>
      </c>
      <c r="AD62" s="492">
        <v>0</v>
      </c>
      <c r="AE62" s="492">
        <v>0</v>
      </c>
      <c r="AF62" s="492">
        <f t="shared" si="3"/>
        <v>0</v>
      </c>
      <c r="AG62" s="492">
        <f t="shared" si="4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61"/>
        <v>0</v>
      </c>
      <c r="AP62" s="493">
        <f t="shared" si="62"/>
        <v>0</v>
      </c>
      <c r="AQ62" s="495">
        <f t="shared" si="7"/>
        <v>0</v>
      </c>
      <c r="AR62" s="501">
        <f t="shared" si="63"/>
        <v>4167825</v>
      </c>
      <c r="AS62" s="492">
        <f t="shared" si="64"/>
        <v>3037696</v>
      </c>
      <c r="AT62" s="492">
        <f t="shared" si="65"/>
        <v>9750</v>
      </c>
      <c r="AU62" s="492">
        <f t="shared" si="66"/>
        <v>1030037</v>
      </c>
      <c r="AV62" s="492">
        <f t="shared" si="66"/>
        <v>60754</v>
      </c>
      <c r="AW62" s="492">
        <f t="shared" si="67"/>
        <v>29588</v>
      </c>
      <c r="AX62" s="493">
        <f t="shared" si="68"/>
        <v>9.6</v>
      </c>
      <c r="AY62" s="493">
        <f t="shared" si="69"/>
        <v>0</v>
      </c>
      <c r="AZ62" s="495">
        <f t="shared" si="69"/>
        <v>9.6</v>
      </c>
    </row>
    <row r="63" spans="1:52" ht="12.95" customHeight="1" x14ac:dyDescent="0.25">
      <c r="A63" s="313">
        <v>12</v>
      </c>
      <c r="B63" s="314">
        <v>4451</v>
      </c>
      <c r="C63" s="314">
        <v>600074927</v>
      </c>
      <c r="D63" s="314">
        <v>49864653</v>
      </c>
      <c r="E63" s="316" t="s">
        <v>351</v>
      </c>
      <c r="F63" s="314">
        <v>3143</v>
      </c>
      <c r="G63" s="317" t="s">
        <v>629</v>
      </c>
      <c r="H63" s="317" t="s">
        <v>278</v>
      </c>
      <c r="I63" s="494">
        <v>2414453</v>
      </c>
      <c r="J63" s="489">
        <v>1777948</v>
      </c>
      <c r="K63" s="489">
        <v>0</v>
      </c>
      <c r="L63" s="489">
        <v>600946</v>
      </c>
      <c r="M63" s="489">
        <v>35559</v>
      </c>
      <c r="N63" s="489">
        <v>0</v>
      </c>
      <c r="O63" s="490">
        <v>3.5356999999999998</v>
      </c>
      <c r="P63" s="491">
        <v>3.5356999999999998</v>
      </c>
      <c r="Q63" s="658">
        <v>0</v>
      </c>
      <c r="R63" s="501">
        <f t="shared" si="1"/>
        <v>0</v>
      </c>
      <c r="S63" s="492">
        <v>0</v>
      </c>
      <c r="T63" s="492">
        <v>0</v>
      </c>
      <c r="U63" s="492">
        <v>0</v>
      </c>
      <c r="V63" s="492">
        <f t="shared" si="2"/>
        <v>0</v>
      </c>
      <c r="W63" s="492">
        <v>0</v>
      </c>
      <c r="X63" s="492">
        <v>0</v>
      </c>
      <c r="Y63" s="492">
        <v>0</v>
      </c>
      <c r="Z63" s="492">
        <f t="shared" si="57"/>
        <v>0</v>
      </c>
      <c r="AA63" s="492">
        <f t="shared" si="58"/>
        <v>0</v>
      </c>
      <c r="AB63" s="74">
        <f t="shared" si="59"/>
        <v>0</v>
      </c>
      <c r="AC63" s="74">
        <f t="shared" si="60"/>
        <v>0</v>
      </c>
      <c r="AD63" s="492">
        <v>0</v>
      </c>
      <c r="AE63" s="492">
        <v>0</v>
      </c>
      <c r="AF63" s="492">
        <f t="shared" si="3"/>
        <v>0</v>
      </c>
      <c r="AG63" s="492">
        <f t="shared" si="4"/>
        <v>0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</v>
      </c>
      <c r="AN63" s="493">
        <v>0</v>
      </c>
      <c r="AO63" s="493">
        <f t="shared" si="61"/>
        <v>0</v>
      </c>
      <c r="AP63" s="493">
        <f t="shared" si="62"/>
        <v>0</v>
      </c>
      <c r="AQ63" s="495">
        <f t="shared" si="7"/>
        <v>0</v>
      </c>
      <c r="AR63" s="501">
        <f t="shared" si="63"/>
        <v>2414453</v>
      </c>
      <c r="AS63" s="492">
        <f t="shared" si="64"/>
        <v>1777948</v>
      </c>
      <c r="AT63" s="492">
        <f t="shared" si="65"/>
        <v>0</v>
      </c>
      <c r="AU63" s="492">
        <f t="shared" si="66"/>
        <v>600946</v>
      </c>
      <c r="AV63" s="492">
        <f t="shared" si="66"/>
        <v>35559</v>
      </c>
      <c r="AW63" s="492">
        <f t="shared" si="67"/>
        <v>0</v>
      </c>
      <c r="AX63" s="493">
        <f t="shared" si="68"/>
        <v>3.5356999999999998</v>
      </c>
      <c r="AY63" s="493">
        <f t="shared" si="69"/>
        <v>3.5356999999999998</v>
      </c>
      <c r="AZ63" s="495">
        <f t="shared" si="69"/>
        <v>0</v>
      </c>
    </row>
    <row r="64" spans="1:52" ht="12.95" customHeight="1" x14ac:dyDescent="0.25">
      <c r="A64" s="313">
        <v>12</v>
      </c>
      <c r="B64" s="314">
        <v>4451</v>
      </c>
      <c r="C64" s="314">
        <v>600074927</v>
      </c>
      <c r="D64" s="314">
        <v>49864653</v>
      </c>
      <c r="E64" s="316" t="s">
        <v>351</v>
      </c>
      <c r="F64" s="314">
        <v>3143</v>
      </c>
      <c r="G64" s="317" t="s">
        <v>630</v>
      </c>
      <c r="H64" s="317" t="s">
        <v>279</v>
      </c>
      <c r="I64" s="494">
        <v>75600</v>
      </c>
      <c r="J64" s="489">
        <v>53461</v>
      </c>
      <c r="K64" s="489">
        <v>0</v>
      </c>
      <c r="L64" s="489">
        <v>18070</v>
      </c>
      <c r="M64" s="489">
        <v>1069</v>
      </c>
      <c r="N64" s="489">
        <v>3000</v>
      </c>
      <c r="O64" s="490">
        <v>0.21</v>
      </c>
      <c r="P64" s="491">
        <v>0</v>
      </c>
      <c r="Q64" s="658">
        <v>0.21</v>
      </c>
      <c r="R64" s="501">
        <f t="shared" si="1"/>
        <v>0</v>
      </c>
      <c r="S64" s="492">
        <v>0</v>
      </c>
      <c r="T64" s="492">
        <v>0</v>
      </c>
      <c r="U64" s="492">
        <v>0</v>
      </c>
      <c r="V64" s="492">
        <f t="shared" si="2"/>
        <v>0</v>
      </c>
      <c r="W64" s="492">
        <v>0</v>
      </c>
      <c r="X64" s="492">
        <v>0</v>
      </c>
      <c r="Y64" s="492">
        <v>0</v>
      </c>
      <c r="Z64" s="492">
        <f t="shared" si="57"/>
        <v>0</v>
      </c>
      <c r="AA64" s="492">
        <f t="shared" si="58"/>
        <v>0</v>
      </c>
      <c r="AB64" s="74">
        <f t="shared" si="59"/>
        <v>0</v>
      </c>
      <c r="AC64" s="74">
        <f t="shared" si="60"/>
        <v>0</v>
      </c>
      <c r="AD64" s="492">
        <v>0</v>
      </c>
      <c r="AE64" s="492">
        <v>0</v>
      </c>
      <c r="AF64" s="492">
        <f t="shared" si="3"/>
        <v>0</v>
      </c>
      <c r="AG64" s="492">
        <f t="shared" si="4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si="61"/>
        <v>0</v>
      </c>
      <c r="AP64" s="493">
        <f t="shared" si="62"/>
        <v>0</v>
      </c>
      <c r="AQ64" s="495">
        <f t="shared" si="7"/>
        <v>0</v>
      </c>
      <c r="AR64" s="501">
        <f t="shared" si="63"/>
        <v>75600</v>
      </c>
      <c r="AS64" s="492">
        <f t="shared" si="64"/>
        <v>53461</v>
      </c>
      <c r="AT64" s="492">
        <f t="shared" si="65"/>
        <v>0</v>
      </c>
      <c r="AU64" s="492">
        <f t="shared" si="66"/>
        <v>18070</v>
      </c>
      <c r="AV64" s="492">
        <f t="shared" si="66"/>
        <v>1069</v>
      </c>
      <c r="AW64" s="492">
        <f t="shared" si="67"/>
        <v>3000</v>
      </c>
      <c r="AX64" s="493">
        <f t="shared" si="68"/>
        <v>0.21</v>
      </c>
      <c r="AY64" s="493">
        <f t="shared" si="69"/>
        <v>0</v>
      </c>
      <c r="AZ64" s="495">
        <f t="shared" si="69"/>
        <v>0.21</v>
      </c>
    </row>
    <row r="65" spans="1:52" ht="12.95" customHeight="1" x14ac:dyDescent="0.25">
      <c r="A65" s="306">
        <v>12</v>
      </c>
      <c r="B65" s="308">
        <v>4451</v>
      </c>
      <c r="C65" s="308">
        <v>600074927</v>
      </c>
      <c r="D65" s="308">
        <v>49864653</v>
      </c>
      <c r="E65" s="321" t="s">
        <v>352</v>
      </c>
      <c r="F65" s="324"/>
      <c r="G65" s="325"/>
      <c r="H65" s="325"/>
      <c r="I65" s="585">
        <v>48433693</v>
      </c>
      <c r="J65" s="582">
        <v>35109998</v>
      </c>
      <c r="K65" s="582">
        <v>82875</v>
      </c>
      <c r="L65" s="582">
        <v>11895192</v>
      </c>
      <c r="M65" s="582">
        <v>702200</v>
      </c>
      <c r="N65" s="582">
        <v>643428</v>
      </c>
      <c r="O65" s="583">
        <v>75.491500000000002</v>
      </c>
      <c r="P65" s="583">
        <v>54.506300000000003</v>
      </c>
      <c r="Q65" s="323">
        <v>20.985199999999999</v>
      </c>
      <c r="R65" s="589">
        <f t="shared" ref="R65:AZ65" si="70">SUM(R59:R64)</f>
        <v>0</v>
      </c>
      <c r="S65" s="582">
        <f t="shared" si="70"/>
        <v>0</v>
      </c>
      <c r="T65" s="582">
        <f t="shared" si="70"/>
        <v>0</v>
      </c>
      <c r="U65" s="582">
        <f t="shared" si="70"/>
        <v>0</v>
      </c>
      <c r="V65" s="582">
        <f t="shared" si="70"/>
        <v>0</v>
      </c>
      <c r="W65" s="582">
        <f t="shared" si="70"/>
        <v>0</v>
      </c>
      <c r="X65" s="582">
        <f t="shared" si="70"/>
        <v>0</v>
      </c>
      <c r="Y65" s="582">
        <f t="shared" si="70"/>
        <v>0</v>
      </c>
      <c r="Z65" s="582">
        <f t="shared" si="70"/>
        <v>0</v>
      </c>
      <c r="AA65" s="582">
        <f t="shared" si="70"/>
        <v>0</v>
      </c>
      <c r="AB65" s="582">
        <f t="shared" si="70"/>
        <v>0</v>
      </c>
      <c r="AC65" s="582">
        <f t="shared" si="70"/>
        <v>0</v>
      </c>
      <c r="AD65" s="582">
        <f t="shared" si="70"/>
        <v>500</v>
      </c>
      <c r="AE65" s="582">
        <f t="shared" si="70"/>
        <v>0</v>
      </c>
      <c r="AF65" s="582">
        <f t="shared" si="70"/>
        <v>500</v>
      </c>
      <c r="AG65" s="582">
        <f t="shared" si="70"/>
        <v>500</v>
      </c>
      <c r="AH65" s="583">
        <f t="shared" si="70"/>
        <v>0</v>
      </c>
      <c r="AI65" s="583">
        <f t="shared" si="70"/>
        <v>0</v>
      </c>
      <c r="AJ65" s="583">
        <f t="shared" si="70"/>
        <v>0</v>
      </c>
      <c r="AK65" s="583">
        <f t="shared" si="70"/>
        <v>0</v>
      </c>
      <c r="AL65" s="583">
        <f t="shared" si="70"/>
        <v>0</v>
      </c>
      <c r="AM65" s="583">
        <f t="shared" si="70"/>
        <v>0</v>
      </c>
      <c r="AN65" s="583">
        <f t="shared" si="70"/>
        <v>0</v>
      </c>
      <c r="AO65" s="583">
        <f t="shared" si="70"/>
        <v>0</v>
      </c>
      <c r="AP65" s="583">
        <f t="shared" si="70"/>
        <v>0</v>
      </c>
      <c r="AQ65" s="323">
        <f t="shared" si="70"/>
        <v>0</v>
      </c>
      <c r="AR65" s="589">
        <f t="shared" si="70"/>
        <v>48434193</v>
      </c>
      <c r="AS65" s="582">
        <f t="shared" si="70"/>
        <v>35109998</v>
      </c>
      <c r="AT65" s="582">
        <f t="shared" si="70"/>
        <v>82875</v>
      </c>
      <c r="AU65" s="582">
        <f t="shared" si="70"/>
        <v>11895192</v>
      </c>
      <c r="AV65" s="582">
        <f t="shared" si="70"/>
        <v>702200</v>
      </c>
      <c r="AW65" s="582">
        <f t="shared" si="70"/>
        <v>643928</v>
      </c>
      <c r="AX65" s="583">
        <f t="shared" si="70"/>
        <v>75.491500000000002</v>
      </c>
      <c r="AY65" s="583">
        <f t="shared" si="70"/>
        <v>54.506300000000003</v>
      </c>
      <c r="AZ65" s="323">
        <f t="shared" si="70"/>
        <v>20.985199999999999</v>
      </c>
    </row>
    <row r="66" spans="1:52" ht="12.95" customHeight="1" x14ac:dyDescent="0.25">
      <c r="A66" s="313">
        <v>13</v>
      </c>
      <c r="B66" s="314">
        <v>4450</v>
      </c>
      <c r="C66" s="314">
        <v>650033841</v>
      </c>
      <c r="D66" s="314">
        <v>72744995</v>
      </c>
      <c r="E66" s="316" t="s">
        <v>353</v>
      </c>
      <c r="F66" s="314">
        <v>3111</v>
      </c>
      <c r="G66" s="317" t="s">
        <v>354</v>
      </c>
      <c r="H66" s="317" t="s">
        <v>278</v>
      </c>
      <c r="I66" s="494">
        <v>1555235</v>
      </c>
      <c r="J66" s="489">
        <v>1118074</v>
      </c>
      <c r="K66" s="489">
        <v>19500</v>
      </c>
      <c r="L66" s="489">
        <v>384500</v>
      </c>
      <c r="M66" s="489">
        <v>22361</v>
      </c>
      <c r="N66" s="489">
        <v>10800</v>
      </c>
      <c r="O66" s="490">
        <v>2.4464000000000001</v>
      </c>
      <c r="P66" s="491">
        <v>1.9355</v>
      </c>
      <c r="Q66" s="658">
        <v>0.51090000000000002</v>
      </c>
      <c r="R66" s="501">
        <f t="shared" si="1"/>
        <v>0</v>
      </c>
      <c r="S66" s="492">
        <v>0</v>
      </c>
      <c r="T66" s="492">
        <v>0</v>
      </c>
      <c r="U66" s="492">
        <v>0</v>
      </c>
      <c r="V66" s="492">
        <f t="shared" si="2"/>
        <v>0</v>
      </c>
      <c r="W66" s="492">
        <v>0</v>
      </c>
      <c r="X66" s="492">
        <v>0</v>
      </c>
      <c r="Y66" s="492">
        <v>0</v>
      </c>
      <c r="Z66" s="492">
        <f t="shared" ref="Z66:Z71" si="71">SUM(W66:Y66)</f>
        <v>0</v>
      </c>
      <c r="AA66" s="492">
        <f t="shared" ref="AA66:AA71" si="72">V66+Z66</f>
        <v>0</v>
      </c>
      <c r="AB66" s="74">
        <f t="shared" ref="AB66:AB71" si="73">ROUND((V66+W66+X66)*33.8%,0)</f>
        <v>0</v>
      </c>
      <c r="AC66" s="74">
        <f t="shared" ref="AC66:AC71" si="74">ROUND(V66*2%,0)</f>
        <v>0</v>
      </c>
      <c r="AD66" s="492">
        <v>0</v>
      </c>
      <c r="AE66" s="492">
        <v>0</v>
      </c>
      <c r="AF66" s="492">
        <f t="shared" si="3"/>
        <v>0</v>
      </c>
      <c r="AG66" s="492">
        <f t="shared" si="4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ref="AO66:AO71" si="75">AH66+AJ66+AK66+AM66</f>
        <v>0</v>
      </c>
      <c r="AP66" s="493">
        <f t="shared" ref="AP66:AP71" si="76">AI66+AN66+AL66</f>
        <v>0</v>
      </c>
      <c r="AQ66" s="495">
        <f t="shared" si="7"/>
        <v>0</v>
      </c>
      <c r="AR66" s="501">
        <f t="shared" ref="AR66:AR71" si="77">I66+AG66</f>
        <v>1555235</v>
      </c>
      <c r="AS66" s="492">
        <f t="shared" ref="AS66:AS71" si="78">J66+V66</f>
        <v>1118074</v>
      </c>
      <c r="AT66" s="492">
        <f t="shared" ref="AT66:AT71" si="79">K66+Z66</f>
        <v>19500</v>
      </c>
      <c r="AU66" s="492">
        <f t="shared" ref="AU66:AV71" si="80">L66+AB66</f>
        <v>384500</v>
      </c>
      <c r="AV66" s="492">
        <f t="shared" si="80"/>
        <v>22361</v>
      </c>
      <c r="AW66" s="492">
        <f t="shared" ref="AW66:AW71" si="81">N66+AF66</f>
        <v>10800</v>
      </c>
      <c r="AX66" s="493">
        <f t="shared" ref="AX66:AX71" si="82">O66+AQ66</f>
        <v>2.4464000000000001</v>
      </c>
      <c r="AY66" s="493">
        <f t="shared" ref="AY66:AZ71" si="83">P66+AO66</f>
        <v>1.9355</v>
      </c>
      <c r="AZ66" s="495">
        <f t="shared" si="83"/>
        <v>0.51090000000000002</v>
      </c>
    </row>
    <row r="67" spans="1:52" ht="12.95" customHeight="1" x14ac:dyDescent="0.25">
      <c r="A67" s="313">
        <v>13</v>
      </c>
      <c r="B67" s="314">
        <v>4450</v>
      </c>
      <c r="C67" s="314">
        <v>650033841</v>
      </c>
      <c r="D67" s="314">
        <v>72744995</v>
      </c>
      <c r="E67" s="316" t="s">
        <v>353</v>
      </c>
      <c r="F67" s="314">
        <v>3117</v>
      </c>
      <c r="G67" s="317" t="s">
        <v>330</v>
      </c>
      <c r="H67" s="317" t="s">
        <v>278</v>
      </c>
      <c r="I67" s="494">
        <v>3480724</v>
      </c>
      <c r="J67" s="489">
        <v>2497477</v>
      </c>
      <c r="K67" s="489">
        <v>27010</v>
      </c>
      <c r="L67" s="489">
        <v>853277</v>
      </c>
      <c r="M67" s="489">
        <v>49950</v>
      </c>
      <c r="N67" s="489">
        <v>53010</v>
      </c>
      <c r="O67" s="490">
        <v>4.915</v>
      </c>
      <c r="P67" s="491">
        <v>3.4998999999999998</v>
      </c>
      <c r="Q67" s="658">
        <v>1.4151</v>
      </c>
      <c r="R67" s="501">
        <f t="shared" si="1"/>
        <v>0</v>
      </c>
      <c r="S67" s="492">
        <v>0</v>
      </c>
      <c r="T67" s="492">
        <v>0</v>
      </c>
      <c r="U67" s="492">
        <v>0</v>
      </c>
      <c r="V67" s="492">
        <f t="shared" si="2"/>
        <v>0</v>
      </c>
      <c r="W67" s="492">
        <v>0</v>
      </c>
      <c r="X67" s="492">
        <v>0</v>
      </c>
      <c r="Y67" s="492">
        <v>0</v>
      </c>
      <c r="Z67" s="492">
        <f t="shared" si="71"/>
        <v>0</v>
      </c>
      <c r="AA67" s="492">
        <f t="shared" si="72"/>
        <v>0</v>
      </c>
      <c r="AB67" s="74">
        <f t="shared" si="73"/>
        <v>0</v>
      </c>
      <c r="AC67" s="74">
        <f t="shared" si="74"/>
        <v>0</v>
      </c>
      <c r="AD67" s="492">
        <v>0</v>
      </c>
      <c r="AE67" s="492">
        <v>0</v>
      </c>
      <c r="AF67" s="492">
        <f t="shared" si="3"/>
        <v>0</v>
      </c>
      <c r="AG67" s="492">
        <f t="shared" si="4"/>
        <v>0</v>
      </c>
      <c r="AH67" s="493">
        <v>0</v>
      </c>
      <c r="AI67" s="493">
        <v>0</v>
      </c>
      <c r="AJ67" s="493">
        <v>0</v>
      </c>
      <c r="AK67" s="493">
        <v>0</v>
      </c>
      <c r="AL67" s="493">
        <v>0</v>
      </c>
      <c r="AM67" s="493">
        <v>0</v>
      </c>
      <c r="AN67" s="493">
        <v>0</v>
      </c>
      <c r="AO67" s="493">
        <f t="shared" si="75"/>
        <v>0</v>
      </c>
      <c r="AP67" s="493">
        <f t="shared" si="76"/>
        <v>0</v>
      </c>
      <c r="AQ67" s="495">
        <f t="shared" si="7"/>
        <v>0</v>
      </c>
      <c r="AR67" s="501">
        <f t="shared" si="77"/>
        <v>3480724</v>
      </c>
      <c r="AS67" s="492">
        <f t="shared" si="78"/>
        <v>2497477</v>
      </c>
      <c r="AT67" s="492">
        <f t="shared" si="79"/>
        <v>27010</v>
      </c>
      <c r="AU67" s="492">
        <f t="shared" si="80"/>
        <v>853277</v>
      </c>
      <c r="AV67" s="492">
        <f t="shared" si="80"/>
        <v>49950</v>
      </c>
      <c r="AW67" s="492">
        <f t="shared" si="81"/>
        <v>53010</v>
      </c>
      <c r="AX67" s="493">
        <f t="shared" si="82"/>
        <v>4.915</v>
      </c>
      <c r="AY67" s="493">
        <f t="shared" si="83"/>
        <v>3.4998999999999998</v>
      </c>
      <c r="AZ67" s="495">
        <f t="shared" si="83"/>
        <v>1.4151</v>
      </c>
    </row>
    <row r="68" spans="1:52" ht="12.95" customHeight="1" x14ac:dyDescent="0.25">
      <c r="A68" s="313">
        <v>13</v>
      </c>
      <c r="B68" s="314">
        <v>4450</v>
      </c>
      <c r="C68" s="314">
        <v>650033841</v>
      </c>
      <c r="D68" s="314">
        <v>72744995</v>
      </c>
      <c r="E68" s="316" t="s">
        <v>353</v>
      </c>
      <c r="F68" s="314">
        <v>3117</v>
      </c>
      <c r="G68" s="317" t="s">
        <v>320</v>
      </c>
      <c r="H68" s="317" t="s">
        <v>279</v>
      </c>
      <c r="I68" s="494">
        <v>927136</v>
      </c>
      <c r="J68" s="489">
        <v>682722</v>
      </c>
      <c r="K68" s="489">
        <v>0</v>
      </c>
      <c r="L68" s="489">
        <v>230760</v>
      </c>
      <c r="M68" s="489">
        <v>13654</v>
      </c>
      <c r="N68" s="489">
        <v>0</v>
      </c>
      <c r="O68" s="490">
        <v>2.0499999999999998</v>
      </c>
      <c r="P68" s="491">
        <v>2.0499999999999998</v>
      </c>
      <c r="Q68" s="658">
        <v>0</v>
      </c>
      <c r="R68" s="501">
        <f t="shared" si="1"/>
        <v>0</v>
      </c>
      <c r="S68" s="492">
        <v>0</v>
      </c>
      <c r="T68" s="492">
        <v>0</v>
      </c>
      <c r="U68" s="492">
        <v>0</v>
      </c>
      <c r="V68" s="492">
        <f t="shared" si="2"/>
        <v>0</v>
      </c>
      <c r="W68" s="492">
        <v>0</v>
      </c>
      <c r="X68" s="492">
        <v>0</v>
      </c>
      <c r="Y68" s="492">
        <v>0</v>
      </c>
      <c r="Z68" s="492">
        <f t="shared" si="71"/>
        <v>0</v>
      </c>
      <c r="AA68" s="492">
        <f t="shared" si="72"/>
        <v>0</v>
      </c>
      <c r="AB68" s="74">
        <f t="shared" si="73"/>
        <v>0</v>
      </c>
      <c r="AC68" s="74">
        <f t="shared" si="74"/>
        <v>0</v>
      </c>
      <c r="AD68" s="492">
        <v>0</v>
      </c>
      <c r="AE68" s="492">
        <v>0</v>
      </c>
      <c r="AF68" s="492">
        <f t="shared" si="3"/>
        <v>0</v>
      </c>
      <c r="AG68" s="492">
        <f t="shared" si="4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si="75"/>
        <v>0</v>
      </c>
      <c r="AP68" s="493">
        <f t="shared" si="76"/>
        <v>0</v>
      </c>
      <c r="AQ68" s="495">
        <f t="shared" si="7"/>
        <v>0</v>
      </c>
      <c r="AR68" s="501">
        <f t="shared" si="77"/>
        <v>927136</v>
      </c>
      <c r="AS68" s="492">
        <f t="shared" si="78"/>
        <v>682722</v>
      </c>
      <c r="AT68" s="492">
        <f t="shared" si="79"/>
        <v>0</v>
      </c>
      <c r="AU68" s="492">
        <f t="shared" si="80"/>
        <v>230760</v>
      </c>
      <c r="AV68" s="492">
        <f t="shared" si="80"/>
        <v>13654</v>
      </c>
      <c r="AW68" s="492">
        <f t="shared" si="81"/>
        <v>0</v>
      </c>
      <c r="AX68" s="493">
        <f t="shared" si="82"/>
        <v>2.0499999999999998</v>
      </c>
      <c r="AY68" s="493">
        <f t="shared" si="83"/>
        <v>2.0499999999999998</v>
      </c>
      <c r="AZ68" s="495">
        <f t="shared" si="83"/>
        <v>0</v>
      </c>
    </row>
    <row r="69" spans="1:52" ht="12.95" customHeight="1" x14ac:dyDescent="0.25">
      <c r="A69" s="313">
        <v>13</v>
      </c>
      <c r="B69" s="314">
        <v>4450</v>
      </c>
      <c r="C69" s="314">
        <v>650033841</v>
      </c>
      <c r="D69" s="314">
        <v>72744995</v>
      </c>
      <c r="E69" s="316" t="s">
        <v>353</v>
      </c>
      <c r="F69" s="314">
        <v>3141</v>
      </c>
      <c r="G69" s="317" t="s">
        <v>316</v>
      </c>
      <c r="H69" s="317" t="s">
        <v>279</v>
      </c>
      <c r="I69" s="494">
        <v>302839</v>
      </c>
      <c r="J69" s="489">
        <v>206791</v>
      </c>
      <c r="K69" s="489">
        <v>14950</v>
      </c>
      <c r="L69" s="489">
        <v>74948</v>
      </c>
      <c r="M69" s="489">
        <v>4136</v>
      </c>
      <c r="N69" s="489">
        <v>2014</v>
      </c>
      <c r="O69" s="490">
        <v>0.66999999999999993</v>
      </c>
      <c r="P69" s="491">
        <v>0</v>
      </c>
      <c r="Q69" s="658">
        <v>0.66999999999999993</v>
      </c>
      <c r="R69" s="501">
        <f t="shared" si="1"/>
        <v>0</v>
      </c>
      <c r="S69" s="492">
        <v>0</v>
      </c>
      <c r="T69" s="492">
        <v>0</v>
      </c>
      <c r="U69" s="492">
        <v>0</v>
      </c>
      <c r="V69" s="492">
        <f t="shared" si="2"/>
        <v>0</v>
      </c>
      <c r="W69" s="492">
        <v>0</v>
      </c>
      <c r="X69" s="492">
        <v>0</v>
      </c>
      <c r="Y69" s="492">
        <v>0</v>
      </c>
      <c r="Z69" s="492">
        <f t="shared" si="71"/>
        <v>0</v>
      </c>
      <c r="AA69" s="492">
        <f t="shared" si="72"/>
        <v>0</v>
      </c>
      <c r="AB69" s="74">
        <f t="shared" si="73"/>
        <v>0</v>
      </c>
      <c r="AC69" s="74">
        <f t="shared" si="74"/>
        <v>0</v>
      </c>
      <c r="AD69" s="492">
        <v>0</v>
      </c>
      <c r="AE69" s="492">
        <v>0</v>
      </c>
      <c r="AF69" s="492">
        <f t="shared" si="3"/>
        <v>0</v>
      </c>
      <c r="AG69" s="492">
        <f t="shared" si="4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75"/>
        <v>0</v>
      </c>
      <c r="AP69" s="493">
        <f t="shared" si="76"/>
        <v>0</v>
      </c>
      <c r="AQ69" s="495">
        <f t="shared" si="7"/>
        <v>0</v>
      </c>
      <c r="AR69" s="501">
        <f t="shared" si="77"/>
        <v>302839</v>
      </c>
      <c r="AS69" s="492">
        <f t="shared" si="78"/>
        <v>206791</v>
      </c>
      <c r="AT69" s="492">
        <f t="shared" si="79"/>
        <v>14950</v>
      </c>
      <c r="AU69" s="492">
        <f t="shared" si="80"/>
        <v>74948</v>
      </c>
      <c r="AV69" s="492">
        <f t="shared" si="80"/>
        <v>4136</v>
      </c>
      <c r="AW69" s="492">
        <f t="shared" si="81"/>
        <v>2014</v>
      </c>
      <c r="AX69" s="493">
        <f t="shared" si="82"/>
        <v>0.66999999999999993</v>
      </c>
      <c r="AY69" s="493">
        <f t="shared" si="83"/>
        <v>0</v>
      </c>
      <c r="AZ69" s="495">
        <f t="shared" si="83"/>
        <v>0.66999999999999993</v>
      </c>
    </row>
    <row r="70" spans="1:52" ht="12.95" customHeight="1" x14ac:dyDescent="0.25">
      <c r="A70" s="313">
        <v>13</v>
      </c>
      <c r="B70" s="314">
        <v>4450</v>
      </c>
      <c r="C70" s="314">
        <v>650033841</v>
      </c>
      <c r="D70" s="314">
        <v>72744995</v>
      </c>
      <c r="E70" s="316" t="s">
        <v>353</v>
      </c>
      <c r="F70" s="314">
        <v>3143</v>
      </c>
      <c r="G70" s="317" t="s">
        <v>629</v>
      </c>
      <c r="H70" s="317" t="s">
        <v>278</v>
      </c>
      <c r="I70" s="494">
        <v>413097</v>
      </c>
      <c r="J70" s="489">
        <v>304195</v>
      </c>
      <c r="K70" s="489">
        <v>0</v>
      </c>
      <c r="L70" s="489">
        <v>102818</v>
      </c>
      <c r="M70" s="489">
        <v>6084</v>
      </c>
      <c r="N70" s="489">
        <v>0</v>
      </c>
      <c r="O70" s="490">
        <v>0.66659999999999997</v>
      </c>
      <c r="P70" s="491">
        <v>0.66659999999999997</v>
      </c>
      <c r="Q70" s="658">
        <v>0</v>
      </c>
      <c r="R70" s="501">
        <f t="shared" si="1"/>
        <v>0</v>
      </c>
      <c r="S70" s="492">
        <v>0</v>
      </c>
      <c r="T70" s="492">
        <v>0</v>
      </c>
      <c r="U70" s="492">
        <v>0</v>
      </c>
      <c r="V70" s="492">
        <f t="shared" si="2"/>
        <v>0</v>
      </c>
      <c r="W70" s="492">
        <v>0</v>
      </c>
      <c r="X70" s="492">
        <v>0</v>
      </c>
      <c r="Y70" s="492">
        <v>0</v>
      </c>
      <c r="Z70" s="492">
        <f t="shared" si="71"/>
        <v>0</v>
      </c>
      <c r="AA70" s="492">
        <f t="shared" si="72"/>
        <v>0</v>
      </c>
      <c r="AB70" s="74">
        <f t="shared" si="73"/>
        <v>0</v>
      </c>
      <c r="AC70" s="74">
        <f t="shared" si="74"/>
        <v>0</v>
      </c>
      <c r="AD70" s="492">
        <v>0</v>
      </c>
      <c r="AE70" s="492">
        <v>0</v>
      </c>
      <c r="AF70" s="492">
        <f t="shared" si="3"/>
        <v>0</v>
      </c>
      <c r="AG70" s="492">
        <f t="shared" si="4"/>
        <v>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75"/>
        <v>0</v>
      </c>
      <c r="AP70" s="493">
        <f t="shared" si="76"/>
        <v>0</v>
      </c>
      <c r="AQ70" s="495">
        <f t="shared" si="7"/>
        <v>0</v>
      </c>
      <c r="AR70" s="501">
        <f t="shared" si="77"/>
        <v>413097</v>
      </c>
      <c r="AS70" s="492">
        <f t="shared" si="78"/>
        <v>304195</v>
      </c>
      <c r="AT70" s="492">
        <f t="shared" si="79"/>
        <v>0</v>
      </c>
      <c r="AU70" s="492">
        <f t="shared" si="80"/>
        <v>102818</v>
      </c>
      <c r="AV70" s="492">
        <f t="shared" si="80"/>
        <v>6084</v>
      </c>
      <c r="AW70" s="492">
        <f t="shared" si="81"/>
        <v>0</v>
      </c>
      <c r="AX70" s="493">
        <f t="shared" si="82"/>
        <v>0.66659999999999997</v>
      </c>
      <c r="AY70" s="493">
        <f t="shared" si="83"/>
        <v>0.66659999999999997</v>
      </c>
      <c r="AZ70" s="495">
        <f t="shared" si="83"/>
        <v>0</v>
      </c>
    </row>
    <row r="71" spans="1:52" ht="12.95" customHeight="1" x14ac:dyDescent="0.25">
      <c r="A71" s="313">
        <v>13</v>
      </c>
      <c r="B71" s="314">
        <v>4450</v>
      </c>
      <c r="C71" s="314">
        <v>650033841</v>
      </c>
      <c r="D71" s="314">
        <v>72744995</v>
      </c>
      <c r="E71" s="316" t="s">
        <v>353</v>
      </c>
      <c r="F71" s="314">
        <v>3143</v>
      </c>
      <c r="G71" s="317" t="s">
        <v>630</v>
      </c>
      <c r="H71" s="317" t="s">
        <v>279</v>
      </c>
      <c r="I71" s="494">
        <v>13608</v>
      </c>
      <c r="J71" s="489">
        <v>9623</v>
      </c>
      <c r="K71" s="489">
        <v>0</v>
      </c>
      <c r="L71" s="489">
        <v>3253</v>
      </c>
      <c r="M71" s="489">
        <v>192</v>
      </c>
      <c r="N71" s="489">
        <v>540</v>
      </c>
      <c r="O71" s="490">
        <v>0.04</v>
      </c>
      <c r="P71" s="491">
        <v>0</v>
      </c>
      <c r="Q71" s="658">
        <v>0.04</v>
      </c>
      <c r="R71" s="501">
        <f t="shared" si="1"/>
        <v>0</v>
      </c>
      <c r="S71" s="492">
        <v>0</v>
      </c>
      <c r="T71" s="492">
        <v>0</v>
      </c>
      <c r="U71" s="492">
        <v>0</v>
      </c>
      <c r="V71" s="492">
        <f t="shared" si="2"/>
        <v>0</v>
      </c>
      <c r="W71" s="492">
        <v>0</v>
      </c>
      <c r="X71" s="492">
        <v>0</v>
      </c>
      <c r="Y71" s="492">
        <v>0</v>
      </c>
      <c r="Z71" s="492">
        <f t="shared" si="71"/>
        <v>0</v>
      </c>
      <c r="AA71" s="492">
        <f t="shared" si="72"/>
        <v>0</v>
      </c>
      <c r="AB71" s="74">
        <f t="shared" si="73"/>
        <v>0</v>
      </c>
      <c r="AC71" s="74">
        <f t="shared" si="74"/>
        <v>0</v>
      </c>
      <c r="AD71" s="492">
        <v>0</v>
      </c>
      <c r="AE71" s="492">
        <v>0</v>
      </c>
      <c r="AF71" s="492">
        <f t="shared" si="3"/>
        <v>0</v>
      </c>
      <c r="AG71" s="492">
        <f t="shared" si="4"/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75"/>
        <v>0</v>
      </c>
      <c r="AP71" s="493">
        <f t="shared" si="76"/>
        <v>0</v>
      </c>
      <c r="AQ71" s="495">
        <f t="shared" si="7"/>
        <v>0</v>
      </c>
      <c r="AR71" s="501">
        <f t="shared" si="77"/>
        <v>13608</v>
      </c>
      <c r="AS71" s="492">
        <f t="shared" si="78"/>
        <v>9623</v>
      </c>
      <c r="AT71" s="492">
        <f t="shared" si="79"/>
        <v>0</v>
      </c>
      <c r="AU71" s="492">
        <f t="shared" si="80"/>
        <v>3253</v>
      </c>
      <c r="AV71" s="492">
        <f t="shared" si="80"/>
        <v>192</v>
      </c>
      <c r="AW71" s="492">
        <f t="shared" si="81"/>
        <v>540</v>
      </c>
      <c r="AX71" s="493">
        <f t="shared" si="82"/>
        <v>0.04</v>
      </c>
      <c r="AY71" s="493">
        <f t="shared" si="83"/>
        <v>0</v>
      </c>
      <c r="AZ71" s="495">
        <f t="shared" si="83"/>
        <v>0.04</v>
      </c>
    </row>
    <row r="72" spans="1:52" ht="12.95" customHeight="1" x14ac:dyDescent="0.25">
      <c r="A72" s="306">
        <v>13</v>
      </c>
      <c r="B72" s="308">
        <v>4450</v>
      </c>
      <c r="C72" s="308">
        <v>650033841</v>
      </c>
      <c r="D72" s="308">
        <v>72744995</v>
      </c>
      <c r="E72" s="321" t="s">
        <v>355</v>
      </c>
      <c r="F72" s="324"/>
      <c r="G72" s="325"/>
      <c r="H72" s="325"/>
      <c r="I72" s="585">
        <v>6692639</v>
      </c>
      <c r="J72" s="582">
        <v>4818882</v>
      </c>
      <c r="K72" s="582">
        <v>61460</v>
      </c>
      <c r="L72" s="582">
        <v>1649556</v>
      </c>
      <c r="M72" s="582">
        <v>96377</v>
      </c>
      <c r="N72" s="582">
        <v>66364</v>
      </c>
      <c r="O72" s="583">
        <v>10.788</v>
      </c>
      <c r="P72" s="583">
        <v>8.1519999999999992</v>
      </c>
      <c r="Q72" s="323">
        <v>2.6360000000000001</v>
      </c>
      <c r="R72" s="589">
        <f t="shared" ref="R72:AZ72" si="84">SUM(R66:R71)</f>
        <v>0</v>
      </c>
      <c r="S72" s="582">
        <f t="shared" si="84"/>
        <v>0</v>
      </c>
      <c r="T72" s="582">
        <f t="shared" si="84"/>
        <v>0</v>
      </c>
      <c r="U72" s="582">
        <f t="shared" si="84"/>
        <v>0</v>
      </c>
      <c r="V72" s="582">
        <f t="shared" si="84"/>
        <v>0</v>
      </c>
      <c r="W72" s="582">
        <f t="shared" si="84"/>
        <v>0</v>
      </c>
      <c r="X72" s="582">
        <f t="shared" si="84"/>
        <v>0</v>
      </c>
      <c r="Y72" s="582">
        <f t="shared" si="84"/>
        <v>0</v>
      </c>
      <c r="Z72" s="582">
        <f t="shared" si="84"/>
        <v>0</v>
      </c>
      <c r="AA72" s="582">
        <f t="shared" si="84"/>
        <v>0</v>
      </c>
      <c r="AB72" s="582">
        <f t="shared" si="84"/>
        <v>0</v>
      </c>
      <c r="AC72" s="582">
        <f t="shared" si="84"/>
        <v>0</v>
      </c>
      <c r="AD72" s="582">
        <f t="shared" si="84"/>
        <v>0</v>
      </c>
      <c r="AE72" s="582">
        <f t="shared" si="84"/>
        <v>0</v>
      </c>
      <c r="AF72" s="582">
        <f t="shared" si="84"/>
        <v>0</v>
      </c>
      <c r="AG72" s="582">
        <f t="shared" si="84"/>
        <v>0</v>
      </c>
      <c r="AH72" s="583">
        <f t="shared" si="84"/>
        <v>0</v>
      </c>
      <c r="AI72" s="583">
        <f t="shared" si="84"/>
        <v>0</v>
      </c>
      <c r="AJ72" s="583">
        <f t="shared" si="84"/>
        <v>0</v>
      </c>
      <c r="AK72" s="583">
        <f t="shared" si="84"/>
        <v>0</v>
      </c>
      <c r="AL72" s="583">
        <f t="shared" si="84"/>
        <v>0</v>
      </c>
      <c r="AM72" s="583">
        <f t="shared" si="84"/>
        <v>0</v>
      </c>
      <c r="AN72" s="583">
        <f t="shared" si="84"/>
        <v>0</v>
      </c>
      <c r="AO72" s="583">
        <f t="shared" si="84"/>
        <v>0</v>
      </c>
      <c r="AP72" s="583">
        <f t="shared" si="84"/>
        <v>0</v>
      </c>
      <c r="AQ72" s="323">
        <f t="shared" si="84"/>
        <v>0</v>
      </c>
      <c r="AR72" s="589">
        <f t="shared" si="84"/>
        <v>6692639</v>
      </c>
      <c r="AS72" s="582">
        <f t="shared" si="84"/>
        <v>4818882</v>
      </c>
      <c r="AT72" s="582">
        <f t="shared" si="84"/>
        <v>61460</v>
      </c>
      <c r="AU72" s="582">
        <f t="shared" si="84"/>
        <v>1649556</v>
      </c>
      <c r="AV72" s="582">
        <f t="shared" si="84"/>
        <v>96377</v>
      </c>
      <c r="AW72" s="582">
        <f t="shared" si="84"/>
        <v>66364</v>
      </c>
      <c r="AX72" s="583">
        <f t="shared" si="84"/>
        <v>10.788</v>
      </c>
      <c r="AY72" s="583">
        <f t="shared" si="84"/>
        <v>8.1519999999999992</v>
      </c>
      <c r="AZ72" s="323">
        <f t="shared" si="84"/>
        <v>2.6360000000000001</v>
      </c>
    </row>
    <row r="73" spans="1:52" ht="12.95" customHeight="1" x14ac:dyDescent="0.25">
      <c r="A73" s="313">
        <v>14</v>
      </c>
      <c r="B73" s="314">
        <v>4430</v>
      </c>
      <c r="C73" s="314">
        <v>600074862</v>
      </c>
      <c r="D73" s="314">
        <v>70695024</v>
      </c>
      <c r="E73" s="316" t="s">
        <v>356</v>
      </c>
      <c r="F73" s="314">
        <v>3111</v>
      </c>
      <c r="G73" s="317" t="s">
        <v>354</v>
      </c>
      <c r="H73" s="317" t="s">
        <v>278</v>
      </c>
      <c r="I73" s="494">
        <v>1481832</v>
      </c>
      <c r="J73" s="489">
        <v>1082903</v>
      </c>
      <c r="K73" s="489">
        <v>0</v>
      </c>
      <c r="L73" s="489">
        <v>366021</v>
      </c>
      <c r="M73" s="489">
        <v>21658</v>
      </c>
      <c r="N73" s="489">
        <v>11250</v>
      </c>
      <c r="O73" s="490">
        <v>2.3818999999999999</v>
      </c>
      <c r="P73" s="491">
        <v>1.871</v>
      </c>
      <c r="Q73" s="658">
        <v>0.51090000000000002</v>
      </c>
      <c r="R73" s="501">
        <f t="shared" si="1"/>
        <v>0</v>
      </c>
      <c r="S73" s="492">
        <v>0</v>
      </c>
      <c r="T73" s="492">
        <v>0</v>
      </c>
      <c r="U73" s="492">
        <v>0</v>
      </c>
      <c r="V73" s="492">
        <f t="shared" si="2"/>
        <v>0</v>
      </c>
      <c r="W73" s="492">
        <v>0</v>
      </c>
      <c r="X73" s="492">
        <v>0</v>
      </c>
      <c r="Y73" s="492">
        <v>0</v>
      </c>
      <c r="Z73" s="492">
        <f t="shared" ref="Z73:Z78" si="85">SUM(W73:Y73)</f>
        <v>0</v>
      </c>
      <c r="AA73" s="492">
        <f t="shared" ref="AA73:AA78" si="86">V73+Z73</f>
        <v>0</v>
      </c>
      <c r="AB73" s="74">
        <f t="shared" ref="AB73:AB78" si="87">ROUND((V73+W73+X73)*33.8%,0)</f>
        <v>0</v>
      </c>
      <c r="AC73" s="74">
        <f t="shared" ref="AC73:AC78" si="88">ROUND(V73*2%,0)</f>
        <v>0</v>
      </c>
      <c r="AD73" s="492">
        <v>0</v>
      </c>
      <c r="AE73" s="492">
        <v>0</v>
      </c>
      <c r="AF73" s="492">
        <f t="shared" si="3"/>
        <v>0</v>
      </c>
      <c r="AG73" s="492">
        <f t="shared" si="4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ref="AO73:AO78" si="89">AH73+AJ73+AK73+AM73</f>
        <v>0</v>
      </c>
      <c r="AP73" s="493">
        <f t="shared" ref="AP73:AP78" si="90">AI73+AN73+AL73</f>
        <v>0</v>
      </c>
      <c r="AQ73" s="495">
        <f t="shared" si="7"/>
        <v>0</v>
      </c>
      <c r="AR73" s="501">
        <f t="shared" ref="AR73:AR78" si="91">I73+AG73</f>
        <v>1481832</v>
      </c>
      <c r="AS73" s="492">
        <f t="shared" ref="AS73:AS78" si="92">J73+V73</f>
        <v>1082903</v>
      </c>
      <c r="AT73" s="492">
        <f t="shared" ref="AT73:AT78" si="93">K73+Z73</f>
        <v>0</v>
      </c>
      <c r="AU73" s="492">
        <f t="shared" ref="AU73:AV78" si="94">L73+AB73</f>
        <v>366021</v>
      </c>
      <c r="AV73" s="492">
        <f t="shared" si="94"/>
        <v>21658</v>
      </c>
      <c r="AW73" s="492">
        <f t="shared" ref="AW73:AW78" si="95">N73+AF73</f>
        <v>11250</v>
      </c>
      <c r="AX73" s="493">
        <f t="shared" ref="AX73:AX78" si="96">O73+AQ73</f>
        <v>2.3818999999999999</v>
      </c>
      <c r="AY73" s="493">
        <f t="shared" ref="AY73:AZ78" si="97">P73+AO73</f>
        <v>1.871</v>
      </c>
      <c r="AZ73" s="495">
        <f t="shared" si="97"/>
        <v>0.51090000000000002</v>
      </c>
    </row>
    <row r="74" spans="1:52" ht="12.95" customHeight="1" x14ac:dyDescent="0.25">
      <c r="A74" s="313">
        <v>14</v>
      </c>
      <c r="B74" s="314">
        <v>4430</v>
      </c>
      <c r="C74" s="314">
        <v>600074862</v>
      </c>
      <c r="D74" s="314">
        <v>70695024</v>
      </c>
      <c r="E74" s="316" t="s">
        <v>356</v>
      </c>
      <c r="F74" s="314">
        <v>3117</v>
      </c>
      <c r="G74" s="317" t="s">
        <v>315</v>
      </c>
      <c r="H74" s="317" t="s">
        <v>278</v>
      </c>
      <c r="I74" s="494">
        <v>2579066</v>
      </c>
      <c r="J74" s="489">
        <v>1871462</v>
      </c>
      <c r="K74" s="489">
        <v>0</v>
      </c>
      <c r="L74" s="489">
        <v>632555</v>
      </c>
      <c r="M74" s="489">
        <v>37429</v>
      </c>
      <c r="N74" s="489">
        <v>37620</v>
      </c>
      <c r="O74" s="490">
        <v>3.6007000000000002</v>
      </c>
      <c r="P74" s="491">
        <v>2.5390000000000001</v>
      </c>
      <c r="Q74" s="658">
        <v>1.0617000000000001</v>
      </c>
      <c r="R74" s="501">
        <f t="shared" si="1"/>
        <v>0</v>
      </c>
      <c r="S74" s="492">
        <v>0</v>
      </c>
      <c r="T74" s="492">
        <v>0</v>
      </c>
      <c r="U74" s="492">
        <v>0</v>
      </c>
      <c r="V74" s="492">
        <f t="shared" si="2"/>
        <v>0</v>
      </c>
      <c r="W74" s="492">
        <v>0</v>
      </c>
      <c r="X74" s="492">
        <v>0</v>
      </c>
      <c r="Y74" s="492">
        <v>0</v>
      </c>
      <c r="Z74" s="492">
        <f t="shared" si="85"/>
        <v>0</v>
      </c>
      <c r="AA74" s="492">
        <f t="shared" si="86"/>
        <v>0</v>
      </c>
      <c r="AB74" s="74">
        <f t="shared" si="87"/>
        <v>0</v>
      </c>
      <c r="AC74" s="74">
        <f t="shared" si="88"/>
        <v>0</v>
      </c>
      <c r="AD74" s="492">
        <v>0</v>
      </c>
      <c r="AE74" s="492">
        <v>0</v>
      </c>
      <c r="AF74" s="492">
        <f t="shared" si="3"/>
        <v>0</v>
      </c>
      <c r="AG74" s="492">
        <f t="shared" si="4"/>
        <v>0</v>
      </c>
      <c r="AH74" s="493">
        <v>0</v>
      </c>
      <c r="AI74" s="493">
        <v>0</v>
      </c>
      <c r="AJ74" s="493">
        <v>0</v>
      </c>
      <c r="AK74" s="493">
        <v>0</v>
      </c>
      <c r="AL74" s="493">
        <v>0</v>
      </c>
      <c r="AM74" s="493">
        <v>0</v>
      </c>
      <c r="AN74" s="493">
        <v>0</v>
      </c>
      <c r="AO74" s="493">
        <f t="shared" si="89"/>
        <v>0</v>
      </c>
      <c r="AP74" s="493">
        <f t="shared" si="90"/>
        <v>0</v>
      </c>
      <c r="AQ74" s="495">
        <f t="shared" si="7"/>
        <v>0</v>
      </c>
      <c r="AR74" s="501">
        <f t="shared" si="91"/>
        <v>2579066</v>
      </c>
      <c r="AS74" s="492">
        <f t="shared" si="92"/>
        <v>1871462</v>
      </c>
      <c r="AT74" s="492">
        <f t="shared" si="93"/>
        <v>0</v>
      </c>
      <c r="AU74" s="492">
        <f t="shared" si="94"/>
        <v>632555</v>
      </c>
      <c r="AV74" s="492">
        <f t="shared" si="94"/>
        <v>37429</v>
      </c>
      <c r="AW74" s="492">
        <f t="shared" si="95"/>
        <v>37620</v>
      </c>
      <c r="AX74" s="493">
        <f t="shared" si="96"/>
        <v>3.6007000000000002</v>
      </c>
      <c r="AY74" s="493">
        <f t="shared" si="97"/>
        <v>2.5390000000000001</v>
      </c>
      <c r="AZ74" s="495">
        <f t="shared" si="97"/>
        <v>1.0617000000000001</v>
      </c>
    </row>
    <row r="75" spans="1:52" ht="12.95" customHeight="1" x14ac:dyDescent="0.25">
      <c r="A75" s="313">
        <v>14</v>
      </c>
      <c r="B75" s="314">
        <v>4430</v>
      </c>
      <c r="C75" s="314">
        <v>600074862</v>
      </c>
      <c r="D75" s="314">
        <v>70695024</v>
      </c>
      <c r="E75" s="316" t="s">
        <v>356</v>
      </c>
      <c r="F75" s="314">
        <v>3117</v>
      </c>
      <c r="G75" s="317" t="s">
        <v>320</v>
      </c>
      <c r="H75" s="317" t="s">
        <v>279</v>
      </c>
      <c r="I75" s="494">
        <v>0</v>
      </c>
      <c r="J75" s="489">
        <v>0</v>
      </c>
      <c r="K75" s="489">
        <v>0</v>
      </c>
      <c r="L75" s="489">
        <v>0</v>
      </c>
      <c r="M75" s="489">
        <v>0</v>
      </c>
      <c r="N75" s="489">
        <v>0</v>
      </c>
      <c r="O75" s="490">
        <v>0</v>
      </c>
      <c r="P75" s="491">
        <v>0</v>
      </c>
      <c r="Q75" s="658">
        <v>0</v>
      </c>
      <c r="R75" s="501">
        <f t="shared" si="1"/>
        <v>0</v>
      </c>
      <c r="S75" s="492">
        <v>0</v>
      </c>
      <c r="T75" s="492">
        <v>0</v>
      </c>
      <c r="U75" s="492">
        <v>0</v>
      </c>
      <c r="V75" s="492">
        <f t="shared" si="2"/>
        <v>0</v>
      </c>
      <c r="W75" s="492">
        <v>0</v>
      </c>
      <c r="X75" s="492">
        <v>0</v>
      </c>
      <c r="Y75" s="492">
        <v>0</v>
      </c>
      <c r="Z75" s="492">
        <f t="shared" si="85"/>
        <v>0</v>
      </c>
      <c r="AA75" s="492">
        <f t="shared" si="86"/>
        <v>0</v>
      </c>
      <c r="AB75" s="74">
        <f t="shared" si="87"/>
        <v>0</v>
      </c>
      <c r="AC75" s="74">
        <f t="shared" si="88"/>
        <v>0</v>
      </c>
      <c r="AD75" s="492">
        <v>0</v>
      </c>
      <c r="AE75" s="492">
        <v>0</v>
      </c>
      <c r="AF75" s="492">
        <f t="shared" si="3"/>
        <v>0</v>
      </c>
      <c r="AG75" s="492">
        <f t="shared" si="4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si="89"/>
        <v>0</v>
      </c>
      <c r="AP75" s="493">
        <f t="shared" si="90"/>
        <v>0</v>
      </c>
      <c r="AQ75" s="495">
        <f t="shared" si="7"/>
        <v>0</v>
      </c>
      <c r="AR75" s="501">
        <f t="shared" si="91"/>
        <v>0</v>
      </c>
      <c r="AS75" s="492">
        <f t="shared" si="92"/>
        <v>0</v>
      </c>
      <c r="AT75" s="492">
        <f t="shared" si="93"/>
        <v>0</v>
      </c>
      <c r="AU75" s="492">
        <f t="shared" si="94"/>
        <v>0</v>
      </c>
      <c r="AV75" s="492">
        <f t="shared" si="94"/>
        <v>0</v>
      </c>
      <c r="AW75" s="492">
        <f t="shared" si="95"/>
        <v>0</v>
      </c>
      <c r="AX75" s="493">
        <f t="shared" si="96"/>
        <v>0</v>
      </c>
      <c r="AY75" s="493">
        <f t="shared" si="97"/>
        <v>0</v>
      </c>
      <c r="AZ75" s="495">
        <f t="shared" si="97"/>
        <v>0</v>
      </c>
    </row>
    <row r="76" spans="1:52" ht="12.95" customHeight="1" x14ac:dyDescent="0.25">
      <c r="A76" s="313">
        <v>14</v>
      </c>
      <c r="B76" s="314">
        <v>4430</v>
      </c>
      <c r="C76" s="314">
        <v>600074862</v>
      </c>
      <c r="D76" s="314">
        <v>70695024</v>
      </c>
      <c r="E76" s="316" t="s">
        <v>356</v>
      </c>
      <c r="F76" s="314">
        <v>3141</v>
      </c>
      <c r="G76" s="317" t="s">
        <v>316</v>
      </c>
      <c r="H76" s="317" t="s">
        <v>279</v>
      </c>
      <c r="I76" s="494">
        <v>596311</v>
      </c>
      <c r="J76" s="489">
        <v>437401</v>
      </c>
      <c r="K76" s="489">
        <v>0</v>
      </c>
      <c r="L76" s="489">
        <v>147842</v>
      </c>
      <c r="M76" s="489">
        <v>8748</v>
      </c>
      <c r="N76" s="489">
        <v>2320</v>
      </c>
      <c r="O76" s="490">
        <v>1.38</v>
      </c>
      <c r="P76" s="491">
        <v>0</v>
      </c>
      <c r="Q76" s="658">
        <v>1.38</v>
      </c>
      <c r="R76" s="501">
        <f t="shared" si="1"/>
        <v>0</v>
      </c>
      <c r="S76" s="492">
        <v>0</v>
      </c>
      <c r="T76" s="492">
        <v>0</v>
      </c>
      <c r="U76" s="492">
        <v>0</v>
      </c>
      <c r="V76" s="492">
        <f t="shared" si="2"/>
        <v>0</v>
      </c>
      <c r="W76" s="492">
        <v>0</v>
      </c>
      <c r="X76" s="492">
        <v>0</v>
      </c>
      <c r="Y76" s="492">
        <v>0</v>
      </c>
      <c r="Z76" s="492">
        <f t="shared" si="85"/>
        <v>0</v>
      </c>
      <c r="AA76" s="492">
        <f t="shared" si="86"/>
        <v>0</v>
      </c>
      <c r="AB76" s="74">
        <f t="shared" si="87"/>
        <v>0</v>
      </c>
      <c r="AC76" s="74">
        <f t="shared" si="88"/>
        <v>0</v>
      </c>
      <c r="AD76" s="492">
        <v>0</v>
      </c>
      <c r="AE76" s="492">
        <v>0</v>
      </c>
      <c r="AF76" s="492">
        <f t="shared" si="3"/>
        <v>0</v>
      </c>
      <c r="AG76" s="492">
        <f t="shared" si="4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89"/>
        <v>0</v>
      </c>
      <c r="AP76" s="493">
        <f t="shared" si="90"/>
        <v>0</v>
      </c>
      <c r="AQ76" s="495">
        <f t="shared" si="7"/>
        <v>0</v>
      </c>
      <c r="AR76" s="501">
        <f t="shared" si="91"/>
        <v>596311</v>
      </c>
      <c r="AS76" s="492">
        <f t="shared" si="92"/>
        <v>437401</v>
      </c>
      <c r="AT76" s="492">
        <f t="shared" si="93"/>
        <v>0</v>
      </c>
      <c r="AU76" s="492">
        <f t="shared" si="94"/>
        <v>147842</v>
      </c>
      <c r="AV76" s="492">
        <f t="shared" si="94"/>
        <v>8748</v>
      </c>
      <c r="AW76" s="492">
        <f t="shared" si="95"/>
        <v>2320</v>
      </c>
      <c r="AX76" s="493">
        <f t="shared" si="96"/>
        <v>1.38</v>
      </c>
      <c r="AY76" s="493">
        <f t="shared" si="97"/>
        <v>0</v>
      </c>
      <c r="AZ76" s="495">
        <f t="shared" si="97"/>
        <v>1.38</v>
      </c>
    </row>
    <row r="77" spans="1:52" ht="12.95" customHeight="1" x14ac:dyDescent="0.25">
      <c r="A77" s="313">
        <v>14</v>
      </c>
      <c r="B77" s="314">
        <v>4430</v>
      </c>
      <c r="C77" s="314">
        <v>600074862</v>
      </c>
      <c r="D77" s="314">
        <v>70695024</v>
      </c>
      <c r="E77" s="316" t="s">
        <v>356</v>
      </c>
      <c r="F77" s="314">
        <v>3143</v>
      </c>
      <c r="G77" s="317" t="s">
        <v>629</v>
      </c>
      <c r="H77" s="317" t="s">
        <v>278</v>
      </c>
      <c r="I77" s="494">
        <v>593363</v>
      </c>
      <c r="J77" s="489">
        <v>436939</v>
      </c>
      <c r="K77" s="489">
        <v>0</v>
      </c>
      <c r="L77" s="489">
        <v>147685</v>
      </c>
      <c r="M77" s="489">
        <v>8739</v>
      </c>
      <c r="N77" s="489">
        <v>0</v>
      </c>
      <c r="O77" s="490">
        <v>1</v>
      </c>
      <c r="P77" s="491">
        <v>1</v>
      </c>
      <c r="Q77" s="658">
        <v>0</v>
      </c>
      <c r="R77" s="501">
        <f t="shared" si="1"/>
        <v>0</v>
      </c>
      <c r="S77" s="492">
        <v>0</v>
      </c>
      <c r="T77" s="492">
        <v>0</v>
      </c>
      <c r="U77" s="492">
        <v>0</v>
      </c>
      <c r="V77" s="492">
        <f t="shared" si="2"/>
        <v>0</v>
      </c>
      <c r="W77" s="492">
        <v>0</v>
      </c>
      <c r="X77" s="492">
        <v>0</v>
      </c>
      <c r="Y77" s="492">
        <v>0</v>
      </c>
      <c r="Z77" s="492">
        <f t="shared" si="85"/>
        <v>0</v>
      </c>
      <c r="AA77" s="492">
        <f t="shared" si="86"/>
        <v>0</v>
      </c>
      <c r="AB77" s="74">
        <f t="shared" si="87"/>
        <v>0</v>
      </c>
      <c r="AC77" s="74">
        <f t="shared" si="88"/>
        <v>0</v>
      </c>
      <c r="AD77" s="492">
        <v>0</v>
      </c>
      <c r="AE77" s="492">
        <v>0</v>
      </c>
      <c r="AF77" s="492">
        <f t="shared" si="3"/>
        <v>0</v>
      </c>
      <c r="AG77" s="492">
        <f t="shared" si="4"/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si="89"/>
        <v>0</v>
      </c>
      <c r="AP77" s="493">
        <f t="shared" si="90"/>
        <v>0</v>
      </c>
      <c r="AQ77" s="495">
        <f t="shared" si="7"/>
        <v>0</v>
      </c>
      <c r="AR77" s="501">
        <f t="shared" si="91"/>
        <v>593363</v>
      </c>
      <c r="AS77" s="492">
        <f t="shared" si="92"/>
        <v>436939</v>
      </c>
      <c r="AT77" s="492">
        <f t="shared" si="93"/>
        <v>0</v>
      </c>
      <c r="AU77" s="492">
        <f t="shared" si="94"/>
        <v>147685</v>
      </c>
      <c r="AV77" s="492">
        <f t="shared" si="94"/>
        <v>8739</v>
      </c>
      <c r="AW77" s="492">
        <f t="shared" si="95"/>
        <v>0</v>
      </c>
      <c r="AX77" s="493">
        <f t="shared" si="96"/>
        <v>1</v>
      </c>
      <c r="AY77" s="493">
        <f t="shared" si="97"/>
        <v>1</v>
      </c>
      <c r="AZ77" s="495">
        <f t="shared" si="97"/>
        <v>0</v>
      </c>
    </row>
    <row r="78" spans="1:52" ht="12.95" customHeight="1" x14ac:dyDescent="0.25">
      <c r="A78" s="313">
        <v>14</v>
      </c>
      <c r="B78" s="314">
        <v>4430</v>
      </c>
      <c r="C78" s="314">
        <v>600074862</v>
      </c>
      <c r="D78" s="314">
        <v>70695024</v>
      </c>
      <c r="E78" s="316" t="s">
        <v>356</v>
      </c>
      <c r="F78" s="314">
        <v>3143</v>
      </c>
      <c r="G78" s="317" t="s">
        <v>630</v>
      </c>
      <c r="H78" s="317" t="s">
        <v>279</v>
      </c>
      <c r="I78" s="494">
        <v>14364</v>
      </c>
      <c r="J78" s="489">
        <v>10158</v>
      </c>
      <c r="K78" s="489">
        <v>0</v>
      </c>
      <c r="L78" s="489">
        <v>3433</v>
      </c>
      <c r="M78" s="489">
        <v>203</v>
      </c>
      <c r="N78" s="489">
        <v>570</v>
      </c>
      <c r="O78" s="490">
        <v>0.04</v>
      </c>
      <c r="P78" s="491">
        <v>0</v>
      </c>
      <c r="Q78" s="658">
        <v>0.04</v>
      </c>
      <c r="R78" s="501">
        <f t="shared" ref="R78:R121" si="98">W78*-1</f>
        <v>0</v>
      </c>
      <c r="S78" s="492">
        <v>0</v>
      </c>
      <c r="T78" s="492">
        <v>0</v>
      </c>
      <c r="U78" s="492">
        <v>0</v>
      </c>
      <c r="V78" s="492">
        <f t="shared" ref="V78:V121" si="99">SUM(R78:U78)</f>
        <v>0</v>
      </c>
      <c r="W78" s="492">
        <v>0</v>
      </c>
      <c r="X78" s="492">
        <v>0</v>
      </c>
      <c r="Y78" s="492">
        <v>0</v>
      </c>
      <c r="Z78" s="492">
        <f t="shared" si="85"/>
        <v>0</v>
      </c>
      <c r="AA78" s="492">
        <f t="shared" si="86"/>
        <v>0</v>
      </c>
      <c r="AB78" s="74">
        <f t="shared" si="87"/>
        <v>0</v>
      </c>
      <c r="AC78" s="74">
        <f t="shared" si="88"/>
        <v>0</v>
      </c>
      <c r="AD78" s="492">
        <v>0</v>
      </c>
      <c r="AE78" s="492">
        <v>0</v>
      </c>
      <c r="AF78" s="492">
        <f t="shared" ref="AF78:AF121" si="100">SUM(AD78:AE78)</f>
        <v>0</v>
      </c>
      <c r="AG78" s="492">
        <f t="shared" ref="AG78:AG121" si="101">AA78+AB78+AC78+AF78</f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89"/>
        <v>0</v>
      </c>
      <c r="AP78" s="493">
        <f t="shared" si="90"/>
        <v>0</v>
      </c>
      <c r="AQ78" s="495">
        <f t="shared" ref="AQ78:AQ121" si="102">SUM(AO78:AP78)</f>
        <v>0</v>
      </c>
      <c r="AR78" s="501">
        <f t="shared" si="91"/>
        <v>14364</v>
      </c>
      <c r="AS78" s="492">
        <f t="shared" si="92"/>
        <v>10158</v>
      </c>
      <c r="AT78" s="492">
        <f t="shared" si="93"/>
        <v>0</v>
      </c>
      <c r="AU78" s="492">
        <f t="shared" si="94"/>
        <v>3433</v>
      </c>
      <c r="AV78" s="492">
        <f t="shared" si="94"/>
        <v>203</v>
      </c>
      <c r="AW78" s="492">
        <f t="shared" si="95"/>
        <v>570</v>
      </c>
      <c r="AX78" s="493">
        <f t="shared" si="96"/>
        <v>0.04</v>
      </c>
      <c r="AY78" s="493">
        <f t="shared" si="97"/>
        <v>0</v>
      </c>
      <c r="AZ78" s="495">
        <f t="shared" si="97"/>
        <v>0.04</v>
      </c>
    </row>
    <row r="79" spans="1:52" ht="12.95" customHeight="1" x14ac:dyDescent="0.25">
      <c r="A79" s="306">
        <v>14</v>
      </c>
      <c r="B79" s="308">
        <v>4430</v>
      </c>
      <c r="C79" s="308">
        <v>600074862</v>
      </c>
      <c r="D79" s="308">
        <v>70695024</v>
      </c>
      <c r="E79" s="321" t="s">
        <v>357</v>
      </c>
      <c r="F79" s="324"/>
      <c r="G79" s="325"/>
      <c r="H79" s="325"/>
      <c r="I79" s="585">
        <v>5264936</v>
      </c>
      <c r="J79" s="582">
        <v>3838863</v>
      </c>
      <c r="K79" s="582">
        <v>0</v>
      </c>
      <c r="L79" s="582">
        <v>1297536</v>
      </c>
      <c r="M79" s="582">
        <v>76777</v>
      </c>
      <c r="N79" s="582">
        <v>51760</v>
      </c>
      <c r="O79" s="583">
        <v>8.4025999999999996</v>
      </c>
      <c r="P79" s="583">
        <v>5.41</v>
      </c>
      <c r="Q79" s="323">
        <v>2.9925999999999999</v>
      </c>
      <c r="R79" s="589">
        <f t="shared" ref="R79:AZ79" si="103">SUM(R73:R78)</f>
        <v>0</v>
      </c>
      <c r="S79" s="582">
        <f t="shared" si="103"/>
        <v>0</v>
      </c>
      <c r="T79" s="582">
        <f t="shared" si="103"/>
        <v>0</v>
      </c>
      <c r="U79" s="582">
        <f t="shared" si="103"/>
        <v>0</v>
      </c>
      <c r="V79" s="582">
        <f t="shared" si="103"/>
        <v>0</v>
      </c>
      <c r="W79" s="582">
        <f t="shared" si="103"/>
        <v>0</v>
      </c>
      <c r="X79" s="582">
        <f t="shared" si="103"/>
        <v>0</v>
      </c>
      <c r="Y79" s="582">
        <f t="shared" si="103"/>
        <v>0</v>
      </c>
      <c r="Z79" s="582">
        <f t="shared" si="103"/>
        <v>0</v>
      </c>
      <c r="AA79" s="582">
        <f t="shared" si="103"/>
        <v>0</v>
      </c>
      <c r="AB79" s="582">
        <f t="shared" si="103"/>
        <v>0</v>
      </c>
      <c r="AC79" s="582">
        <f t="shared" si="103"/>
        <v>0</v>
      </c>
      <c r="AD79" s="582">
        <f t="shared" si="103"/>
        <v>0</v>
      </c>
      <c r="AE79" s="582">
        <f t="shared" si="103"/>
        <v>0</v>
      </c>
      <c r="AF79" s="582">
        <f t="shared" si="103"/>
        <v>0</v>
      </c>
      <c r="AG79" s="582">
        <f t="shared" si="103"/>
        <v>0</v>
      </c>
      <c r="AH79" s="583">
        <f t="shared" si="103"/>
        <v>0</v>
      </c>
      <c r="AI79" s="583">
        <f t="shared" si="103"/>
        <v>0</v>
      </c>
      <c r="AJ79" s="583">
        <f t="shared" si="103"/>
        <v>0</v>
      </c>
      <c r="AK79" s="583">
        <f t="shared" si="103"/>
        <v>0</v>
      </c>
      <c r="AL79" s="583">
        <f t="shared" si="103"/>
        <v>0</v>
      </c>
      <c r="AM79" s="583">
        <f t="shared" si="103"/>
        <v>0</v>
      </c>
      <c r="AN79" s="583">
        <f t="shared" si="103"/>
        <v>0</v>
      </c>
      <c r="AO79" s="583">
        <f t="shared" si="103"/>
        <v>0</v>
      </c>
      <c r="AP79" s="583">
        <f t="shared" si="103"/>
        <v>0</v>
      </c>
      <c r="AQ79" s="323">
        <f t="shared" si="103"/>
        <v>0</v>
      </c>
      <c r="AR79" s="589">
        <f t="shared" si="103"/>
        <v>5264936</v>
      </c>
      <c r="AS79" s="582">
        <f t="shared" si="103"/>
        <v>3838863</v>
      </c>
      <c r="AT79" s="582">
        <f t="shared" si="103"/>
        <v>0</v>
      </c>
      <c r="AU79" s="582">
        <f t="shared" si="103"/>
        <v>1297536</v>
      </c>
      <c r="AV79" s="582">
        <f t="shared" si="103"/>
        <v>76777</v>
      </c>
      <c r="AW79" s="582">
        <f t="shared" si="103"/>
        <v>51760</v>
      </c>
      <c r="AX79" s="583">
        <f t="shared" si="103"/>
        <v>8.4025999999999996</v>
      </c>
      <c r="AY79" s="583">
        <f t="shared" si="103"/>
        <v>5.41</v>
      </c>
      <c r="AZ79" s="323">
        <f t="shared" si="103"/>
        <v>2.9925999999999999</v>
      </c>
    </row>
    <row r="80" spans="1:52" ht="12.95" customHeight="1" x14ac:dyDescent="0.25">
      <c r="A80" s="313">
        <v>15</v>
      </c>
      <c r="B80" s="314">
        <v>4433</v>
      </c>
      <c r="C80" s="314">
        <v>600075001</v>
      </c>
      <c r="D80" s="314">
        <v>70695440</v>
      </c>
      <c r="E80" s="316" t="s">
        <v>358</v>
      </c>
      <c r="F80" s="314">
        <v>3111</v>
      </c>
      <c r="G80" s="317" t="s">
        <v>326</v>
      </c>
      <c r="H80" s="317" t="s">
        <v>278</v>
      </c>
      <c r="I80" s="494">
        <v>1430529</v>
      </c>
      <c r="J80" s="489">
        <v>1048438</v>
      </c>
      <c r="K80" s="489">
        <v>0</v>
      </c>
      <c r="L80" s="489">
        <v>354372</v>
      </c>
      <c r="M80" s="489">
        <v>20969</v>
      </c>
      <c r="N80" s="489">
        <v>6750</v>
      </c>
      <c r="O80" s="490">
        <v>2.4609000000000001</v>
      </c>
      <c r="P80" s="491">
        <v>2</v>
      </c>
      <c r="Q80" s="658">
        <v>0.46089999999999998</v>
      </c>
      <c r="R80" s="501">
        <f t="shared" si="98"/>
        <v>0</v>
      </c>
      <c r="S80" s="492">
        <v>0</v>
      </c>
      <c r="T80" s="492">
        <v>0</v>
      </c>
      <c r="U80" s="492">
        <v>0</v>
      </c>
      <c r="V80" s="492">
        <f t="shared" si="99"/>
        <v>0</v>
      </c>
      <c r="W80" s="492">
        <v>0</v>
      </c>
      <c r="X80" s="492">
        <v>0</v>
      </c>
      <c r="Y80" s="492">
        <v>0</v>
      </c>
      <c r="Z80" s="492">
        <f t="shared" ref="Z80:Z85" si="104">SUM(W80:Y80)</f>
        <v>0</v>
      </c>
      <c r="AA80" s="492">
        <f t="shared" ref="AA80:AA85" si="105">V80+Z80</f>
        <v>0</v>
      </c>
      <c r="AB80" s="74">
        <f t="shared" ref="AB80:AB85" si="106">ROUND((V80+W80+X80)*33.8%,0)</f>
        <v>0</v>
      </c>
      <c r="AC80" s="74">
        <f t="shared" ref="AC80:AC85" si="107">ROUND(V80*2%,0)</f>
        <v>0</v>
      </c>
      <c r="AD80" s="492">
        <v>0</v>
      </c>
      <c r="AE80" s="492">
        <v>0</v>
      </c>
      <c r="AF80" s="492">
        <f t="shared" si="100"/>
        <v>0</v>
      </c>
      <c r="AG80" s="492">
        <f t="shared" si="101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ref="AO80:AO85" si="108">AH80+AJ80+AK80+AM80</f>
        <v>0</v>
      </c>
      <c r="AP80" s="493">
        <f t="shared" ref="AP80:AP85" si="109">AI80+AN80+AL80</f>
        <v>0</v>
      </c>
      <c r="AQ80" s="495">
        <f t="shared" si="102"/>
        <v>0</v>
      </c>
      <c r="AR80" s="501">
        <f t="shared" ref="AR80:AR85" si="110">I80+AG80</f>
        <v>1430529</v>
      </c>
      <c r="AS80" s="492">
        <f t="shared" ref="AS80:AS85" si="111">J80+V80</f>
        <v>1048438</v>
      </c>
      <c r="AT80" s="492">
        <f t="shared" ref="AT80:AT85" si="112">K80+Z80</f>
        <v>0</v>
      </c>
      <c r="AU80" s="492">
        <f t="shared" ref="AU80:AV85" si="113">L80+AB80</f>
        <v>354372</v>
      </c>
      <c r="AV80" s="492">
        <f t="shared" si="113"/>
        <v>20969</v>
      </c>
      <c r="AW80" s="492">
        <f t="shared" ref="AW80:AW85" si="114">N80+AF80</f>
        <v>6750</v>
      </c>
      <c r="AX80" s="493">
        <f t="shared" ref="AX80:AX85" si="115">O80+AQ80</f>
        <v>2.4609000000000001</v>
      </c>
      <c r="AY80" s="493">
        <f t="shared" ref="AY80:AZ85" si="116">P80+AO80</f>
        <v>2</v>
      </c>
      <c r="AZ80" s="495">
        <f t="shared" si="116"/>
        <v>0.46089999999999998</v>
      </c>
    </row>
    <row r="81" spans="1:52" ht="12.95" customHeight="1" x14ac:dyDescent="0.25">
      <c r="A81" s="313">
        <v>15</v>
      </c>
      <c r="B81" s="314">
        <v>4433</v>
      </c>
      <c r="C81" s="314">
        <v>600075001</v>
      </c>
      <c r="D81" s="314">
        <v>70695440</v>
      </c>
      <c r="E81" s="316" t="s">
        <v>358</v>
      </c>
      <c r="F81" s="314">
        <v>3117</v>
      </c>
      <c r="G81" s="317" t="s">
        <v>330</v>
      </c>
      <c r="H81" s="317" t="s">
        <v>278</v>
      </c>
      <c r="I81" s="494">
        <v>1707434</v>
      </c>
      <c r="J81" s="489">
        <v>1244724</v>
      </c>
      <c r="K81" s="489">
        <v>0</v>
      </c>
      <c r="L81" s="489">
        <v>420716</v>
      </c>
      <c r="M81" s="489">
        <v>24894</v>
      </c>
      <c r="N81" s="489">
        <v>17100</v>
      </c>
      <c r="O81" s="490">
        <v>2.3086000000000002</v>
      </c>
      <c r="P81" s="491">
        <v>1.5455000000000001</v>
      </c>
      <c r="Q81" s="658">
        <v>0.76310000000000011</v>
      </c>
      <c r="R81" s="501">
        <f t="shared" si="98"/>
        <v>0</v>
      </c>
      <c r="S81" s="492">
        <v>0</v>
      </c>
      <c r="T81" s="492">
        <v>0</v>
      </c>
      <c r="U81" s="492">
        <v>0</v>
      </c>
      <c r="V81" s="492">
        <f t="shared" si="99"/>
        <v>0</v>
      </c>
      <c r="W81" s="492">
        <v>0</v>
      </c>
      <c r="X81" s="492">
        <v>0</v>
      </c>
      <c r="Y81" s="492">
        <v>0</v>
      </c>
      <c r="Z81" s="492">
        <f t="shared" si="104"/>
        <v>0</v>
      </c>
      <c r="AA81" s="492">
        <f t="shared" si="105"/>
        <v>0</v>
      </c>
      <c r="AB81" s="74">
        <f t="shared" si="106"/>
        <v>0</v>
      </c>
      <c r="AC81" s="74">
        <f t="shared" si="107"/>
        <v>0</v>
      </c>
      <c r="AD81" s="492">
        <v>0</v>
      </c>
      <c r="AE81" s="492">
        <v>0</v>
      </c>
      <c r="AF81" s="492">
        <f t="shared" si="100"/>
        <v>0</v>
      </c>
      <c r="AG81" s="492">
        <f t="shared" si="101"/>
        <v>0</v>
      </c>
      <c r="AH81" s="493">
        <v>0</v>
      </c>
      <c r="AI81" s="493">
        <v>0</v>
      </c>
      <c r="AJ81" s="493">
        <v>0</v>
      </c>
      <c r="AK81" s="493">
        <v>0</v>
      </c>
      <c r="AL81" s="493">
        <v>0</v>
      </c>
      <c r="AM81" s="493">
        <v>0</v>
      </c>
      <c r="AN81" s="493">
        <v>0</v>
      </c>
      <c r="AO81" s="493">
        <f t="shared" si="108"/>
        <v>0</v>
      </c>
      <c r="AP81" s="493">
        <f t="shared" si="109"/>
        <v>0</v>
      </c>
      <c r="AQ81" s="495">
        <f t="shared" si="102"/>
        <v>0</v>
      </c>
      <c r="AR81" s="501">
        <f t="shared" si="110"/>
        <v>1707434</v>
      </c>
      <c r="AS81" s="492">
        <f t="shared" si="111"/>
        <v>1244724</v>
      </c>
      <c r="AT81" s="492">
        <f t="shared" si="112"/>
        <v>0</v>
      </c>
      <c r="AU81" s="492">
        <f t="shared" si="113"/>
        <v>420716</v>
      </c>
      <c r="AV81" s="492">
        <f t="shared" si="113"/>
        <v>24894</v>
      </c>
      <c r="AW81" s="492">
        <f t="shared" si="114"/>
        <v>17100</v>
      </c>
      <c r="AX81" s="493">
        <f t="shared" si="115"/>
        <v>2.3086000000000002</v>
      </c>
      <c r="AY81" s="493">
        <f t="shared" si="116"/>
        <v>1.5455000000000001</v>
      </c>
      <c r="AZ81" s="495">
        <f t="shared" si="116"/>
        <v>0.76310000000000011</v>
      </c>
    </row>
    <row r="82" spans="1:52" ht="12.95" customHeight="1" x14ac:dyDescent="0.25">
      <c r="A82" s="313">
        <v>15</v>
      </c>
      <c r="B82" s="314">
        <v>4433</v>
      </c>
      <c r="C82" s="314">
        <v>600075001</v>
      </c>
      <c r="D82" s="314">
        <v>70695440</v>
      </c>
      <c r="E82" s="316" t="s">
        <v>358</v>
      </c>
      <c r="F82" s="314">
        <v>3117</v>
      </c>
      <c r="G82" s="317" t="s">
        <v>320</v>
      </c>
      <c r="H82" s="317" t="s">
        <v>279</v>
      </c>
      <c r="I82" s="494">
        <v>172494</v>
      </c>
      <c r="J82" s="489">
        <v>127021</v>
      </c>
      <c r="K82" s="489">
        <v>0</v>
      </c>
      <c r="L82" s="489">
        <v>42933</v>
      </c>
      <c r="M82" s="489">
        <v>2540</v>
      </c>
      <c r="N82" s="489">
        <v>0</v>
      </c>
      <c r="O82" s="490">
        <v>0.5</v>
      </c>
      <c r="P82" s="491">
        <v>0.5</v>
      </c>
      <c r="Q82" s="658">
        <v>0</v>
      </c>
      <c r="R82" s="501">
        <f t="shared" si="98"/>
        <v>0</v>
      </c>
      <c r="S82" s="492">
        <v>0</v>
      </c>
      <c r="T82" s="492">
        <v>0</v>
      </c>
      <c r="U82" s="492">
        <v>0</v>
      </c>
      <c r="V82" s="492">
        <f t="shared" si="99"/>
        <v>0</v>
      </c>
      <c r="W82" s="492">
        <v>0</v>
      </c>
      <c r="X82" s="492">
        <v>0</v>
      </c>
      <c r="Y82" s="492">
        <v>0</v>
      </c>
      <c r="Z82" s="492">
        <f t="shared" si="104"/>
        <v>0</v>
      </c>
      <c r="AA82" s="492">
        <f t="shared" si="105"/>
        <v>0</v>
      </c>
      <c r="AB82" s="74">
        <f t="shared" si="106"/>
        <v>0</v>
      </c>
      <c r="AC82" s="74">
        <f t="shared" si="107"/>
        <v>0</v>
      </c>
      <c r="AD82" s="492">
        <v>0</v>
      </c>
      <c r="AE82" s="492">
        <v>0</v>
      </c>
      <c r="AF82" s="492">
        <f t="shared" si="100"/>
        <v>0</v>
      </c>
      <c r="AG82" s="492">
        <f t="shared" si="101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si="108"/>
        <v>0</v>
      </c>
      <c r="AP82" s="493">
        <f t="shared" si="109"/>
        <v>0</v>
      </c>
      <c r="AQ82" s="495">
        <f t="shared" si="102"/>
        <v>0</v>
      </c>
      <c r="AR82" s="501">
        <f t="shared" si="110"/>
        <v>172494</v>
      </c>
      <c r="AS82" s="492">
        <f t="shared" si="111"/>
        <v>127021</v>
      </c>
      <c r="AT82" s="492">
        <f t="shared" si="112"/>
        <v>0</v>
      </c>
      <c r="AU82" s="492">
        <f t="shared" si="113"/>
        <v>42933</v>
      </c>
      <c r="AV82" s="492">
        <f t="shared" si="113"/>
        <v>2540</v>
      </c>
      <c r="AW82" s="492">
        <f t="shared" si="114"/>
        <v>0</v>
      </c>
      <c r="AX82" s="493">
        <f t="shared" si="115"/>
        <v>0.5</v>
      </c>
      <c r="AY82" s="493">
        <f t="shared" si="116"/>
        <v>0.5</v>
      </c>
      <c r="AZ82" s="495">
        <f t="shared" si="116"/>
        <v>0</v>
      </c>
    </row>
    <row r="83" spans="1:52" ht="12.95" customHeight="1" x14ac:dyDescent="0.25">
      <c r="A83" s="313">
        <v>15</v>
      </c>
      <c r="B83" s="314">
        <v>4433</v>
      </c>
      <c r="C83" s="314">
        <v>600075001</v>
      </c>
      <c r="D83" s="314">
        <v>70695440</v>
      </c>
      <c r="E83" s="316" t="s">
        <v>358</v>
      </c>
      <c r="F83" s="314">
        <v>3141</v>
      </c>
      <c r="G83" s="317" t="s">
        <v>316</v>
      </c>
      <c r="H83" s="317" t="s">
        <v>279</v>
      </c>
      <c r="I83" s="494">
        <v>398947</v>
      </c>
      <c r="J83" s="489">
        <v>292708</v>
      </c>
      <c r="K83" s="489">
        <v>0</v>
      </c>
      <c r="L83" s="489">
        <v>98935</v>
      </c>
      <c r="M83" s="489">
        <v>5854</v>
      </c>
      <c r="N83" s="489">
        <v>1450</v>
      </c>
      <c r="O83" s="490">
        <v>0.92</v>
      </c>
      <c r="P83" s="491">
        <v>0</v>
      </c>
      <c r="Q83" s="658">
        <v>0.92</v>
      </c>
      <c r="R83" s="501">
        <f t="shared" si="98"/>
        <v>0</v>
      </c>
      <c r="S83" s="492">
        <v>0</v>
      </c>
      <c r="T83" s="492">
        <v>0</v>
      </c>
      <c r="U83" s="492">
        <v>0</v>
      </c>
      <c r="V83" s="492">
        <f t="shared" si="99"/>
        <v>0</v>
      </c>
      <c r="W83" s="492">
        <v>0</v>
      </c>
      <c r="X83" s="492">
        <v>0</v>
      </c>
      <c r="Y83" s="492">
        <v>0</v>
      </c>
      <c r="Z83" s="492">
        <f t="shared" si="104"/>
        <v>0</v>
      </c>
      <c r="AA83" s="492">
        <f t="shared" si="105"/>
        <v>0</v>
      </c>
      <c r="AB83" s="74">
        <f t="shared" si="106"/>
        <v>0</v>
      </c>
      <c r="AC83" s="74">
        <f t="shared" si="107"/>
        <v>0</v>
      </c>
      <c r="AD83" s="492">
        <v>0</v>
      </c>
      <c r="AE83" s="492">
        <v>0</v>
      </c>
      <c r="AF83" s="492">
        <f t="shared" si="100"/>
        <v>0</v>
      </c>
      <c r="AG83" s="492">
        <f t="shared" si="101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108"/>
        <v>0</v>
      </c>
      <c r="AP83" s="493">
        <f t="shared" si="109"/>
        <v>0</v>
      </c>
      <c r="AQ83" s="495">
        <f t="shared" si="102"/>
        <v>0</v>
      </c>
      <c r="AR83" s="501">
        <f t="shared" si="110"/>
        <v>398947</v>
      </c>
      <c r="AS83" s="492">
        <f t="shared" si="111"/>
        <v>292708</v>
      </c>
      <c r="AT83" s="492">
        <f t="shared" si="112"/>
        <v>0</v>
      </c>
      <c r="AU83" s="492">
        <f t="shared" si="113"/>
        <v>98935</v>
      </c>
      <c r="AV83" s="492">
        <f t="shared" si="113"/>
        <v>5854</v>
      </c>
      <c r="AW83" s="492">
        <f t="shared" si="114"/>
        <v>1450</v>
      </c>
      <c r="AX83" s="493">
        <f t="shared" si="115"/>
        <v>0.92</v>
      </c>
      <c r="AY83" s="493">
        <f t="shared" si="116"/>
        <v>0</v>
      </c>
      <c r="AZ83" s="495">
        <f t="shared" si="116"/>
        <v>0.92</v>
      </c>
    </row>
    <row r="84" spans="1:52" ht="12.95" customHeight="1" x14ac:dyDescent="0.25">
      <c r="A84" s="313">
        <v>15</v>
      </c>
      <c r="B84" s="314">
        <v>4433</v>
      </c>
      <c r="C84" s="314">
        <v>600075001</v>
      </c>
      <c r="D84" s="314">
        <v>70695440</v>
      </c>
      <c r="E84" s="316" t="s">
        <v>358</v>
      </c>
      <c r="F84" s="314">
        <v>3143</v>
      </c>
      <c r="G84" s="317" t="s">
        <v>629</v>
      </c>
      <c r="H84" s="317" t="s">
        <v>278</v>
      </c>
      <c r="I84" s="494">
        <v>257629</v>
      </c>
      <c r="J84" s="489">
        <v>189712</v>
      </c>
      <c r="K84" s="489">
        <v>0</v>
      </c>
      <c r="L84" s="489">
        <v>64123</v>
      </c>
      <c r="M84" s="489">
        <v>3794</v>
      </c>
      <c r="N84" s="489">
        <v>0</v>
      </c>
      <c r="O84" s="490">
        <v>0.5</v>
      </c>
      <c r="P84" s="491">
        <v>0.5</v>
      </c>
      <c r="Q84" s="658">
        <v>0</v>
      </c>
      <c r="R84" s="501">
        <f t="shared" si="98"/>
        <v>0</v>
      </c>
      <c r="S84" s="492">
        <v>0</v>
      </c>
      <c r="T84" s="492">
        <v>0</v>
      </c>
      <c r="U84" s="492">
        <v>0</v>
      </c>
      <c r="V84" s="492">
        <f t="shared" si="99"/>
        <v>0</v>
      </c>
      <c r="W84" s="492">
        <v>0</v>
      </c>
      <c r="X84" s="492">
        <v>0</v>
      </c>
      <c r="Y84" s="492">
        <v>0</v>
      </c>
      <c r="Z84" s="492">
        <f t="shared" si="104"/>
        <v>0</v>
      </c>
      <c r="AA84" s="492">
        <f t="shared" si="105"/>
        <v>0</v>
      </c>
      <c r="AB84" s="74">
        <f t="shared" si="106"/>
        <v>0</v>
      </c>
      <c r="AC84" s="74">
        <f t="shared" si="107"/>
        <v>0</v>
      </c>
      <c r="AD84" s="492">
        <v>0</v>
      </c>
      <c r="AE84" s="492">
        <v>0</v>
      </c>
      <c r="AF84" s="492">
        <f t="shared" si="100"/>
        <v>0</v>
      </c>
      <c r="AG84" s="492">
        <f t="shared" si="101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108"/>
        <v>0</v>
      </c>
      <c r="AP84" s="493">
        <f t="shared" si="109"/>
        <v>0</v>
      </c>
      <c r="AQ84" s="495">
        <f t="shared" si="102"/>
        <v>0</v>
      </c>
      <c r="AR84" s="501">
        <f t="shared" si="110"/>
        <v>257629</v>
      </c>
      <c r="AS84" s="492">
        <f t="shared" si="111"/>
        <v>189712</v>
      </c>
      <c r="AT84" s="492">
        <f t="shared" si="112"/>
        <v>0</v>
      </c>
      <c r="AU84" s="492">
        <f t="shared" si="113"/>
        <v>64123</v>
      </c>
      <c r="AV84" s="492">
        <f t="shared" si="113"/>
        <v>3794</v>
      </c>
      <c r="AW84" s="492">
        <f t="shared" si="114"/>
        <v>0</v>
      </c>
      <c r="AX84" s="493">
        <f t="shared" si="115"/>
        <v>0.5</v>
      </c>
      <c r="AY84" s="493">
        <f t="shared" si="116"/>
        <v>0.5</v>
      </c>
      <c r="AZ84" s="495">
        <f t="shared" si="116"/>
        <v>0</v>
      </c>
    </row>
    <row r="85" spans="1:52" ht="12.95" customHeight="1" x14ac:dyDescent="0.25">
      <c r="A85" s="313">
        <v>15</v>
      </c>
      <c r="B85" s="314">
        <v>4433</v>
      </c>
      <c r="C85" s="314">
        <v>600075001</v>
      </c>
      <c r="D85" s="314">
        <v>70695440</v>
      </c>
      <c r="E85" s="316" t="s">
        <v>358</v>
      </c>
      <c r="F85" s="314">
        <v>3143</v>
      </c>
      <c r="G85" s="317" t="s">
        <v>630</v>
      </c>
      <c r="H85" s="317" t="s">
        <v>279</v>
      </c>
      <c r="I85" s="494">
        <v>7560</v>
      </c>
      <c r="J85" s="489">
        <v>5346</v>
      </c>
      <c r="K85" s="489">
        <v>0</v>
      </c>
      <c r="L85" s="489">
        <v>1807</v>
      </c>
      <c r="M85" s="489">
        <v>107</v>
      </c>
      <c r="N85" s="489">
        <v>300</v>
      </c>
      <c r="O85" s="490">
        <v>0.02</v>
      </c>
      <c r="P85" s="491">
        <v>0</v>
      </c>
      <c r="Q85" s="658">
        <v>0.02</v>
      </c>
      <c r="R85" s="501">
        <f t="shared" si="98"/>
        <v>0</v>
      </c>
      <c r="S85" s="492">
        <v>0</v>
      </c>
      <c r="T85" s="492">
        <v>0</v>
      </c>
      <c r="U85" s="492">
        <v>0</v>
      </c>
      <c r="V85" s="492">
        <f t="shared" si="99"/>
        <v>0</v>
      </c>
      <c r="W85" s="492">
        <v>0</v>
      </c>
      <c r="X85" s="492">
        <v>0</v>
      </c>
      <c r="Y85" s="492">
        <v>0</v>
      </c>
      <c r="Z85" s="492">
        <f t="shared" si="104"/>
        <v>0</v>
      </c>
      <c r="AA85" s="492">
        <f t="shared" si="105"/>
        <v>0</v>
      </c>
      <c r="AB85" s="74">
        <f t="shared" si="106"/>
        <v>0</v>
      </c>
      <c r="AC85" s="74">
        <f t="shared" si="107"/>
        <v>0</v>
      </c>
      <c r="AD85" s="492">
        <v>0</v>
      </c>
      <c r="AE85" s="492">
        <v>0</v>
      </c>
      <c r="AF85" s="492">
        <f t="shared" si="100"/>
        <v>0</v>
      </c>
      <c r="AG85" s="492">
        <f t="shared" si="101"/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108"/>
        <v>0</v>
      </c>
      <c r="AP85" s="493">
        <f t="shared" si="109"/>
        <v>0</v>
      </c>
      <c r="AQ85" s="495">
        <f t="shared" si="102"/>
        <v>0</v>
      </c>
      <c r="AR85" s="501">
        <f t="shared" si="110"/>
        <v>7560</v>
      </c>
      <c r="AS85" s="492">
        <f t="shared" si="111"/>
        <v>5346</v>
      </c>
      <c r="AT85" s="492">
        <f t="shared" si="112"/>
        <v>0</v>
      </c>
      <c r="AU85" s="492">
        <f t="shared" si="113"/>
        <v>1807</v>
      </c>
      <c r="AV85" s="492">
        <f t="shared" si="113"/>
        <v>107</v>
      </c>
      <c r="AW85" s="492">
        <f t="shared" si="114"/>
        <v>300</v>
      </c>
      <c r="AX85" s="493">
        <f t="shared" si="115"/>
        <v>0.02</v>
      </c>
      <c r="AY85" s="493">
        <f t="shared" si="116"/>
        <v>0</v>
      </c>
      <c r="AZ85" s="495">
        <f t="shared" si="116"/>
        <v>0.02</v>
      </c>
    </row>
    <row r="86" spans="1:52" ht="12.95" customHeight="1" x14ac:dyDescent="0.25">
      <c r="A86" s="306">
        <v>15</v>
      </c>
      <c r="B86" s="308">
        <v>4433</v>
      </c>
      <c r="C86" s="308">
        <v>600075001</v>
      </c>
      <c r="D86" s="308">
        <v>70695440</v>
      </c>
      <c r="E86" s="321" t="s">
        <v>359</v>
      </c>
      <c r="F86" s="324"/>
      <c r="G86" s="325"/>
      <c r="H86" s="325"/>
      <c r="I86" s="585">
        <v>3974593</v>
      </c>
      <c r="J86" s="582">
        <v>2907949</v>
      </c>
      <c r="K86" s="582">
        <v>0</v>
      </c>
      <c r="L86" s="582">
        <v>982886</v>
      </c>
      <c r="M86" s="582">
        <v>58158</v>
      </c>
      <c r="N86" s="582">
        <v>25600</v>
      </c>
      <c r="O86" s="583">
        <v>6.7095000000000002</v>
      </c>
      <c r="P86" s="583">
        <v>4.5455000000000005</v>
      </c>
      <c r="Q86" s="323">
        <v>2.1640000000000001</v>
      </c>
      <c r="R86" s="589">
        <f t="shared" ref="R86:AZ86" si="117">SUM(R80:R85)</f>
        <v>0</v>
      </c>
      <c r="S86" s="582">
        <f t="shared" si="117"/>
        <v>0</v>
      </c>
      <c r="T86" s="582">
        <f t="shared" si="117"/>
        <v>0</v>
      </c>
      <c r="U86" s="582">
        <f t="shared" si="117"/>
        <v>0</v>
      </c>
      <c r="V86" s="582">
        <f t="shared" si="117"/>
        <v>0</v>
      </c>
      <c r="W86" s="582">
        <f t="shared" si="117"/>
        <v>0</v>
      </c>
      <c r="X86" s="582">
        <f t="shared" si="117"/>
        <v>0</v>
      </c>
      <c r="Y86" s="582">
        <f t="shared" si="117"/>
        <v>0</v>
      </c>
      <c r="Z86" s="582">
        <f t="shared" si="117"/>
        <v>0</v>
      </c>
      <c r="AA86" s="582">
        <f t="shared" si="117"/>
        <v>0</v>
      </c>
      <c r="AB86" s="582">
        <f t="shared" si="117"/>
        <v>0</v>
      </c>
      <c r="AC86" s="582">
        <f t="shared" si="117"/>
        <v>0</v>
      </c>
      <c r="AD86" s="582">
        <f t="shared" si="117"/>
        <v>0</v>
      </c>
      <c r="AE86" s="582">
        <f t="shared" si="117"/>
        <v>0</v>
      </c>
      <c r="AF86" s="582">
        <f t="shared" si="117"/>
        <v>0</v>
      </c>
      <c r="AG86" s="582">
        <f t="shared" si="117"/>
        <v>0</v>
      </c>
      <c r="AH86" s="583">
        <f t="shared" si="117"/>
        <v>0</v>
      </c>
      <c r="AI86" s="583">
        <f t="shared" si="117"/>
        <v>0</v>
      </c>
      <c r="AJ86" s="583">
        <f t="shared" si="117"/>
        <v>0</v>
      </c>
      <c r="AK86" s="583">
        <f t="shared" si="117"/>
        <v>0</v>
      </c>
      <c r="AL86" s="583">
        <f t="shared" si="117"/>
        <v>0</v>
      </c>
      <c r="AM86" s="583">
        <f t="shared" si="117"/>
        <v>0</v>
      </c>
      <c r="AN86" s="583">
        <f t="shared" si="117"/>
        <v>0</v>
      </c>
      <c r="AO86" s="583">
        <f t="shared" si="117"/>
        <v>0</v>
      </c>
      <c r="AP86" s="583">
        <f t="shared" si="117"/>
        <v>0</v>
      </c>
      <c r="AQ86" s="323">
        <f t="shared" si="117"/>
        <v>0</v>
      </c>
      <c r="AR86" s="589">
        <f t="shared" si="117"/>
        <v>3974593</v>
      </c>
      <c r="AS86" s="582">
        <f t="shared" si="117"/>
        <v>2907949</v>
      </c>
      <c r="AT86" s="582">
        <f t="shared" si="117"/>
        <v>0</v>
      </c>
      <c r="AU86" s="582">
        <f t="shared" si="117"/>
        <v>982886</v>
      </c>
      <c r="AV86" s="582">
        <f t="shared" si="117"/>
        <v>58158</v>
      </c>
      <c r="AW86" s="582">
        <f t="shared" si="117"/>
        <v>25600</v>
      </c>
      <c r="AX86" s="583">
        <f t="shared" si="117"/>
        <v>6.7095000000000002</v>
      </c>
      <c r="AY86" s="583">
        <f t="shared" si="117"/>
        <v>4.5455000000000005</v>
      </c>
      <c r="AZ86" s="323">
        <f t="shared" si="117"/>
        <v>2.1640000000000001</v>
      </c>
    </row>
    <row r="87" spans="1:52" ht="12.95" customHeight="1" x14ac:dyDescent="0.25">
      <c r="A87" s="313">
        <v>16</v>
      </c>
      <c r="B87" s="314">
        <v>4487</v>
      </c>
      <c r="C87" s="314">
        <v>600074854</v>
      </c>
      <c r="D87" s="314">
        <v>70698503</v>
      </c>
      <c r="E87" s="316" t="s">
        <v>360</v>
      </c>
      <c r="F87" s="314">
        <v>3111</v>
      </c>
      <c r="G87" s="317" t="s">
        <v>326</v>
      </c>
      <c r="H87" s="317" t="s">
        <v>278</v>
      </c>
      <c r="I87" s="494">
        <v>2367038</v>
      </c>
      <c r="J87" s="489">
        <v>1733091</v>
      </c>
      <c r="K87" s="489">
        <v>0</v>
      </c>
      <c r="L87" s="489">
        <v>585785</v>
      </c>
      <c r="M87" s="489">
        <v>34662</v>
      </c>
      <c r="N87" s="489">
        <v>13500</v>
      </c>
      <c r="O87" s="490">
        <v>4.4718</v>
      </c>
      <c r="P87" s="491">
        <v>3.55</v>
      </c>
      <c r="Q87" s="658">
        <v>0.92179999999999995</v>
      </c>
      <c r="R87" s="501">
        <f t="shared" si="98"/>
        <v>0</v>
      </c>
      <c r="S87" s="492">
        <v>0</v>
      </c>
      <c r="T87" s="492">
        <v>0</v>
      </c>
      <c r="U87" s="492">
        <v>0</v>
      </c>
      <c r="V87" s="492">
        <f t="shared" si="99"/>
        <v>0</v>
      </c>
      <c r="W87" s="492">
        <v>0</v>
      </c>
      <c r="X87" s="492">
        <v>0</v>
      </c>
      <c r="Y87" s="492">
        <v>0</v>
      </c>
      <c r="Z87" s="492">
        <f t="shared" ref="Z87:Z92" si="118">SUM(W87:Y87)</f>
        <v>0</v>
      </c>
      <c r="AA87" s="492">
        <f t="shared" ref="AA87:AA92" si="119">V87+Z87</f>
        <v>0</v>
      </c>
      <c r="AB87" s="74">
        <f t="shared" ref="AB87:AB92" si="120">ROUND((V87+W87+X87)*33.8%,0)</f>
        <v>0</v>
      </c>
      <c r="AC87" s="74">
        <f t="shared" ref="AC87:AC92" si="121">ROUND(V87*2%,0)</f>
        <v>0</v>
      </c>
      <c r="AD87" s="492">
        <v>0</v>
      </c>
      <c r="AE87" s="492">
        <v>0</v>
      </c>
      <c r="AF87" s="492">
        <f t="shared" si="100"/>
        <v>0</v>
      </c>
      <c r="AG87" s="492">
        <f t="shared" si="101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ref="AO87:AO92" si="122">AH87+AJ87+AK87+AM87</f>
        <v>0</v>
      </c>
      <c r="AP87" s="493">
        <f t="shared" ref="AP87:AP92" si="123">AI87+AN87+AL87</f>
        <v>0</v>
      </c>
      <c r="AQ87" s="495">
        <f t="shared" si="102"/>
        <v>0</v>
      </c>
      <c r="AR87" s="501">
        <f t="shared" ref="AR87:AR92" si="124">I87+AG87</f>
        <v>2367038</v>
      </c>
      <c r="AS87" s="492">
        <f t="shared" ref="AS87:AS92" si="125">J87+V87</f>
        <v>1733091</v>
      </c>
      <c r="AT87" s="492">
        <f t="shared" ref="AT87:AT92" si="126">K87+Z87</f>
        <v>0</v>
      </c>
      <c r="AU87" s="492">
        <f t="shared" ref="AU87:AV92" si="127">L87+AB87</f>
        <v>585785</v>
      </c>
      <c r="AV87" s="492">
        <f t="shared" si="127"/>
        <v>34662</v>
      </c>
      <c r="AW87" s="492">
        <f t="shared" ref="AW87:AW92" si="128">N87+AF87</f>
        <v>13500</v>
      </c>
      <c r="AX87" s="493">
        <f t="shared" ref="AX87:AX92" si="129">O87+AQ87</f>
        <v>4.4718</v>
      </c>
      <c r="AY87" s="493">
        <f t="shared" ref="AY87:AZ92" si="130">P87+AO87</f>
        <v>3.55</v>
      </c>
      <c r="AZ87" s="495">
        <f t="shared" si="130"/>
        <v>0.92179999999999995</v>
      </c>
    </row>
    <row r="88" spans="1:52" ht="12.95" customHeight="1" x14ac:dyDescent="0.25">
      <c r="A88" s="313">
        <v>16</v>
      </c>
      <c r="B88" s="314">
        <v>4487</v>
      </c>
      <c r="C88" s="314">
        <v>600074854</v>
      </c>
      <c r="D88" s="314">
        <v>70698503</v>
      </c>
      <c r="E88" s="316" t="s">
        <v>360</v>
      </c>
      <c r="F88" s="314">
        <v>3117</v>
      </c>
      <c r="G88" s="317" t="s">
        <v>330</v>
      </c>
      <c r="H88" s="317" t="s">
        <v>278</v>
      </c>
      <c r="I88" s="494">
        <v>4698697</v>
      </c>
      <c r="J88" s="489">
        <v>3385720</v>
      </c>
      <c r="K88" s="489">
        <v>0</v>
      </c>
      <c r="L88" s="489">
        <v>1144373</v>
      </c>
      <c r="M88" s="489">
        <v>67714</v>
      </c>
      <c r="N88" s="489">
        <v>100890</v>
      </c>
      <c r="O88" s="490">
        <v>6.7556999999999992</v>
      </c>
      <c r="P88" s="491">
        <v>4.4954999999999998</v>
      </c>
      <c r="Q88" s="658">
        <v>2.2601999999999998</v>
      </c>
      <c r="R88" s="501">
        <f t="shared" si="98"/>
        <v>-159250</v>
      </c>
      <c r="S88" s="492">
        <v>0</v>
      </c>
      <c r="T88" s="492">
        <v>0</v>
      </c>
      <c r="U88" s="492">
        <v>0</v>
      </c>
      <c r="V88" s="492">
        <f t="shared" si="99"/>
        <v>-159250</v>
      </c>
      <c r="W88" s="492">
        <v>159250</v>
      </c>
      <c r="X88" s="492">
        <v>0</v>
      </c>
      <c r="Y88" s="492">
        <v>0</v>
      </c>
      <c r="Z88" s="492">
        <f t="shared" si="118"/>
        <v>159250</v>
      </c>
      <c r="AA88" s="492">
        <f t="shared" si="119"/>
        <v>0</v>
      </c>
      <c r="AB88" s="74">
        <f t="shared" si="120"/>
        <v>0</v>
      </c>
      <c r="AC88" s="74">
        <f t="shared" si="121"/>
        <v>-3185</v>
      </c>
      <c r="AD88" s="492">
        <v>0</v>
      </c>
      <c r="AE88" s="492">
        <v>0</v>
      </c>
      <c r="AF88" s="492">
        <f t="shared" si="100"/>
        <v>0</v>
      </c>
      <c r="AG88" s="492">
        <f t="shared" si="101"/>
        <v>-3185</v>
      </c>
      <c r="AH88" s="493">
        <v>0</v>
      </c>
      <c r="AI88" s="493">
        <v>-0.51</v>
      </c>
      <c r="AJ88" s="493">
        <v>0</v>
      </c>
      <c r="AK88" s="493">
        <v>0</v>
      </c>
      <c r="AL88" s="493">
        <v>0</v>
      </c>
      <c r="AM88" s="493">
        <v>0</v>
      </c>
      <c r="AN88" s="493">
        <v>0</v>
      </c>
      <c r="AO88" s="493">
        <f t="shared" si="122"/>
        <v>0</v>
      </c>
      <c r="AP88" s="493">
        <f t="shared" si="123"/>
        <v>-0.51</v>
      </c>
      <c r="AQ88" s="495">
        <f t="shared" si="102"/>
        <v>-0.51</v>
      </c>
      <c r="AR88" s="501">
        <f t="shared" si="124"/>
        <v>4695512</v>
      </c>
      <c r="AS88" s="492">
        <f t="shared" si="125"/>
        <v>3226470</v>
      </c>
      <c r="AT88" s="492">
        <f t="shared" si="126"/>
        <v>159250</v>
      </c>
      <c r="AU88" s="492">
        <f t="shared" si="127"/>
        <v>1144373</v>
      </c>
      <c r="AV88" s="492">
        <f t="shared" si="127"/>
        <v>64529</v>
      </c>
      <c r="AW88" s="492">
        <f t="shared" si="128"/>
        <v>100890</v>
      </c>
      <c r="AX88" s="493">
        <f t="shared" si="129"/>
        <v>6.2456999999999994</v>
      </c>
      <c r="AY88" s="493">
        <f t="shared" si="130"/>
        <v>4.4954999999999998</v>
      </c>
      <c r="AZ88" s="495">
        <f t="shared" si="130"/>
        <v>1.7501999999999998</v>
      </c>
    </row>
    <row r="89" spans="1:52" ht="12.95" customHeight="1" x14ac:dyDescent="0.25">
      <c r="A89" s="313">
        <v>16</v>
      </c>
      <c r="B89" s="314">
        <v>4487</v>
      </c>
      <c r="C89" s="314">
        <v>600074854</v>
      </c>
      <c r="D89" s="314">
        <v>70698503</v>
      </c>
      <c r="E89" s="316" t="s">
        <v>360</v>
      </c>
      <c r="F89" s="314">
        <v>3117</v>
      </c>
      <c r="G89" s="317" t="s">
        <v>320</v>
      </c>
      <c r="H89" s="317" t="s">
        <v>279</v>
      </c>
      <c r="I89" s="494">
        <v>1422552</v>
      </c>
      <c r="J89" s="489">
        <v>889710</v>
      </c>
      <c r="K89" s="489">
        <v>159250</v>
      </c>
      <c r="L89" s="489">
        <v>354548</v>
      </c>
      <c r="M89" s="489">
        <v>17794</v>
      </c>
      <c r="N89" s="489">
        <v>1250</v>
      </c>
      <c r="O89" s="490">
        <v>2.5199999999999996</v>
      </c>
      <c r="P89" s="491">
        <v>3.03</v>
      </c>
      <c r="Q89" s="658">
        <v>-0.51</v>
      </c>
      <c r="R89" s="501">
        <f t="shared" si="98"/>
        <v>159250</v>
      </c>
      <c r="S89" s="492">
        <v>0</v>
      </c>
      <c r="T89" s="492">
        <v>0</v>
      </c>
      <c r="U89" s="492">
        <v>0</v>
      </c>
      <c r="V89" s="492">
        <f t="shared" si="99"/>
        <v>159250</v>
      </c>
      <c r="W89" s="492">
        <v>-159250</v>
      </c>
      <c r="X89" s="492">
        <v>0</v>
      </c>
      <c r="Y89" s="492">
        <v>0</v>
      </c>
      <c r="Z89" s="492">
        <f t="shared" si="118"/>
        <v>-159250</v>
      </c>
      <c r="AA89" s="492">
        <f t="shared" si="119"/>
        <v>0</v>
      </c>
      <c r="AB89" s="74">
        <f t="shared" si="120"/>
        <v>0</v>
      </c>
      <c r="AC89" s="74">
        <f t="shared" si="121"/>
        <v>3185</v>
      </c>
      <c r="AD89" s="492">
        <v>0</v>
      </c>
      <c r="AE89" s="492">
        <v>0</v>
      </c>
      <c r="AF89" s="492">
        <f t="shared" si="100"/>
        <v>0</v>
      </c>
      <c r="AG89" s="492">
        <f t="shared" si="101"/>
        <v>3185</v>
      </c>
      <c r="AH89" s="493">
        <v>0</v>
      </c>
      <c r="AI89" s="493">
        <v>0.51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si="122"/>
        <v>0</v>
      </c>
      <c r="AP89" s="493">
        <f t="shared" si="123"/>
        <v>0.51</v>
      </c>
      <c r="AQ89" s="495">
        <f t="shared" si="102"/>
        <v>0.51</v>
      </c>
      <c r="AR89" s="501">
        <f t="shared" si="124"/>
        <v>1425737</v>
      </c>
      <c r="AS89" s="492">
        <f t="shared" si="125"/>
        <v>1048960</v>
      </c>
      <c r="AT89" s="492">
        <f t="shared" si="126"/>
        <v>0</v>
      </c>
      <c r="AU89" s="492">
        <f t="shared" si="127"/>
        <v>354548</v>
      </c>
      <c r="AV89" s="492">
        <f t="shared" si="127"/>
        <v>20979</v>
      </c>
      <c r="AW89" s="492">
        <f t="shared" si="128"/>
        <v>1250</v>
      </c>
      <c r="AX89" s="493">
        <f t="shared" si="129"/>
        <v>3.0299999999999994</v>
      </c>
      <c r="AY89" s="493">
        <f t="shared" si="130"/>
        <v>3.03</v>
      </c>
      <c r="AZ89" s="495">
        <f t="shared" si="130"/>
        <v>0</v>
      </c>
    </row>
    <row r="90" spans="1:52" ht="12.95" customHeight="1" x14ac:dyDescent="0.25">
      <c r="A90" s="313">
        <v>16</v>
      </c>
      <c r="B90" s="314">
        <v>4487</v>
      </c>
      <c r="C90" s="314">
        <v>600074854</v>
      </c>
      <c r="D90" s="314">
        <v>70698503</v>
      </c>
      <c r="E90" s="316" t="s">
        <v>360</v>
      </c>
      <c r="F90" s="314">
        <v>3141</v>
      </c>
      <c r="G90" s="317" t="s">
        <v>316</v>
      </c>
      <c r="H90" s="317" t="s">
        <v>279</v>
      </c>
      <c r="I90" s="494">
        <v>1069670</v>
      </c>
      <c r="J90" s="489">
        <v>783922</v>
      </c>
      <c r="K90" s="489">
        <v>0</v>
      </c>
      <c r="L90" s="489">
        <v>264966</v>
      </c>
      <c r="M90" s="489">
        <v>15678</v>
      </c>
      <c r="N90" s="489">
        <v>5104</v>
      </c>
      <c r="O90" s="490">
        <v>2.4700000000000002</v>
      </c>
      <c r="P90" s="491">
        <v>0</v>
      </c>
      <c r="Q90" s="658">
        <v>2.4700000000000002</v>
      </c>
      <c r="R90" s="501">
        <f t="shared" si="98"/>
        <v>0</v>
      </c>
      <c r="S90" s="492">
        <v>0</v>
      </c>
      <c r="T90" s="492">
        <v>0</v>
      </c>
      <c r="U90" s="492">
        <v>0</v>
      </c>
      <c r="V90" s="492">
        <f t="shared" si="99"/>
        <v>0</v>
      </c>
      <c r="W90" s="492">
        <v>0</v>
      </c>
      <c r="X90" s="492">
        <v>0</v>
      </c>
      <c r="Y90" s="492">
        <v>0</v>
      </c>
      <c r="Z90" s="492">
        <f t="shared" si="118"/>
        <v>0</v>
      </c>
      <c r="AA90" s="492">
        <f t="shared" si="119"/>
        <v>0</v>
      </c>
      <c r="AB90" s="74">
        <f t="shared" si="120"/>
        <v>0</v>
      </c>
      <c r="AC90" s="74">
        <f t="shared" si="121"/>
        <v>0</v>
      </c>
      <c r="AD90" s="492">
        <v>0</v>
      </c>
      <c r="AE90" s="492">
        <v>0</v>
      </c>
      <c r="AF90" s="492">
        <f t="shared" si="100"/>
        <v>0</v>
      </c>
      <c r="AG90" s="492">
        <f t="shared" si="101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si="122"/>
        <v>0</v>
      </c>
      <c r="AP90" s="493">
        <f t="shared" si="123"/>
        <v>0</v>
      </c>
      <c r="AQ90" s="495">
        <f t="shared" si="102"/>
        <v>0</v>
      </c>
      <c r="AR90" s="501">
        <f t="shared" si="124"/>
        <v>1069670</v>
      </c>
      <c r="AS90" s="492">
        <f t="shared" si="125"/>
        <v>783922</v>
      </c>
      <c r="AT90" s="492">
        <f t="shared" si="126"/>
        <v>0</v>
      </c>
      <c r="AU90" s="492">
        <f t="shared" si="127"/>
        <v>264966</v>
      </c>
      <c r="AV90" s="492">
        <f t="shared" si="127"/>
        <v>15678</v>
      </c>
      <c r="AW90" s="492">
        <f t="shared" si="128"/>
        <v>5104</v>
      </c>
      <c r="AX90" s="493">
        <f t="shared" si="129"/>
        <v>2.4700000000000002</v>
      </c>
      <c r="AY90" s="493">
        <f t="shared" si="130"/>
        <v>0</v>
      </c>
      <c r="AZ90" s="495">
        <f t="shared" si="130"/>
        <v>2.4700000000000002</v>
      </c>
    </row>
    <row r="91" spans="1:52" ht="12.95" customHeight="1" x14ac:dyDescent="0.25">
      <c r="A91" s="313">
        <v>16</v>
      </c>
      <c r="B91" s="314">
        <v>4487</v>
      </c>
      <c r="C91" s="314">
        <v>600074854</v>
      </c>
      <c r="D91" s="314">
        <v>70698503</v>
      </c>
      <c r="E91" s="316" t="s">
        <v>360</v>
      </c>
      <c r="F91" s="314">
        <v>3143</v>
      </c>
      <c r="G91" s="317" t="s">
        <v>629</v>
      </c>
      <c r="H91" s="317" t="s">
        <v>278</v>
      </c>
      <c r="I91" s="494">
        <v>559071</v>
      </c>
      <c r="J91" s="489">
        <v>411687</v>
      </c>
      <c r="K91" s="489">
        <v>0</v>
      </c>
      <c r="L91" s="489">
        <v>139150</v>
      </c>
      <c r="M91" s="489">
        <v>8234</v>
      </c>
      <c r="N91" s="489">
        <v>0</v>
      </c>
      <c r="O91" s="490">
        <v>1</v>
      </c>
      <c r="P91" s="491">
        <v>1</v>
      </c>
      <c r="Q91" s="658">
        <v>0</v>
      </c>
      <c r="R91" s="501">
        <f t="shared" si="98"/>
        <v>0</v>
      </c>
      <c r="S91" s="492">
        <v>0</v>
      </c>
      <c r="T91" s="492">
        <v>0</v>
      </c>
      <c r="U91" s="492">
        <v>411687</v>
      </c>
      <c r="V91" s="492">
        <f t="shared" si="99"/>
        <v>411687</v>
      </c>
      <c r="W91" s="492">
        <v>0</v>
      </c>
      <c r="X91" s="492">
        <v>0</v>
      </c>
      <c r="Y91" s="492">
        <v>0</v>
      </c>
      <c r="Z91" s="492">
        <f t="shared" si="118"/>
        <v>0</v>
      </c>
      <c r="AA91" s="492">
        <f t="shared" si="119"/>
        <v>411687</v>
      </c>
      <c r="AB91" s="74">
        <f t="shared" si="120"/>
        <v>139150</v>
      </c>
      <c r="AC91" s="74">
        <f t="shared" si="121"/>
        <v>8234</v>
      </c>
      <c r="AD91" s="492">
        <v>0</v>
      </c>
      <c r="AE91" s="492">
        <v>0</v>
      </c>
      <c r="AF91" s="492">
        <f t="shared" si="100"/>
        <v>0</v>
      </c>
      <c r="AG91" s="492">
        <f t="shared" si="101"/>
        <v>559071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1</v>
      </c>
      <c r="AN91" s="493">
        <v>0</v>
      </c>
      <c r="AO91" s="493">
        <f t="shared" si="122"/>
        <v>1</v>
      </c>
      <c r="AP91" s="493">
        <f t="shared" si="123"/>
        <v>0</v>
      </c>
      <c r="AQ91" s="495">
        <f t="shared" si="102"/>
        <v>1</v>
      </c>
      <c r="AR91" s="501">
        <f t="shared" si="124"/>
        <v>1118142</v>
      </c>
      <c r="AS91" s="492">
        <f t="shared" si="125"/>
        <v>823374</v>
      </c>
      <c r="AT91" s="492">
        <f t="shared" si="126"/>
        <v>0</v>
      </c>
      <c r="AU91" s="492">
        <f t="shared" si="127"/>
        <v>278300</v>
      </c>
      <c r="AV91" s="492">
        <f t="shared" si="127"/>
        <v>16468</v>
      </c>
      <c r="AW91" s="492">
        <f t="shared" si="128"/>
        <v>0</v>
      </c>
      <c r="AX91" s="493">
        <f t="shared" si="129"/>
        <v>2</v>
      </c>
      <c r="AY91" s="493">
        <f t="shared" si="130"/>
        <v>2</v>
      </c>
      <c r="AZ91" s="495">
        <f t="shared" si="130"/>
        <v>0</v>
      </c>
    </row>
    <row r="92" spans="1:52" ht="12.95" customHeight="1" x14ac:dyDescent="0.25">
      <c r="A92" s="313">
        <v>16</v>
      </c>
      <c r="B92" s="314">
        <v>4487</v>
      </c>
      <c r="C92" s="314">
        <v>600074854</v>
      </c>
      <c r="D92" s="314">
        <v>70698503</v>
      </c>
      <c r="E92" s="316" t="s">
        <v>360</v>
      </c>
      <c r="F92" s="314">
        <v>3143</v>
      </c>
      <c r="G92" s="317" t="s">
        <v>630</v>
      </c>
      <c r="H92" s="317" t="s">
        <v>279</v>
      </c>
      <c r="I92" s="494">
        <v>23436</v>
      </c>
      <c r="J92" s="489">
        <v>16573</v>
      </c>
      <c r="K92" s="489">
        <v>0</v>
      </c>
      <c r="L92" s="489">
        <v>5602</v>
      </c>
      <c r="M92" s="489">
        <v>331</v>
      </c>
      <c r="N92" s="489">
        <v>930</v>
      </c>
      <c r="O92" s="490">
        <v>0.06</v>
      </c>
      <c r="P92" s="491">
        <v>0</v>
      </c>
      <c r="Q92" s="658">
        <v>0.06</v>
      </c>
      <c r="R92" s="501">
        <f t="shared" si="98"/>
        <v>0</v>
      </c>
      <c r="S92" s="492">
        <v>0</v>
      </c>
      <c r="T92" s="492">
        <v>0</v>
      </c>
      <c r="U92" s="492">
        <v>0</v>
      </c>
      <c r="V92" s="492">
        <f t="shared" si="99"/>
        <v>0</v>
      </c>
      <c r="W92" s="492">
        <v>0</v>
      </c>
      <c r="X92" s="492">
        <v>0</v>
      </c>
      <c r="Y92" s="492">
        <v>0</v>
      </c>
      <c r="Z92" s="492">
        <f t="shared" si="118"/>
        <v>0</v>
      </c>
      <c r="AA92" s="492">
        <f t="shared" si="119"/>
        <v>0</v>
      </c>
      <c r="AB92" s="74">
        <f t="shared" si="120"/>
        <v>0</v>
      </c>
      <c r="AC92" s="74">
        <f t="shared" si="121"/>
        <v>0</v>
      </c>
      <c r="AD92" s="492">
        <v>0</v>
      </c>
      <c r="AE92" s="492">
        <v>0</v>
      </c>
      <c r="AF92" s="492">
        <f t="shared" si="100"/>
        <v>0</v>
      </c>
      <c r="AG92" s="492">
        <f t="shared" si="101"/>
        <v>0</v>
      </c>
      <c r="AH92" s="493">
        <v>0</v>
      </c>
      <c r="AI92" s="493">
        <v>0</v>
      </c>
      <c r="AJ92" s="493">
        <v>0</v>
      </c>
      <c r="AK92" s="493">
        <v>0</v>
      </c>
      <c r="AL92" s="493">
        <v>0</v>
      </c>
      <c r="AM92" s="493">
        <v>0</v>
      </c>
      <c r="AN92" s="493">
        <v>0</v>
      </c>
      <c r="AO92" s="493">
        <f t="shared" si="122"/>
        <v>0</v>
      </c>
      <c r="AP92" s="493">
        <f t="shared" si="123"/>
        <v>0</v>
      </c>
      <c r="AQ92" s="495">
        <f t="shared" si="102"/>
        <v>0</v>
      </c>
      <c r="AR92" s="501">
        <f t="shared" si="124"/>
        <v>23436</v>
      </c>
      <c r="AS92" s="492">
        <f t="shared" si="125"/>
        <v>16573</v>
      </c>
      <c r="AT92" s="492">
        <f t="shared" si="126"/>
        <v>0</v>
      </c>
      <c r="AU92" s="492">
        <f t="shared" si="127"/>
        <v>5602</v>
      </c>
      <c r="AV92" s="492">
        <f t="shared" si="127"/>
        <v>331</v>
      </c>
      <c r="AW92" s="492">
        <f t="shared" si="128"/>
        <v>930</v>
      </c>
      <c r="AX92" s="493">
        <f t="shared" si="129"/>
        <v>0.06</v>
      </c>
      <c r="AY92" s="493">
        <f t="shared" si="130"/>
        <v>0</v>
      </c>
      <c r="AZ92" s="495">
        <f t="shared" si="130"/>
        <v>0.06</v>
      </c>
    </row>
    <row r="93" spans="1:52" ht="12.95" customHeight="1" x14ac:dyDescent="0.25">
      <c r="A93" s="306">
        <v>16</v>
      </c>
      <c r="B93" s="308">
        <v>4487</v>
      </c>
      <c r="C93" s="308">
        <v>600074854</v>
      </c>
      <c r="D93" s="308">
        <v>70698503</v>
      </c>
      <c r="E93" s="321" t="s">
        <v>361</v>
      </c>
      <c r="F93" s="324"/>
      <c r="G93" s="325"/>
      <c r="H93" s="325"/>
      <c r="I93" s="585">
        <v>10140464</v>
      </c>
      <c r="J93" s="582">
        <v>7220703</v>
      </c>
      <c r="K93" s="582">
        <v>159250</v>
      </c>
      <c r="L93" s="582">
        <v>2494424</v>
      </c>
      <c r="M93" s="582">
        <v>144413</v>
      </c>
      <c r="N93" s="582">
        <v>121674</v>
      </c>
      <c r="O93" s="583">
        <v>17.277499999999996</v>
      </c>
      <c r="P93" s="583">
        <v>12.0755</v>
      </c>
      <c r="Q93" s="323">
        <v>5.2019999999999991</v>
      </c>
      <c r="R93" s="589">
        <f t="shared" ref="R93:AZ93" si="131">SUM(R87:R92)</f>
        <v>0</v>
      </c>
      <c r="S93" s="582">
        <f t="shared" si="131"/>
        <v>0</v>
      </c>
      <c r="T93" s="582">
        <f t="shared" si="131"/>
        <v>0</v>
      </c>
      <c r="U93" s="582">
        <f t="shared" si="131"/>
        <v>411687</v>
      </c>
      <c r="V93" s="582">
        <f t="shared" si="131"/>
        <v>411687</v>
      </c>
      <c r="W93" s="582">
        <f t="shared" si="131"/>
        <v>0</v>
      </c>
      <c r="X93" s="582">
        <f t="shared" si="131"/>
        <v>0</v>
      </c>
      <c r="Y93" s="582">
        <f t="shared" si="131"/>
        <v>0</v>
      </c>
      <c r="Z93" s="582">
        <f t="shared" si="131"/>
        <v>0</v>
      </c>
      <c r="AA93" s="582">
        <f t="shared" si="131"/>
        <v>411687</v>
      </c>
      <c r="AB93" s="582">
        <f t="shared" si="131"/>
        <v>139150</v>
      </c>
      <c r="AC93" s="582">
        <f t="shared" si="131"/>
        <v>8234</v>
      </c>
      <c r="AD93" s="582">
        <f t="shared" si="131"/>
        <v>0</v>
      </c>
      <c r="AE93" s="582">
        <f t="shared" si="131"/>
        <v>0</v>
      </c>
      <c r="AF93" s="582">
        <f t="shared" si="131"/>
        <v>0</v>
      </c>
      <c r="AG93" s="582">
        <f t="shared" si="131"/>
        <v>559071</v>
      </c>
      <c r="AH93" s="583">
        <f t="shared" si="131"/>
        <v>0</v>
      </c>
      <c r="AI93" s="583">
        <f t="shared" si="131"/>
        <v>0</v>
      </c>
      <c r="AJ93" s="583">
        <f t="shared" si="131"/>
        <v>0</v>
      </c>
      <c r="AK93" s="583">
        <f t="shared" si="131"/>
        <v>0</v>
      </c>
      <c r="AL93" s="583">
        <f t="shared" si="131"/>
        <v>0</v>
      </c>
      <c r="AM93" s="583">
        <f t="shared" si="131"/>
        <v>1</v>
      </c>
      <c r="AN93" s="583">
        <f t="shared" si="131"/>
        <v>0</v>
      </c>
      <c r="AO93" s="583">
        <f t="shared" si="131"/>
        <v>1</v>
      </c>
      <c r="AP93" s="583">
        <f t="shared" si="131"/>
        <v>0</v>
      </c>
      <c r="AQ93" s="323">
        <f t="shared" si="131"/>
        <v>1</v>
      </c>
      <c r="AR93" s="589">
        <f t="shared" si="131"/>
        <v>10699535</v>
      </c>
      <c r="AS93" s="582">
        <f t="shared" si="131"/>
        <v>7632390</v>
      </c>
      <c r="AT93" s="582">
        <f t="shared" si="131"/>
        <v>159250</v>
      </c>
      <c r="AU93" s="582">
        <f t="shared" si="131"/>
        <v>2633574</v>
      </c>
      <c r="AV93" s="582">
        <f t="shared" si="131"/>
        <v>152647</v>
      </c>
      <c r="AW93" s="582">
        <f t="shared" si="131"/>
        <v>121674</v>
      </c>
      <c r="AX93" s="583">
        <f t="shared" si="131"/>
        <v>18.277499999999996</v>
      </c>
      <c r="AY93" s="583">
        <f t="shared" si="131"/>
        <v>13.0755</v>
      </c>
      <c r="AZ93" s="323">
        <f t="shared" si="131"/>
        <v>5.2019999999999991</v>
      </c>
    </row>
    <row r="94" spans="1:52" ht="12.95" customHeight="1" x14ac:dyDescent="0.25">
      <c r="A94" s="313">
        <v>17</v>
      </c>
      <c r="B94" s="314">
        <v>4488</v>
      </c>
      <c r="C94" s="314">
        <v>600074803</v>
      </c>
      <c r="D94" s="314">
        <v>72742089</v>
      </c>
      <c r="E94" s="316" t="s">
        <v>362</v>
      </c>
      <c r="F94" s="314">
        <v>3111</v>
      </c>
      <c r="G94" s="317" t="s">
        <v>326</v>
      </c>
      <c r="H94" s="317" t="s">
        <v>278</v>
      </c>
      <c r="I94" s="494">
        <v>1444184</v>
      </c>
      <c r="J94" s="489">
        <v>1057499</v>
      </c>
      <c r="K94" s="489">
        <v>0</v>
      </c>
      <c r="L94" s="489">
        <v>357435</v>
      </c>
      <c r="M94" s="489">
        <v>21150</v>
      </c>
      <c r="N94" s="489">
        <v>8100</v>
      </c>
      <c r="O94" s="490">
        <v>2.4609000000000001</v>
      </c>
      <c r="P94" s="491">
        <v>2</v>
      </c>
      <c r="Q94" s="658">
        <v>0.46089999999999998</v>
      </c>
      <c r="R94" s="501">
        <f t="shared" si="98"/>
        <v>0</v>
      </c>
      <c r="S94" s="492">
        <v>0</v>
      </c>
      <c r="T94" s="492">
        <v>0</v>
      </c>
      <c r="U94" s="492">
        <v>0</v>
      </c>
      <c r="V94" s="492">
        <f t="shared" si="99"/>
        <v>0</v>
      </c>
      <c r="W94" s="492">
        <v>0</v>
      </c>
      <c r="X94" s="492">
        <v>0</v>
      </c>
      <c r="Y94" s="492">
        <v>0</v>
      </c>
      <c r="Z94" s="492">
        <f t="shared" ref="Z94:Z99" si="132">SUM(W94:Y94)</f>
        <v>0</v>
      </c>
      <c r="AA94" s="492">
        <f t="shared" ref="AA94:AA99" si="133">V94+Z94</f>
        <v>0</v>
      </c>
      <c r="AB94" s="74">
        <f t="shared" ref="AB94:AB99" si="134">ROUND((V94+W94+X94)*33.8%,0)</f>
        <v>0</v>
      </c>
      <c r="AC94" s="74">
        <f t="shared" ref="AC94:AC99" si="135">ROUND(V94*2%,0)</f>
        <v>0</v>
      </c>
      <c r="AD94" s="492">
        <v>0</v>
      </c>
      <c r="AE94" s="492">
        <v>0</v>
      </c>
      <c r="AF94" s="492">
        <f t="shared" si="100"/>
        <v>0</v>
      </c>
      <c r="AG94" s="492">
        <f t="shared" si="101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ref="AO94:AO99" si="136">AH94+AJ94+AK94+AM94</f>
        <v>0</v>
      </c>
      <c r="AP94" s="493">
        <f t="shared" ref="AP94:AP99" si="137">AI94+AN94+AL94</f>
        <v>0</v>
      </c>
      <c r="AQ94" s="495">
        <f t="shared" si="102"/>
        <v>0</v>
      </c>
      <c r="AR94" s="501">
        <f t="shared" ref="AR94:AR99" si="138">I94+AG94</f>
        <v>1444184</v>
      </c>
      <c r="AS94" s="492">
        <f t="shared" ref="AS94:AS99" si="139">J94+V94</f>
        <v>1057499</v>
      </c>
      <c r="AT94" s="492">
        <f t="shared" ref="AT94:AT99" si="140">K94+Z94</f>
        <v>0</v>
      </c>
      <c r="AU94" s="492">
        <f t="shared" ref="AU94:AV99" si="141">L94+AB94</f>
        <v>357435</v>
      </c>
      <c r="AV94" s="492">
        <f t="shared" si="141"/>
        <v>21150</v>
      </c>
      <c r="AW94" s="492">
        <f t="shared" ref="AW94:AW99" si="142">N94+AF94</f>
        <v>8100</v>
      </c>
      <c r="AX94" s="493">
        <f t="shared" ref="AX94:AX99" si="143">O94+AQ94</f>
        <v>2.4609000000000001</v>
      </c>
      <c r="AY94" s="493">
        <f t="shared" ref="AY94:AZ99" si="144">P94+AO94</f>
        <v>2</v>
      </c>
      <c r="AZ94" s="495">
        <f t="shared" si="144"/>
        <v>0.46089999999999998</v>
      </c>
    </row>
    <row r="95" spans="1:52" ht="12.95" customHeight="1" x14ac:dyDescent="0.25">
      <c r="A95" s="313">
        <v>17</v>
      </c>
      <c r="B95" s="314">
        <v>4488</v>
      </c>
      <c r="C95" s="314">
        <v>600074803</v>
      </c>
      <c r="D95" s="314">
        <v>72742089</v>
      </c>
      <c r="E95" s="316" t="s">
        <v>362</v>
      </c>
      <c r="F95" s="314">
        <v>3117</v>
      </c>
      <c r="G95" s="317" t="s">
        <v>330</v>
      </c>
      <c r="H95" s="317" t="s">
        <v>278</v>
      </c>
      <c r="I95" s="494">
        <v>3414694</v>
      </c>
      <c r="J95" s="489">
        <v>2450006</v>
      </c>
      <c r="K95" s="489">
        <v>33510</v>
      </c>
      <c r="L95" s="489">
        <v>839428</v>
      </c>
      <c r="M95" s="489">
        <v>49000</v>
      </c>
      <c r="N95" s="489">
        <v>42750</v>
      </c>
      <c r="O95" s="490">
        <v>4.6204000000000001</v>
      </c>
      <c r="P95" s="491">
        <v>3.2726999999999999</v>
      </c>
      <c r="Q95" s="658">
        <v>1.3477000000000001</v>
      </c>
      <c r="R95" s="501">
        <f t="shared" si="98"/>
        <v>0</v>
      </c>
      <c r="S95" s="492">
        <v>0</v>
      </c>
      <c r="T95" s="492">
        <v>0</v>
      </c>
      <c r="U95" s="492">
        <v>0</v>
      </c>
      <c r="V95" s="492">
        <f t="shared" si="99"/>
        <v>0</v>
      </c>
      <c r="W95" s="492">
        <v>0</v>
      </c>
      <c r="X95" s="492">
        <v>0</v>
      </c>
      <c r="Y95" s="492">
        <v>0</v>
      </c>
      <c r="Z95" s="492">
        <f t="shared" si="132"/>
        <v>0</v>
      </c>
      <c r="AA95" s="492">
        <f t="shared" si="133"/>
        <v>0</v>
      </c>
      <c r="AB95" s="74">
        <f t="shared" si="134"/>
        <v>0</v>
      </c>
      <c r="AC95" s="74">
        <f t="shared" si="135"/>
        <v>0</v>
      </c>
      <c r="AD95" s="492">
        <v>0</v>
      </c>
      <c r="AE95" s="492">
        <v>0</v>
      </c>
      <c r="AF95" s="492">
        <f t="shared" si="100"/>
        <v>0</v>
      </c>
      <c r="AG95" s="492">
        <f t="shared" si="101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136"/>
        <v>0</v>
      </c>
      <c r="AP95" s="493">
        <f t="shared" si="137"/>
        <v>0</v>
      </c>
      <c r="AQ95" s="495">
        <f t="shared" si="102"/>
        <v>0</v>
      </c>
      <c r="AR95" s="501">
        <f t="shared" si="138"/>
        <v>3414694</v>
      </c>
      <c r="AS95" s="492">
        <f t="shared" si="139"/>
        <v>2450006</v>
      </c>
      <c r="AT95" s="492">
        <f t="shared" si="140"/>
        <v>33510</v>
      </c>
      <c r="AU95" s="492">
        <f t="shared" si="141"/>
        <v>839428</v>
      </c>
      <c r="AV95" s="492">
        <f t="shared" si="141"/>
        <v>49000</v>
      </c>
      <c r="AW95" s="492">
        <f t="shared" si="142"/>
        <v>42750</v>
      </c>
      <c r="AX95" s="493">
        <f t="shared" si="143"/>
        <v>4.6204000000000001</v>
      </c>
      <c r="AY95" s="493">
        <f t="shared" si="144"/>
        <v>3.2726999999999999</v>
      </c>
      <c r="AZ95" s="495">
        <f t="shared" si="144"/>
        <v>1.3477000000000001</v>
      </c>
    </row>
    <row r="96" spans="1:52" ht="12.95" customHeight="1" x14ac:dyDescent="0.25">
      <c r="A96" s="313">
        <v>17</v>
      </c>
      <c r="B96" s="314">
        <v>4488</v>
      </c>
      <c r="C96" s="314">
        <v>600074803</v>
      </c>
      <c r="D96" s="314">
        <v>72742089</v>
      </c>
      <c r="E96" s="316" t="s">
        <v>362</v>
      </c>
      <c r="F96" s="314">
        <v>3117</v>
      </c>
      <c r="G96" s="317" t="s">
        <v>320</v>
      </c>
      <c r="H96" s="317" t="s">
        <v>279</v>
      </c>
      <c r="I96" s="494">
        <v>525348</v>
      </c>
      <c r="J96" s="489">
        <v>386854</v>
      </c>
      <c r="K96" s="489">
        <v>0</v>
      </c>
      <c r="L96" s="489">
        <v>130757</v>
      </c>
      <c r="M96" s="489">
        <v>7737</v>
      </c>
      <c r="N96" s="489">
        <v>0</v>
      </c>
      <c r="O96" s="490">
        <v>1.25</v>
      </c>
      <c r="P96" s="491">
        <v>1.25</v>
      </c>
      <c r="Q96" s="658">
        <v>0</v>
      </c>
      <c r="R96" s="501">
        <f t="shared" si="98"/>
        <v>0</v>
      </c>
      <c r="S96" s="492">
        <v>0</v>
      </c>
      <c r="T96" s="492">
        <v>0</v>
      </c>
      <c r="U96" s="492">
        <v>0</v>
      </c>
      <c r="V96" s="492">
        <f t="shared" si="99"/>
        <v>0</v>
      </c>
      <c r="W96" s="492">
        <v>0</v>
      </c>
      <c r="X96" s="492">
        <v>0</v>
      </c>
      <c r="Y96" s="492">
        <v>0</v>
      </c>
      <c r="Z96" s="492">
        <f t="shared" si="132"/>
        <v>0</v>
      </c>
      <c r="AA96" s="492">
        <f t="shared" si="133"/>
        <v>0</v>
      </c>
      <c r="AB96" s="74">
        <f t="shared" si="134"/>
        <v>0</v>
      </c>
      <c r="AC96" s="74">
        <f t="shared" si="135"/>
        <v>0</v>
      </c>
      <c r="AD96" s="492">
        <v>0</v>
      </c>
      <c r="AE96" s="492">
        <v>0</v>
      </c>
      <c r="AF96" s="492">
        <f t="shared" si="100"/>
        <v>0</v>
      </c>
      <c r="AG96" s="492">
        <f t="shared" si="101"/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136"/>
        <v>0</v>
      </c>
      <c r="AP96" s="493">
        <f t="shared" si="137"/>
        <v>0</v>
      </c>
      <c r="AQ96" s="495">
        <f t="shared" si="102"/>
        <v>0</v>
      </c>
      <c r="AR96" s="501">
        <f t="shared" si="138"/>
        <v>525348</v>
      </c>
      <c r="AS96" s="492">
        <f t="shared" si="139"/>
        <v>386854</v>
      </c>
      <c r="AT96" s="492">
        <f t="shared" si="140"/>
        <v>0</v>
      </c>
      <c r="AU96" s="492">
        <f t="shared" si="141"/>
        <v>130757</v>
      </c>
      <c r="AV96" s="492">
        <f t="shared" si="141"/>
        <v>7737</v>
      </c>
      <c r="AW96" s="492">
        <f t="shared" si="142"/>
        <v>0</v>
      </c>
      <c r="AX96" s="493">
        <f t="shared" si="143"/>
        <v>1.25</v>
      </c>
      <c r="AY96" s="493">
        <f t="shared" si="144"/>
        <v>1.25</v>
      </c>
      <c r="AZ96" s="495">
        <f t="shared" si="144"/>
        <v>0</v>
      </c>
    </row>
    <row r="97" spans="1:52" ht="12.95" customHeight="1" x14ac:dyDescent="0.25">
      <c r="A97" s="313">
        <v>17</v>
      </c>
      <c r="B97" s="314">
        <v>4488</v>
      </c>
      <c r="C97" s="314">
        <v>600074803</v>
      </c>
      <c r="D97" s="314">
        <v>72742089</v>
      </c>
      <c r="E97" s="316" t="s">
        <v>362</v>
      </c>
      <c r="F97" s="314">
        <v>3141</v>
      </c>
      <c r="G97" s="317" t="s">
        <v>316</v>
      </c>
      <c r="H97" s="317" t="s">
        <v>279</v>
      </c>
      <c r="I97" s="494">
        <v>250767</v>
      </c>
      <c r="J97" s="489">
        <v>183456</v>
      </c>
      <c r="K97" s="489">
        <v>0</v>
      </c>
      <c r="L97" s="489">
        <v>62008</v>
      </c>
      <c r="M97" s="489">
        <v>3669</v>
      </c>
      <c r="N97" s="489">
        <v>1634</v>
      </c>
      <c r="O97" s="490">
        <v>0.57999999999999996</v>
      </c>
      <c r="P97" s="491">
        <v>0</v>
      </c>
      <c r="Q97" s="658">
        <v>0.57999999999999996</v>
      </c>
      <c r="R97" s="501">
        <f t="shared" si="98"/>
        <v>0</v>
      </c>
      <c r="S97" s="492">
        <v>0</v>
      </c>
      <c r="T97" s="492">
        <v>0</v>
      </c>
      <c r="U97" s="492">
        <v>0</v>
      </c>
      <c r="V97" s="492">
        <f t="shared" si="99"/>
        <v>0</v>
      </c>
      <c r="W97" s="492">
        <v>0</v>
      </c>
      <c r="X97" s="492">
        <v>0</v>
      </c>
      <c r="Y97" s="492">
        <v>0</v>
      </c>
      <c r="Z97" s="492">
        <f t="shared" si="132"/>
        <v>0</v>
      </c>
      <c r="AA97" s="492">
        <f t="shared" si="133"/>
        <v>0</v>
      </c>
      <c r="AB97" s="74">
        <f t="shared" si="134"/>
        <v>0</v>
      </c>
      <c r="AC97" s="74">
        <f t="shared" si="135"/>
        <v>0</v>
      </c>
      <c r="AD97" s="492">
        <v>0</v>
      </c>
      <c r="AE97" s="492">
        <v>0</v>
      </c>
      <c r="AF97" s="492">
        <f t="shared" si="100"/>
        <v>0</v>
      </c>
      <c r="AG97" s="492">
        <f t="shared" si="101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136"/>
        <v>0</v>
      </c>
      <c r="AP97" s="493">
        <f t="shared" si="137"/>
        <v>0</v>
      </c>
      <c r="AQ97" s="495">
        <f t="shared" si="102"/>
        <v>0</v>
      </c>
      <c r="AR97" s="501">
        <f t="shared" si="138"/>
        <v>250767</v>
      </c>
      <c r="AS97" s="492">
        <f t="shared" si="139"/>
        <v>183456</v>
      </c>
      <c r="AT97" s="492">
        <f t="shared" si="140"/>
        <v>0</v>
      </c>
      <c r="AU97" s="492">
        <f t="shared" si="141"/>
        <v>62008</v>
      </c>
      <c r="AV97" s="492">
        <f t="shared" si="141"/>
        <v>3669</v>
      </c>
      <c r="AW97" s="492">
        <f t="shared" si="142"/>
        <v>1634</v>
      </c>
      <c r="AX97" s="493">
        <f t="shared" si="143"/>
        <v>0.57999999999999996</v>
      </c>
      <c r="AY97" s="493">
        <f t="shared" si="144"/>
        <v>0</v>
      </c>
      <c r="AZ97" s="495">
        <f t="shared" si="144"/>
        <v>0.57999999999999996</v>
      </c>
    </row>
    <row r="98" spans="1:52" ht="12.95" customHeight="1" x14ac:dyDescent="0.25">
      <c r="A98" s="313">
        <v>17</v>
      </c>
      <c r="B98" s="314">
        <v>4488</v>
      </c>
      <c r="C98" s="314">
        <v>600074803</v>
      </c>
      <c r="D98" s="314">
        <v>72742089</v>
      </c>
      <c r="E98" s="316" t="s">
        <v>362</v>
      </c>
      <c r="F98" s="314">
        <v>3143</v>
      </c>
      <c r="G98" s="317" t="s">
        <v>629</v>
      </c>
      <c r="H98" s="317" t="s">
        <v>278</v>
      </c>
      <c r="I98" s="494">
        <v>588840</v>
      </c>
      <c r="J98" s="489">
        <v>433608</v>
      </c>
      <c r="K98" s="489">
        <v>0</v>
      </c>
      <c r="L98" s="489">
        <v>146560</v>
      </c>
      <c r="M98" s="489">
        <v>8672</v>
      </c>
      <c r="N98" s="489">
        <v>0</v>
      </c>
      <c r="O98" s="490">
        <v>0.86209999999999998</v>
      </c>
      <c r="P98" s="491">
        <v>0.86209999999999998</v>
      </c>
      <c r="Q98" s="658">
        <v>0</v>
      </c>
      <c r="R98" s="501">
        <f t="shared" si="98"/>
        <v>0</v>
      </c>
      <c r="S98" s="492">
        <v>0</v>
      </c>
      <c r="T98" s="492">
        <v>0</v>
      </c>
      <c r="U98" s="492">
        <v>0</v>
      </c>
      <c r="V98" s="492">
        <f t="shared" si="99"/>
        <v>0</v>
      </c>
      <c r="W98" s="492">
        <v>0</v>
      </c>
      <c r="X98" s="492">
        <v>0</v>
      </c>
      <c r="Y98" s="492">
        <v>0</v>
      </c>
      <c r="Z98" s="492">
        <f t="shared" si="132"/>
        <v>0</v>
      </c>
      <c r="AA98" s="492">
        <f t="shared" si="133"/>
        <v>0</v>
      </c>
      <c r="AB98" s="74">
        <f t="shared" si="134"/>
        <v>0</v>
      </c>
      <c r="AC98" s="74">
        <f t="shared" si="135"/>
        <v>0</v>
      </c>
      <c r="AD98" s="492">
        <v>0</v>
      </c>
      <c r="AE98" s="492">
        <v>0</v>
      </c>
      <c r="AF98" s="492">
        <f t="shared" si="100"/>
        <v>0</v>
      </c>
      <c r="AG98" s="492">
        <f t="shared" si="101"/>
        <v>0</v>
      </c>
      <c r="AH98" s="493">
        <v>0</v>
      </c>
      <c r="AI98" s="493">
        <v>0</v>
      </c>
      <c r="AJ98" s="493">
        <v>0</v>
      </c>
      <c r="AK98" s="493">
        <v>0</v>
      </c>
      <c r="AL98" s="493">
        <v>0</v>
      </c>
      <c r="AM98" s="493">
        <v>0</v>
      </c>
      <c r="AN98" s="493">
        <v>0</v>
      </c>
      <c r="AO98" s="493">
        <f t="shared" si="136"/>
        <v>0</v>
      </c>
      <c r="AP98" s="493">
        <f t="shared" si="137"/>
        <v>0</v>
      </c>
      <c r="AQ98" s="495">
        <f t="shared" si="102"/>
        <v>0</v>
      </c>
      <c r="AR98" s="501">
        <f t="shared" si="138"/>
        <v>588840</v>
      </c>
      <c r="AS98" s="492">
        <f t="shared" si="139"/>
        <v>433608</v>
      </c>
      <c r="AT98" s="492">
        <f t="shared" si="140"/>
        <v>0</v>
      </c>
      <c r="AU98" s="492">
        <f t="shared" si="141"/>
        <v>146560</v>
      </c>
      <c r="AV98" s="492">
        <f t="shared" si="141"/>
        <v>8672</v>
      </c>
      <c r="AW98" s="492">
        <f t="shared" si="142"/>
        <v>0</v>
      </c>
      <c r="AX98" s="493">
        <f t="shared" si="143"/>
        <v>0.86209999999999998</v>
      </c>
      <c r="AY98" s="493">
        <f t="shared" si="144"/>
        <v>0.86209999999999998</v>
      </c>
      <c r="AZ98" s="495">
        <f t="shared" si="144"/>
        <v>0</v>
      </c>
    </row>
    <row r="99" spans="1:52" ht="12.95" customHeight="1" x14ac:dyDescent="0.25">
      <c r="A99" s="313">
        <v>17</v>
      </c>
      <c r="B99" s="314">
        <v>4488</v>
      </c>
      <c r="C99" s="314">
        <v>600074803</v>
      </c>
      <c r="D99" s="314">
        <v>72742089</v>
      </c>
      <c r="E99" s="316" t="s">
        <v>362</v>
      </c>
      <c r="F99" s="314">
        <v>3143</v>
      </c>
      <c r="G99" s="317" t="s">
        <v>630</v>
      </c>
      <c r="H99" s="317" t="s">
        <v>279</v>
      </c>
      <c r="I99" s="494">
        <v>18145</v>
      </c>
      <c r="J99" s="489">
        <v>12831</v>
      </c>
      <c r="K99" s="489">
        <v>0</v>
      </c>
      <c r="L99" s="489">
        <v>4337</v>
      </c>
      <c r="M99" s="489">
        <v>257</v>
      </c>
      <c r="N99" s="489">
        <v>720</v>
      </c>
      <c r="O99" s="490">
        <v>0.05</v>
      </c>
      <c r="P99" s="491">
        <v>0</v>
      </c>
      <c r="Q99" s="658">
        <v>0.05</v>
      </c>
      <c r="R99" s="501">
        <f t="shared" si="98"/>
        <v>0</v>
      </c>
      <c r="S99" s="492">
        <v>0</v>
      </c>
      <c r="T99" s="492">
        <v>0</v>
      </c>
      <c r="U99" s="492">
        <v>0</v>
      </c>
      <c r="V99" s="492">
        <f t="shared" si="99"/>
        <v>0</v>
      </c>
      <c r="W99" s="492">
        <v>0</v>
      </c>
      <c r="X99" s="492">
        <v>0</v>
      </c>
      <c r="Y99" s="492">
        <v>0</v>
      </c>
      <c r="Z99" s="492">
        <f t="shared" si="132"/>
        <v>0</v>
      </c>
      <c r="AA99" s="492">
        <f t="shared" si="133"/>
        <v>0</v>
      </c>
      <c r="AB99" s="74">
        <f t="shared" si="134"/>
        <v>0</v>
      </c>
      <c r="AC99" s="74">
        <f t="shared" si="135"/>
        <v>0</v>
      </c>
      <c r="AD99" s="492">
        <v>0</v>
      </c>
      <c r="AE99" s="492">
        <v>0</v>
      </c>
      <c r="AF99" s="492">
        <f t="shared" si="100"/>
        <v>0</v>
      </c>
      <c r="AG99" s="492">
        <f t="shared" si="101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si="136"/>
        <v>0</v>
      </c>
      <c r="AP99" s="493">
        <f t="shared" si="137"/>
        <v>0</v>
      </c>
      <c r="AQ99" s="495">
        <f t="shared" si="102"/>
        <v>0</v>
      </c>
      <c r="AR99" s="501">
        <f t="shared" si="138"/>
        <v>18145</v>
      </c>
      <c r="AS99" s="492">
        <f t="shared" si="139"/>
        <v>12831</v>
      </c>
      <c r="AT99" s="492">
        <f t="shared" si="140"/>
        <v>0</v>
      </c>
      <c r="AU99" s="492">
        <f t="shared" si="141"/>
        <v>4337</v>
      </c>
      <c r="AV99" s="492">
        <f t="shared" si="141"/>
        <v>257</v>
      </c>
      <c r="AW99" s="492">
        <f t="shared" si="142"/>
        <v>720</v>
      </c>
      <c r="AX99" s="493">
        <f t="shared" si="143"/>
        <v>0.05</v>
      </c>
      <c r="AY99" s="493">
        <f t="shared" si="144"/>
        <v>0</v>
      </c>
      <c r="AZ99" s="495">
        <f t="shared" si="144"/>
        <v>0.05</v>
      </c>
    </row>
    <row r="100" spans="1:52" ht="12.95" customHeight="1" x14ac:dyDescent="0.25">
      <c r="A100" s="306">
        <v>17</v>
      </c>
      <c r="B100" s="308">
        <v>4488</v>
      </c>
      <c r="C100" s="308">
        <v>600074803</v>
      </c>
      <c r="D100" s="308">
        <v>72742089</v>
      </c>
      <c r="E100" s="321" t="s">
        <v>363</v>
      </c>
      <c r="F100" s="324"/>
      <c r="G100" s="325"/>
      <c r="H100" s="325"/>
      <c r="I100" s="585">
        <v>6241978</v>
      </c>
      <c r="J100" s="582">
        <v>4524254</v>
      </c>
      <c r="K100" s="582">
        <v>33510</v>
      </c>
      <c r="L100" s="582">
        <v>1540525</v>
      </c>
      <c r="M100" s="582">
        <v>90485</v>
      </c>
      <c r="N100" s="582">
        <v>53204</v>
      </c>
      <c r="O100" s="583">
        <v>9.8234000000000012</v>
      </c>
      <c r="P100" s="583">
        <v>7.3848000000000003</v>
      </c>
      <c r="Q100" s="323">
        <v>2.4386000000000001</v>
      </c>
      <c r="R100" s="589">
        <f t="shared" ref="R100:AZ100" si="145">SUM(R94:R99)</f>
        <v>0</v>
      </c>
      <c r="S100" s="582">
        <f t="shared" si="145"/>
        <v>0</v>
      </c>
      <c r="T100" s="582">
        <f t="shared" si="145"/>
        <v>0</v>
      </c>
      <c r="U100" s="582">
        <f t="shared" si="145"/>
        <v>0</v>
      </c>
      <c r="V100" s="582">
        <f t="shared" si="145"/>
        <v>0</v>
      </c>
      <c r="W100" s="582">
        <f t="shared" si="145"/>
        <v>0</v>
      </c>
      <c r="X100" s="582">
        <f t="shared" si="145"/>
        <v>0</v>
      </c>
      <c r="Y100" s="582">
        <f t="shared" si="145"/>
        <v>0</v>
      </c>
      <c r="Z100" s="582">
        <f t="shared" si="145"/>
        <v>0</v>
      </c>
      <c r="AA100" s="582">
        <f t="shared" si="145"/>
        <v>0</v>
      </c>
      <c r="AB100" s="582">
        <f t="shared" si="145"/>
        <v>0</v>
      </c>
      <c r="AC100" s="582">
        <f t="shared" si="145"/>
        <v>0</v>
      </c>
      <c r="AD100" s="582">
        <f t="shared" si="145"/>
        <v>0</v>
      </c>
      <c r="AE100" s="582">
        <f t="shared" si="145"/>
        <v>0</v>
      </c>
      <c r="AF100" s="582">
        <f t="shared" si="145"/>
        <v>0</v>
      </c>
      <c r="AG100" s="582">
        <f t="shared" si="145"/>
        <v>0</v>
      </c>
      <c r="AH100" s="583">
        <f t="shared" si="145"/>
        <v>0</v>
      </c>
      <c r="AI100" s="583">
        <f t="shared" si="145"/>
        <v>0</v>
      </c>
      <c r="AJ100" s="583">
        <f t="shared" si="145"/>
        <v>0</v>
      </c>
      <c r="AK100" s="583">
        <f t="shared" si="145"/>
        <v>0</v>
      </c>
      <c r="AL100" s="583">
        <f t="shared" si="145"/>
        <v>0</v>
      </c>
      <c r="AM100" s="583">
        <f t="shared" si="145"/>
        <v>0</v>
      </c>
      <c r="AN100" s="583">
        <f t="shared" si="145"/>
        <v>0</v>
      </c>
      <c r="AO100" s="583">
        <f t="shared" si="145"/>
        <v>0</v>
      </c>
      <c r="AP100" s="583">
        <f t="shared" si="145"/>
        <v>0</v>
      </c>
      <c r="AQ100" s="323">
        <f t="shared" si="145"/>
        <v>0</v>
      </c>
      <c r="AR100" s="589">
        <f t="shared" si="145"/>
        <v>6241978</v>
      </c>
      <c r="AS100" s="582">
        <f t="shared" si="145"/>
        <v>4524254</v>
      </c>
      <c r="AT100" s="582">
        <f t="shared" si="145"/>
        <v>33510</v>
      </c>
      <c r="AU100" s="582">
        <f t="shared" si="145"/>
        <v>1540525</v>
      </c>
      <c r="AV100" s="582">
        <f t="shared" si="145"/>
        <v>90485</v>
      </c>
      <c r="AW100" s="582">
        <f t="shared" si="145"/>
        <v>53204</v>
      </c>
      <c r="AX100" s="583">
        <f t="shared" si="145"/>
        <v>9.8234000000000012</v>
      </c>
      <c r="AY100" s="583">
        <f t="shared" si="145"/>
        <v>7.3848000000000003</v>
      </c>
      <c r="AZ100" s="323">
        <f t="shared" si="145"/>
        <v>2.4386000000000001</v>
      </c>
    </row>
    <row r="101" spans="1:52" ht="12.95" customHeight="1" x14ac:dyDescent="0.25">
      <c r="A101" s="313">
        <v>18</v>
      </c>
      <c r="B101" s="314">
        <v>4434</v>
      </c>
      <c r="C101" s="314">
        <v>650025768</v>
      </c>
      <c r="D101" s="314">
        <v>72744481</v>
      </c>
      <c r="E101" s="316" t="s">
        <v>364</v>
      </c>
      <c r="F101" s="314">
        <v>3111</v>
      </c>
      <c r="G101" s="317" t="s">
        <v>326</v>
      </c>
      <c r="H101" s="317" t="s">
        <v>278</v>
      </c>
      <c r="I101" s="494">
        <v>3285204</v>
      </c>
      <c r="J101" s="489">
        <v>2383368</v>
      </c>
      <c r="K101" s="489">
        <v>19500</v>
      </c>
      <c r="L101" s="489">
        <v>812169</v>
      </c>
      <c r="M101" s="489">
        <v>47667</v>
      </c>
      <c r="N101" s="489">
        <v>22500</v>
      </c>
      <c r="O101" s="490">
        <v>5.0217999999999998</v>
      </c>
      <c r="P101" s="491">
        <v>4</v>
      </c>
      <c r="Q101" s="658">
        <v>1.0218</v>
      </c>
      <c r="R101" s="501">
        <f t="shared" si="98"/>
        <v>0</v>
      </c>
      <c r="S101" s="492">
        <v>0</v>
      </c>
      <c r="T101" s="492">
        <v>0</v>
      </c>
      <c r="U101" s="492">
        <v>0</v>
      </c>
      <c r="V101" s="492">
        <f t="shared" si="99"/>
        <v>0</v>
      </c>
      <c r="W101" s="688">
        <v>0</v>
      </c>
      <c r="X101" s="492">
        <v>0</v>
      </c>
      <c r="Y101" s="492">
        <v>0</v>
      </c>
      <c r="Z101" s="492">
        <f t="shared" ref="Z101:Z106" si="146">SUM(W101:Y101)</f>
        <v>0</v>
      </c>
      <c r="AA101" s="492">
        <f t="shared" ref="AA101:AA106" si="147">V101+Z101</f>
        <v>0</v>
      </c>
      <c r="AB101" s="74">
        <f t="shared" ref="AB101:AB106" si="148">ROUND((V101+W101+X101)*33.8%,0)</f>
        <v>0</v>
      </c>
      <c r="AC101" s="74">
        <f t="shared" ref="AC101:AC106" si="149">ROUND(V101*2%,0)</f>
        <v>0</v>
      </c>
      <c r="AD101" s="492">
        <v>0</v>
      </c>
      <c r="AE101" s="492">
        <v>0</v>
      </c>
      <c r="AF101" s="492">
        <f t="shared" si="100"/>
        <v>0</v>
      </c>
      <c r="AG101" s="492">
        <f t="shared" si="101"/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 t="shared" ref="AO101:AO106" si="150">AH101+AJ101+AK101+AM101</f>
        <v>0</v>
      </c>
      <c r="AP101" s="493">
        <f t="shared" ref="AP101:AP106" si="151">AI101+AN101+AL101</f>
        <v>0</v>
      </c>
      <c r="AQ101" s="495">
        <f t="shared" si="102"/>
        <v>0</v>
      </c>
      <c r="AR101" s="501">
        <f t="shared" ref="AR101:AR106" si="152">I101+AG101</f>
        <v>3285204</v>
      </c>
      <c r="AS101" s="492">
        <f t="shared" ref="AS101:AS106" si="153">J101+V101</f>
        <v>2383368</v>
      </c>
      <c r="AT101" s="492">
        <f t="shared" ref="AT101:AT106" si="154">K101+Z101</f>
        <v>19500</v>
      </c>
      <c r="AU101" s="492">
        <f t="shared" ref="AU101:AV106" si="155">L101+AB101</f>
        <v>812169</v>
      </c>
      <c r="AV101" s="492">
        <f t="shared" si="155"/>
        <v>47667</v>
      </c>
      <c r="AW101" s="492">
        <f t="shared" ref="AW101:AW106" si="156">N101+AF101</f>
        <v>22500</v>
      </c>
      <c r="AX101" s="493">
        <f t="shared" ref="AX101:AX106" si="157">O101+AQ101</f>
        <v>5.0217999999999998</v>
      </c>
      <c r="AY101" s="493">
        <f t="shared" ref="AY101:AZ106" si="158">P101+AO101</f>
        <v>4</v>
      </c>
      <c r="AZ101" s="495">
        <f t="shared" si="158"/>
        <v>1.0218</v>
      </c>
    </row>
    <row r="102" spans="1:52" ht="12.95" customHeight="1" x14ac:dyDescent="0.25">
      <c r="A102" s="313">
        <v>18</v>
      </c>
      <c r="B102" s="314">
        <v>4434</v>
      </c>
      <c r="C102" s="314">
        <v>650025768</v>
      </c>
      <c r="D102" s="314">
        <v>72744481</v>
      </c>
      <c r="E102" s="316" t="s">
        <v>364</v>
      </c>
      <c r="F102" s="314">
        <v>3113</v>
      </c>
      <c r="G102" s="317" t="s">
        <v>330</v>
      </c>
      <c r="H102" s="317" t="s">
        <v>278</v>
      </c>
      <c r="I102" s="494">
        <v>12985624</v>
      </c>
      <c r="J102" s="489">
        <v>9292448</v>
      </c>
      <c r="K102" s="489">
        <v>87750</v>
      </c>
      <c r="L102" s="489">
        <v>3170507</v>
      </c>
      <c r="M102" s="489">
        <v>185849</v>
      </c>
      <c r="N102" s="489">
        <v>249070</v>
      </c>
      <c r="O102" s="490">
        <v>17.810199999999998</v>
      </c>
      <c r="P102" s="491">
        <v>13</v>
      </c>
      <c r="Q102" s="658">
        <v>4.8102</v>
      </c>
      <c r="R102" s="501">
        <f t="shared" si="98"/>
        <v>0</v>
      </c>
      <c r="S102" s="492">
        <v>0</v>
      </c>
      <c r="T102" s="492">
        <v>0</v>
      </c>
      <c r="U102" s="492">
        <v>0</v>
      </c>
      <c r="V102" s="492">
        <f t="shared" si="99"/>
        <v>0</v>
      </c>
      <c r="W102" s="688">
        <v>0</v>
      </c>
      <c r="X102" s="492">
        <v>0</v>
      </c>
      <c r="Y102" s="492">
        <v>0</v>
      </c>
      <c r="Z102" s="492">
        <f t="shared" si="146"/>
        <v>0</v>
      </c>
      <c r="AA102" s="492">
        <f t="shared" si="147"/>
        <v>0</v>
      </c>
      <c r="AB102" s="74">
        <f t="shared" si="148"/>
        <v>0</v>
      </c>
      <c r="AC102" s="74">
        <f t="shared" si="149"/>
        <v>0</v>
      </c>
      <c r="AD102" s="492">
        <v>0</v>
      </c>
      <c r="AE102" s="492">
        <v>0</v>
      </c>
      <c r="AF102" s="492">
        <f t="shared" si="100"/>
        <v>0</v>
      </c>
      <c r="AG102" s="492">
        <f t="shared" si="101"/>
        <v>0</v>
      </c>
      <c r="AH102" s="493">
        <v>0</v>
      </c>
      <c r="AI102" s="493">
        <v>0</v>
      </c>
      <c r="AJ102" s="493">
        <v>0</v>
      </c>
      <c r="AK102" s="493">
        <v>0</v>
      </c>
      <c r="AL102" s="493">
        <v>0</v>
      </c>
      <c r="AM102" s="493">
        <v>0</v>
      </c>
      <c r="AN102" s="493">
        <v>0</v>
      </c>
      <c r="AO102" s="493">
        <f t="shared" si="150"/>
        <v>0</v>
      </c>
      <c r="AP102" s="493">
        <f t="shared" si="151"/>
        <v>0</v>
      </c>
      <c r="AQ102" s="495">
        <f t="shared" si="102"/>
        <v>0</v>
      </c>
      <c r="AR102" s="501">
        <f t="shared" si="152"/>
        <v>12985624</v>
      </c>
      <c r="AS102" s="492">
        <f t="shared" si="153"/>
        <v>9292448</v>
      </c>
      <c r="AT102" s="492">
        <f t="shared" si="154"/>
        <v>87750</v>
      </c>
      <c r="AU102" s="492">
        <f t="shared" si="155"/>
        <v>3170507</v>
      </c>
      <c r="AV102" s="492">
        <f t="shared" si="155"/>
        <v>185849</v>
      </c>
      <c r="AW102" s="492">
        <f t="shared" si="156"/>
        <v>249070</v>
      </c>
      <c r="AX102" s="493">
        <f t="shared" si="157"/>
        <v>17.810199999999998</v>
      </c>
      <c r="AY102" s="493">
        <f t="shared" si="158"/>
        <v>13</v>
      </c>
      <c r="AZ102" s="495">
        <f t="shared" si="158"/>
        <v>4.8102</v>
      </c>
    </row>
    <row r="103" spans="1:52" ht="12.95" customHeight="1" x14ac:dyDescent="0.25">
      <c r="A103" s="313">
        <v>18</v>
      </c>
      <c r="B103" s="314">
        <v>4434</v>
      </c>
      <c r="C103" s="314">
        <v>650025768</v>
      </c>
      <c r="D103" s="314">
        <v>72744481</v>
      </c>
      <c r="E103" s="316" t="s">
        <v>364</v>
      </c>
      <c r="F103" s="314">
        <v>3113</v>
      </c>
      <c r="G103" s="317" t="s">
        <v>320</v>
      </c>
      <c r="H103" s="317" t="s">
        <v>279</v>
      </c>
      <c r="I103" s="494">
        <v>2590197</v>
      </c>
      <c r="J103" s="489">
        <v>1907362</v>
      </c>
      <c r="K103" s="489">
        <v>0</v>
      </c>
      <c r="L103" s="489">
        <v>644688</v>
      </c>
      <c r="M103" s="489">
        <v>38147</v>
      </c>
      <c r="N103" s="489">
        <v>0</v>
      </c>
      <c r="O103" s="490">
        <v>5.64</v>
      </c>
      <c r="P103" s="491">
        <v>5.64</v>
      </c>
      <c r="Q103" s="658">
        <v>0</v>
      </c>
      <c r="R103" s="501">
        <f t="shared" si="98"/>
        <v>0</v>
      </c>
      <c r="S103" s="492">
        <v>0</v>
      </c>
      <c r="T103" s="492">
        <v>0</v>
      </c>
      <c r="U103" s="492">
        <v>0</v>
      </c>
      <c r="V103" s="492">
        <f t="shared" si="99"/>
        <v>0</v>
      </c>
      <c r="W103" s="688">
        <v>0</v>
      </c>
      <c r="X103" s="492">
        <v>0</v>
      </c>
      <c r="Y103" s="492">
        <v>0</v>
      </c>
      <c r="Z103" s="492">
        <f t="shared" si="146"/>
        <v>0</v>
      </c>
      <c r="AA103" s="492">
        <f t="shared" si="147"/>
        <v>0</v>
      </c>
      <c r="AB103" s="74">
        <f t="shared" si="148"/>
        <v>0</v>
      </c>
      <c r="AC103" s="74">
        <f t="shared" si="149"/>
        <v>0</v>
      </c>
      <c r="AD103" s="492">
        <v>0</v>
      </c>
      <c r="AE103" s="492">
        <v>0</v>
      </c>
      <c r="AF103" s="492">
        <f t="shared" si="100"/>
        <v>0</v>
      </c>
      <c r="AG103" s="492">
        <f t="shared" si="101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si="150"/>
        <v>0</v>
      </c>
      <c r="AP103" s="493">
        <f t="shared" si="151"/>
        <v>0</v>
      </c>
      <c r="AQ103" s="495">
        <f t="shared" si="102"/>
        <v>0</v>
      </c>
      <c r="AR103" s="501">
        <f t="shared" si="152"/>
        <v>2590197</v>
      </c>
      <c r="AS103" s="492">
        <f t="shared" si="153"/>
        <v>1907362</v>
      </c>
      <c r="AT103" s="492">
        <f t="shared" si="154"/>
        <v>0</v>
      </c>
      <c r="AU103" s="492">
        <f t="shared" si="155"/>
        <v>644688</v>
      </c>
      <c r="AV103" s="492">
        <f t="shared" si="155"/>
        <v>38147</v>
      </c>
      <c r="AW103" s="492">
        <f t="shared" si="156"/>
        <v>0</v>
      </c>
      <c r="AX103" s="493">
        <f t="shared" si="157"/>
        <v>5.64</v>
      </c>
      <c r="AY103" s="493">
        <f t="shared" si="158"/>
        <v>5.64</v>
      </c>
      <c r="AZ103" s="495">
        <f t="shared" si="158"/>
        <v>0</v>
      </c>
    </row>
    <row r="104" spans="1:52" ht="12.95" customHeight="1" x14ac:dyDescent="0.25">
      <c r="A104" s="313">
        <v>18</v>
      </c>
      <c r="B104" s="314">
        <v>4434</v>
      </c>
      <c r="C104" s="314">
        <v>650025768</v>
      </c>
      <c r="D104" s="314">
        <v>72744481</v>
      </c>
      <c r="E104" s="316" t="s">
        <v>364</v>
      </c>
      <c r="F104" s="314">
        <v>3141</v>
      </c>
      <c r="G104" s="317" t="s">
        <v>316</v>
      </c>
      <c r="H104" s="317" t="s">
        <v>279</v>
      </c>
      <c r="I104" s="494">
        <v>1784369</v>
      </c>
      <c r="J104" s="489">
        <v>1280535</v>
      </c>
      <c r="K104" s="489">
        <v>26000</v>
      </c>
      <c r="L104" s="489">
        <v>441609</v>
      </c>
      <c r="M104" s="489">
        <v>25611</v>
      </c>
      <c r="N104" s="489">
        <v>10614</v>
      </c>
      <c r="O104" s="490">
        <v>4.07</v>
      </c>
      <c r="P104" s="491">
        <v>0</v>
      </c>
      <c r="Q104" s="658">
        <v>4.07</v>
      </c>
      <c r="R104" s="501">
        <f t="shared" si="98"/>
        <v>0</v>
      </c>
      <c r="S104" s="492">
        <v>0</v>
      </c>
      <c r="T104" s="492">
        <v>0</v>
      </c>
      <c r="U104" s="492">
        <v>0</v>
      </c>
      <c r="V104" s="492">
        <f t="shared" si="99"/>
        <v>0</v>
      </c>
      <c r="W104" s="688">
        <v>0</v>
      </c>
      <c r="X104" s="492">
        <v>0</v>
      </c>
      <c r="Y104" s="492">
        <v>0</v>
      </c>
      <c r="Z104" s="492">
        <f t="shared" si="146"/>
        <v>0</v>
      </c>
      <c r="AA104" s="492">
        <f t="shared" si="147"/>
        <v>0</v>
      </c>
      <c r="AB104" s="74">
        <f t="shared" si="148"/>
        <v>0</v>
      </c>
      <c r="AC104" s="74">
        <f t="shared" si="149"/>
        <v>0</v>
      </c>
      <c r="AD104" s="492">
        <v>0</v>
      </c>
      <c r="AE104" s="492">
        <v>0</v>
      </c>
      <c r="AF104" s="492">
        <f t="shared" si="100"/>
        <v>0</v>
      </c>
      <c r="AG104" s="492">
        <f t="shared" si="101"/>
        <v>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 t="shared" si="150"/>
        <v>0</v>
      </c>
      <c r="AP104" s="493">
        <f t="shared" si="151"/>
        <v>0</v>
      </c>
      <c r="AQ104" s="495">
        <f t="shared" si="102"/>
        <v>0</v>
      </c>
      <c r="AR104" s="501">
        <f t="shared" si="152"/>
        <v>1784369</v>
      </c>
      <c r="AS104" s="492">
        <f t="shared" si="153"/>
        <v>1280535</v>
      </c>
      <c r="AT104" s="492">
        <f t="shared" si="154"/>
        <v>26000</v>
      </c>
      <c r="AU104" s="492">
        <f t="shared" si="155"/>
        <v>441609</v>
      </c>
      <c r="AV104" s="492">
        <f t="shared" si="155"/>
        <v>25611</v>
      </c>
      <c r="AW104" s="492">
        <f t="shared" si="156"/>
        <v>10614</v>
      </c>
      <c r="AX104" s="493">
        <f t="shared" si="157"/>
        <v>4.07</v>
      </c>
      <c r="AY104" s="493">
        <f t="shared" si="158"/>
        <v>0</v>
      </c>
      <c r="AZ104" s="495">
        <f t="shared" si="158"/>
        <v>4.07</v>
      </c>
    </row>
    <row r="105" spans="1:52" ht="12.95" customHeight="1" x14ac:dyDescent="0.25">
      <c r="A105" s="313">
        <v>18</v>
      </c>
      <c r="B105" s="314">
        <v>4434</v>
      </c>
      <c r="C105" s="314">
        <v>650025768</v>
      </c>
      <c r="D105" s="314">
        <v>72744481</v>
      </c>
      <c r="E105" s="316" t="s">
        <v>364</v>
      </c>
      <c r="F105" s="314">
        <v>3143</v>
      </c>
      <c r="G105" s="317" t="s">
        <v>629</v>
      </c>
      <c r="H105" s="317" t="s">
        <v>278</v>
      </c>
      <c r="I105" s="494">
        <v>1358545</v>
      </c>
      <c r="J105" s="489">
        <v>993997</v>
      </c>
      <c r="K105" s="489">
        <v>6500</v>
      </c>
      <c r="L105" s="489">
        <v>338168</v>
      </c>
      <c r="M105" s="489">
        <v>19880</v>
      </c>
      <c r="N105" s="489">
        <v>0</v>
      </c>
      <c r="O105" s="490">
        <v>2</v>
      </c>
      <c r="P105" s="491">
        <v>2</v>
      </c>
      <c r="Q105" s="658">
        <v>0</v>
      </c>
      <c r="R105" s="501">
        <f t="shared" si="98"/>
        <v>0</v>
      </c>
      <c r="S105" s="492">
        <v>0</v>
      </c>
      <c r="T105" s="492">
        <v>0</v>
      </c>
      <c r="U105" s="492">
        <v>0</v>
      </c>
      <c r="V105" s="492">
        <f t="shared" si="99"/>
        <v>0</v>
      </c>
      <c r="W105" s="688">
        <v>0</v>
      </c>
      <c r="X105" s="492">
        <v>0</v>
      </c>
      <c r="Y105" s="492">
        <v>0</v>
      </c>
      <c r="Z105" s="492">
        <f t="shared" si="146"/>
        <v>0</v>
      </c>
      <c r="AA105" s="492">
        <f t="shared" si="147"/>
        <v>0</v>
      </c>
      <c r="AB105" s="74">
        <f t="shared" si="148"/>
        <v>0</v>
      </c>
      <c r="AC105" s="74">
        <f t="shared" si="149"/>
        <v>0</v>
      </c>
      <c r="AD105" s="492">
        <v>0</v>
      </c>
      <c r="AE105" s="492">
        <v>0</v>
      </c>
      <c r="AF105" s="492">
        <f t="shared" si="100"/>
        <v>0</v>
      </c>
      <c r="AG105" s="492">
        <f t="shared" si="101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 t="shared" si="150"/>
        <v>0</v>
      </c>
      <c r="AP105" s="493">
        <f t="shared" si="151"/>
        <v>0</v>
      </c>
      <c r="AQ105" s="495">
        <f t="shared" si="102"/>
        <v>0</v>
      </c>
      <c r="AR105" s="501">
        <f t="shared" si="152"/>
        <v>1358545</v>
      </c>
      <c r="AS105" s="492">
        <f t="shared" si="153"/>
        <v>993997</v>
      </c>
      <c r="AT105" s="492">
        <f t="shared" si="154"/>
        <v>6500</v>
      </c>
      <c r="AU105" s="492">
        <f t="shared" si="155"/>
        <v>338168</v>
      </c>
      <c r="AV105" s="492">
        <f t="shared" si="155"/>
        <v>19880</v>
      </c>
      <c r="AW105" s="492">
        <f t="shared" si="156"/>
        <v>0</v>
      </c>
      <c r="AX105" s="493">
        <f t="shared" si="157"/>
        <v>2</v>
      </c>
      <c r="AY105" s="493">
        <f t="shared" si="158"/>
        <v>2</v>
      </c>
      <c r="AZ105" s="495">
        <f t="shared" si="158"/>
        <v>0</v>
      </c>
    </row>
    <row r="106" spans="1:52" ht="12.95" customHeight="1" x14ac:dyDescent="0.25">
      <c r="A106" s="313">
        <v>18</v>
      </c>
      <c r="B106" s="314">
        <v>4434</v>
      </c>
      <c r="C106" s="314">
        <v>650025768</v>
      </c>
      <c r="D106" s="314">
        <v>72744481</v>
      </c>
      <c r="E106" s="316" t="s">
        <v>364</v>
      </c>
      <c r="F106" s="314">
        <v>3143</v>
      </c>
      <c r="G106" s="317" t="s">
        <v>630</v>
      </c>
      <c r="H106" s="317" t="s">
        <v>279</v>
      </c>
      <c r="I106" s="494">
        <v>32196</v>
      </c>
      <c r="J106" s="489">
        <v>7388</v>
      </c>
      <c r="K106" s="489">
        <v>15600</v>
      </c>
      <c r="L106" s="489">
        <v>7770</v>
      </c>
      <c r="M106" s="489">
        <v>148</v>
      </c>
      <c r="N106" s="489">
        <v>1290</v>
      </c>
      <c r="O106" s="490">
        <v>0.03</v>
      </c>
      <c r="P106" s="491">
        <v>0</v>
      </c>
      <c r="Q106" s="658">
        <v>0.03</v>
      </c>
      <c r="R106" s="501">
        <f t="shared" si="98"/>
        <v>0</v>
      </c>
      <c r="S106" s="492">
        <v>0</v>
      </c>
      <c r="T106" s="492">
        <v>0</v>
      </c>
      <c r="U106" s="492">
        <v>0</v>
      </c>
      <c r="V106" s="492">
        <f t="shared" si="99"/>
        <v>0</v>
      </c>
      <c r="W106" s="688">
        <v>0</v>
      </c>
      <c r="X106" s="492">
        <v>0</v>
      </c>
      <c r="Y106" s="492">
        <v>0</v>
      </c>
      <c r="Z106" s="492">
        <f t="shared" si="146"/>
        <v>0</v>
      </c>
      <c r="AA106" s="492">
        <f t="shared" si="147"/>
        <v>0</v>
      </c>
      <c r="AB106" s="74">
        <f t="shared" si="148"/>
        <v>0</v>
      </c>
      <c r="AC106" s="74">
        <f t="shared" si="149"/>
        <v>0</v>
      </c>
      <c r="AD106" s="492">
        <v>0</v>
      </c>
      <c r="AE106" s="492">
        <v>0</v>
      </c>
      <c r="AF106" s="492">
        <f t="shared" si="100"/>
        <v>0</v>
      </c>
      <c r="AG106" s="492">
        <f t="shared" si="101"/>
        <v>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150"/>
        <v>0</v>
      </c>
      <c r="AP106" s="493">
        <f t="shared" si="151"/>
        <v>0</v>
      </c>
      <c r="AQ106" s="495">
        <f t="shared" si="102"/>
        <v>0</v>
      </c>
      <c r="AR106" s="501">
        <f t="shared" si="152"/>
        <v>32196</v>
      </c>
      <c r="AS106" s="492">
        <f t="shared" si="153"/>
        <v>7388</v>
      </c>
      <c r="AT106" s="492">
        <f t="shared" si="154"/>
        <v>15600</v>
      </c>
      <c r="AU106" s="492">
        <f t="shared" si="155"/>
        <v>7770</v>
      </c>
      <c r="AV106" s="492">
        <f t="shared" si="155"/>
        <v>148</v>
      </c>
      <c r="AW106" s="492">
        <f t="shared" si="156"/>
        <v>1290</v>
      </c>
      <c r="AX106" s="493">
        <f t="shared" si="157"/>
        <v>0.03</v>
      </c>
      <c r="AY106" s="493">
        <f t="shared" si="158"/>
        <v>0</v>
      </c>
      <c r="AZ106" s="495">
        <f t="shared" si="158"/>
        <v>0.03</v>
      </c>
    </row>
    <row r="107" spans="1:52" ht="12.95" customHeight="1" x14ac:dyDescent="0.25">
      <c r="A107" s="306">
        <v>18</v>
      </c>
      <c r="B107" s="308">
        <v>4434</v>
      </c>
      <c r="C107" s="308">
        <v>650025768</v>
      </c>
      <c r="D107" s="308">
        <v>72744481</v>
      </c>
      <c r="E107" s="327" t="s">
        <v>365</v>
      </c>
      <c r="F107" s="328"/>
      <c r="G107" s="329"/>
      <c r="H107" s="329"/>
      <c r="I107" s="585">
        <v>22036135</v>
      </c>
      <c r="J107" s="582">
        <v>15865098</v>
      </c>
      <c r="K107" s="582">
        <v>155350</v>
      </c>
      <c r="L107" s="582">
        <v>5414911</v>
      </c>
      <c r="M107" s="582">
        <v>317302</v>
      </c>
      <c r="N107" s="582">
        <v>283474</v>
      </c>
      <c r="O107" s="583">
        <v>34.572000000000003</v>
      </c>
      <c r="P107" s="583">
        <v>24.64</v>
      </c>
      <c r="Q107" s="323">
        <v>9.9320000000000004</v>
      </c>
      <c r="R107" s="589">
        <f t="shared" ref="R107:AZ107" si="159">SUM(R101:R106)</f>
        <v>0</v>
      </c>
      <c r="S107" s="582">
        <f t="shared" si="159"/>
        <v>0</v>
      </c>
      <c r="T107" s="582">
        <f t="shared" si="159"/>
        <v>0</v>
      </c>
      <c r="U107" s="582">
        <f t="shared" si="159"/>
        <v>0</v>
      </c>
      <c r="V107" s="582">
        <f t="shared" si="159"/>
        <v>0</v>
      </c>
      <c r="W107" s="582">
        <f t="shared" si="159"/>
        <v>0</v>
      </c>
      <c r="X107" s="582">
        <f t="shared" si="159"/>
        <v>0</v>
      </c>
      <c r="Y107" s="582">
        <f t="shared" si="159"/>
        <v>0</v>
      </c>
      <c r="Z107" s="582">
        <f t="shared" si="159"/>
        <v>0</v>
      </c>
      <c r="AA107" s="582">
        <f t="shared" si="159"/>
        <v>0</v>
      </c>
      <c r="AB107" s="582">
        <f t="shared" si="159"/>
        <v>0</v>
      </c>
      <c r="AC107" s="582">
        <f t="shared" si="159"/>
        <v>0</v>
      </c>
      <c r="AD107" s="582">
        <f t="shared" si="159"/>
        <v>0</v>
      </c>
      <c r="AE107" s="582">
        <f t="shared" si="159"/>
        <v>0</v>
      </c>
      <c r="AF107" s="582">
        <f t="shared" si="159"/>
        <v>0</v>
      </c>
      <c r="AG107" s="582">
        <f t="shared" si="159"/>
        <v>0</v>
      </c>
      <c r="AH107" s="583">
        <f t="shared" si="159"/>
        <v>0</v>
      </c>
      <c r="AI107" s="583">
        <f t="shared" si="159"/>
        <v>0</v>
      </c>
      <c r="AJ107" s="583">
        <f t="shared" si="159"/>
        <v>0</v>
      </c>
      <c r="AK107" s="583">
        <f t="shared" si="159"/>
        <v>0</v>
      </c>
      <c r="AL107" s="583">
        <f t="shared" si="159"/>
        <v>0</v>
      </c>
      <c r="AM107" s="583">
        <f t="shared" si="159"/>
        <v>0</v>
      </c>
      <c r="AN107" s="583">
        <f t="shared" si="159"/>
        <v>0</v>
      </c>
      <c r="AO107" s="583">
        <f t="shared" si="159"/>
        <v>0</v>
      </c>
      <c r="AP107" s="583">
        <f t="shared" si="159"/>
        <v>0</v>
      </c>
      <c r="AQ107" s="323">
        <f t="shared" si="159"/>
        <v>0</v>
      </c>
      <c r="AR107" s="589">
        <f t="shared" si="159"/>
        <v>22036135</v>
      </c>
      <c r="AS107" s="582">
        <f t="shared" si="159"/>
        <v>15865098</v>
      </c>
      <c r="AT107" s="582">
        <f t="shared" si="159"/>
        <v>155350</v>
      </c>
      <c r="AU107" s="582">
        <f t="shared" si="159"/>
        <v>5414911</v>
      </c>
      <c r="AV107" s="582">
        <f t="shared" si="159"/>
        <v>317302</v>
      </c>
      <c r="AW107" s="582">
        <f t="shared" si="159"/>
        <v>283474</v>
      </c>
      <c r="AX107" s="583">
        <f t="shared" si="159"/>
        <v>34.572000000000003</v>
      </c>
      <c r="AY107" s="583">
        <f t="shared" si="159"/>
        <v>24.64</v>
      </c>
      <c r="AZ107" s="323">
        <f t="shared" si="159"/>
        <v>9.9320000000000004</v>
      </c>
    </row>
    <row r="108" spans="1:52" ht="12.95" customHeight="1" x14ac:dyDescent="0.25">
      <c r="A108" s="313">
        <v>19</v>
      </c>
      <c r="B108" s="314">
        <v>4441</v>
      </c>
      <c r="C108" s="314">
        <v>600074668</v>
      </c>
      <c r="D108" s="314">
        <v>46750495</v>
      </c>
      <c r="E108" s="330" t="s">
        <v>366</v>
      </c>
      <c r="F108" s="331">
        <v>3111</v>
      </c>
      <c r="G108" s="317" t="s">
        <v>326</v>
      </c>
      <c r="H108" s="317" t="s">
        <v>278</v>
      </c>
      <c r="I108" s="494">
        <v>3987933</v>
      </c>
      <c r="J108" s="489">
        <v>2917072</v>
      </c>
      <c r="K108" s="489">
        <v>0</v>
      </c>
      <c r="L108" s="489">
        <v>985970</v>
      </c>
      <c r="M108" s="489">
        <v>58341</v>
      </c>
      <c r="N108" s="489">
        <v>26550</v>
      </c>
      <c r="O108" s="490">
        <v>6.8666999999999998</v>
      </c>
      <c r="P108" s="491">
        <v>5.4839000000000002</v>
      </c>
      <c r="Q108" s="658">
        <v>1.3828</v>
      </c>
      <c r="R108" s="501">
        <f t="shared" si="98"/>
        <v>0</v>
      </c>
      <c r="S108" s="492">
        <v>0</v>
      </c>
      <c r="T108" s="492">
        <v>0</v>
      </c>
      <c r="U108" s="492">
        <v>0</v>
      </c>
      <c r="V108" s="492">
        <f t="shared" si="99"/>
        <v>0</v>
      </c>
      <c r="W108" s="492">
        <v>0</v>
      </c>
      <c r="X108" s="492">
        <v>0</v>
      </c>
      <c r="Y108" s="492">
        <v>0</v>
      </c>
      <c r="Z108" s="492">
        <f t="shared" ref="Z108:Z113" si="160">SUM(W108:Y108)</f>
        <v>0</v>
      </c>
      <c r="AA108" s="492">
        <f t="shared" ref="AA108:AA113" si="161">V108+Z108</f>
        <v>0</v>
      </c>
      <c r="AB108" s="74">
        <f t="shared" ref="AB108:AB113" si="162">ROUND((V108+W108+X108)*33.8%,0)</f>
        <v>0</v>
      </c>
      <c r="AC108" s="74">
        <f t="shared" ref="AC108:AC113" si="163">ROUND(V108*2%,0)</f>
        <v>0</v>
      </c>
      <c r="AD108" s="492">
        <v>0</v>
      </c>
      <c r="AE108" s="492">
        <v>0</v>
      </c>
      <c r="AF108" s="492">
        <f t="shared" si="100"/>
        <v>0</v>
      </c>
      <c r="AG108" s="492">
        <f t="shared" si="101"/>
        <v>0</v>
      </c>
      <c r="AH108" s="493">
        <v>0</v>
      </c>
      <c r="AI108" s="493">
        <v>0</v>
      </c>
      <c r="AJ108" s="493">
        <v>0</v>
      </c>
      <c r="AK108" s="493">
        <v>0</v>
      </c>
      <c r="AL108" s="493">
        <v>0</v>
      </c>
      <c r="AM108" s="493">
        <v>0</v>
      </c>
      <c r="AN108" s="493">
        <v>0</v>
      </c>
      <c r="AO108" s="493">
        <f t="shared" ref="AO108:AO113" si="164">AH108+AJ108+AK108+AM108</f>
        <v>0</v>
      </c>
      <c r="AP108" s="493">
        <f t="shared" ref="AP108:AP113" si="165">AI108+AN108+AL108</f>
        <v>0</v>
      </c>
      <c r="AQ108" s="495">
        <f t="shared" si="102"/>
        <v>0</v>
      </c>
      <c r="AR108" s="501">
        <f t="shared" ref="AR108:AR113" si="166">I108+AG108</f>
        <v>3987933</v>
      </c>
      <c r="AS108" s="492">
        <f t="shared" ref="AS108:AS113" si="167">J108+V108</f>
        <v>2917072</v>
      </c>
      <c r="AT108" s="492">
        <f t="shared" ref="AT108:AT113" si="168">K108+Z108</f>
        <v>0</v>
      </c>
      <c r="AU108" s="492">
        <f t="shared" ref="AU108:AV113" si="169">L108+AB108</f>
        <v>985970</v>
      </c>
      <c r="AV108" s="492">
        <f t="shared" si="169"/>
        <v>58341</v>
      </c>
      <c r="AW108" s="492">
        <f t="shared" ref="AW108:AW113" si="170">N108+AF108</f>
        <v>26550</v>
      </c>
      <c r="AX108" s="493">
        <f t="shared" ref="AX108:AX113" si="171">O108+AQ108</f>
        <v>6.8666999999999998</v>
      </c>
      <c r="AY108" s="493">
        <f t="shared" ref="AY108:AZ113" si="172">P108+AO108</f>
        <v>5.4839000000000002</v>
      </c>
      <c r="AZ108" s="495">
        <f t="shared" si="172"/>
        <v>1.3828</v>
      </c>
    </row>
    <row r="109" spans="1:52" ht="12.95" customHeight="1" x14ac:dyDescent="0.25">
      <c r="A109" s="313">
        <v>19</v>
      </c>
      <c r="B109" s="314">
        <v>4441</v>
      </c>
      <c r="C109" s="314">
        <v>600074668</v>
      </c>
      <c r="D109" s="314">
        <v>46750495</v>
      </c>
      <c r="E109" s="330" t="s">
        <v>366</v>
      </c>
      <c r="F109" s="331">
        <v>3117</v>
      </c>
      <c r="G109" s="317" t="s">
        <v>330</v>
      </c>
      <c r="H109" s="317" t="s">
        <v>278</v>
      </c>
      <c r="I109" s="494">
        <v>4372340</v>
      </c>
      <c r="J109" s="489">
        <v>3110855</v>
      </c>
      <c r="K109" s="489">
        <v>40170</v>
      </c>
      <c r="L109" s="489">
        <v>1065047</v>
      </c>
      <c r="M109" s="489">
        <v>62218</v>
      </c>
      <c r="N109" s="489">
        <v>94050</v>
      </c>
      <c r="O109" s="490">
        <v>6.2082000000000006</v>
      </c>
      <c r="P109" s="491">
        <v>4.2072000000000003</v>
      </c>
      <c r="Q109" s="658">
        <v>2.0010000000000003</v>
      </c>
      <c r="R109" s="501">
        <f t="shared" si="98"/>
        <v>0</v>
      </c>
      <c r="S109" s="492">
        <v>0</v>
      </c>
      <c r="T109" s="492">
        <v>0</v>
      </c>
      <c r="U109" s="492">
        <v>0</v>
      </c>
      <c r="V109" s="492">
        <f t="shared" si="99"/>
        <v>0</v>
      </c>
      <c r="W109" s="492">
        <v>0</v>
      </c>
      <c r="X109" s="492">
        <v>0</v>
      </c>
      <c r="Y109" s="492">
        <v>0</v>
      </c>
      <c r="Z109" s="492">
        <f t="shared" si="160"/>
        <v>0</v>
      </c>
      <c r="AA109" s="492">
        <f t="shared" si="161"/>
        <v>0</v>
      </c>
      <c r="AB109" s="74">
        <f t="shared" si="162"/>
        <v>0</v>
      </c>
      <c r="AC109" s="74">
        <f t="shared" si="163"/>
        <v>0</v>
      </c>
      <c r="AD109" s="492">
        <v>0</v>
      </c>
      <c r="AE109" s="492">
        <v>0</v>
      </c>
      <c r="AF109" s="492">
        <f t="shared" si="100"/>
        <v>0</v>
      </c>
      <c r="AG109" s="492">
        <f t="shared" si="101"/>
        <v>0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 t="shared" si="164"/>
        <v>0</v>
      </c>
      <c r="AP109" s="493">
        <f t="shared" si="165"/>
        <v>0</v>
      </c>
      <c r="AQ109" s="495">
        <f t="shared" si="102"/>
        <v>0</v>
      </c>
      <c r="AR109" s="501">
        <f t="shared" si="166"/>
        <v>4372340</v>
      </c>
      <c r="AS109" s="492">
        <f t="shared" si="167"/>
        <v>3110855</v>
      </c>
      <c r="AT109" s="492">
        <f t="shared" si="168"/>
        <v>40170</v>
      </c>
      <c r="AU109" s="492">
        <f t="shared" si="169"/>
        <v>1065047</v>
      </c>
      <c r="AV109" s="492">
        <f t="shared" si="169"/>
        <v>62218</v>
      </c>
      <c r="AW109" s="492">
        <f t="shared" si="170"/>
        <v>94050</v>
      </c>
      <c r="AX109" s="493">
        <f t="shared" si="171"/>
        <v>6.2082000000000006</v>
      </c>
      <c r="AY109" s="493">
        <f t="shared" si="172"/>
        <v>4.2072000000000003</v>
      </c>
      <c r="AZ109" s="495">
        <f t="shared" si="172"/>
        <v>2.0010000000000003</v>
      </c>
    </row>
    <row r="110" spans="1:52" ht="12.95" customHeight="1" x14ac:dyDescent="0.25">
      <c r="A110" s="313">
        <v>19</v>
      </c>
      <c r="B110" s="314">
        <v>4441</v>
      </c>
      <c r="C110" s="314">
        <v>600074668</v>
      </c>
      <c r="D110" s="314">
        <v>46750495</v>
      </c>
      <c r="E110" s="330" t="s">
        <v>366</v>
      </c>
      <c r="F110" s="331">
        <v>3117</v>
      </c>
      <c r="G110" s="317" t="s">
        <v>320</v>
      </c>
      <c r="H110" s="317" t="s">
        <v>279</v>
      </c>
      <c r="I110" s="494">
        <v>632583</v>
      </c>
      <c r="J110" s="489">
        <v>465820</v>
      </c>
      <c r="K110" s="489">
        <v>0</v>
      </c>
      <c r="L110" s="489">
        <v>157447</v>
      </c>
      <c r="M110" s="489">
        <v>9316</v>
      </c>
      <c r="N110" s="489">
        <v>0</v>
      </c>
      <c r="O110" s="490">
        <v>1.33</v>
      </c>
      <c r="P110" s="491">
        <v>1.33</v>
      </c>
      <c r="Q110" s="658">
        <v>0</v>
      </c>
      <c r="R110" s="501">
        <f t="shared" si="98"/>
        <v>0</v>
      </c>
      <c r="S110" s="492">
        <v>0</v>
      </c>
      <c r="T110" s="492">
        <v>0</v>
      </c>
      <c r="U110" s="492">
        <v>0</v>
      </c>
      <c r="V110" s="492">
        <f t="shared" si="99"/>
        <v>0</v>
      </c>
      <c r="W110" s="492">
        <v>0</v>
      </c>
      <c r="X110" s="492">
        <v>0</v>
      </c>
      <c r="Y110" s="492">
        <v>0</v>
      </c>
      <c r="Z110" s="492">
        <f t="shared" si="160"/>
        <v>0</v>
      </c>
      <c r="AA110" s="492">
        <f t="shared" si="161"/>
        <v>0</v>
      </c>
      <c r="AB110" s="74">
        <f t="shared" si="162"/>
        <v>0</v>
      </c>
      <c r="AC110" s="74">
        <f t="shared" si="163"/>
        <v>0</v>
      </c>
      <c r="AD110" s="492">
        <v>0</v>
      </c>
      <c r="AE110" s="492">
        <v>0</v>
      </c>
      <c r="AF110" s="492">
        <f t="shared" si="100"/>
        <v>0</v>
      </c>
      <c r="AG110" s="492">
        <f t="shared" si="101"/>
        <v>0</v>
      </c>
      <c r="AH110" s="493">
        <v>0</v>
      </c>
      <c r="AI110" s="493">
        <v>0</v>
      </c>
      <c r="AJ110" s="493">
        <v>0</v>
      </c>
      <c r="AK110" s="493">
        <v>0</v>
      </c>
      <c r="AL110" s="493">
        <v>0</v>
      </c>
      <c r="AM110" s="493">
        <v>0</v>
      </c>
      <c r="AN110" s="493">
        <v>0</v>
      </c>
      <c r="AO110" s="493">
        <f t="shared" si="164"/>
        <v>0</v>
      </c>
      <c r="AP110" s="493">
        <f t="shared" si="165"/>
        <v>0</v>
      </c>
      <c r="AQ110" s="495">
        <f t="shared" si="102"/>
        <v>0</v>
      </c>
      <c r="AR110" s="501">
        <f t="shared" si="166"/>
        <v>632583</v>
      </c>
      <c r="AS110" s="492">
        <f t="shared" si="167"/>
        <v>465820</v>
      </c>
      <c r="AT110" s="492">
        <f t="shared" si="168"/>
        <v>0</v>
      </c>
      <c r="AU110" s="492">
        <f t="shared" si="169"/>
        <v>157447</v>
      </c>
      <c r="AV110" s="492">
        <f t="shared" si="169"/>
        <v>9316</v>
      </c>
      <c r="AW110" s="492">
        <f t="shared" si="170"/>
        <v>0</v>
      </c>
      <c r="AX110" s="493">
        <f t="shared" si="171"/>
        <v>1.33</v>
      </c>
      <c r="AY110" s="493">
        <f t="shared" si="172"/>
        <v>1.33</v>
      </c>
      <c r="AZ110" s="495">
        <f t="shared" si="172"/>
        <v>0</v>
      </c>
    </row>
    <row r="111" spans="1:52" ht="12.95" customHeight="1" x14ac:dyDescent="0.25">
      <c r="A111" s="313">
        <v>19</v>
      </c>
      <c r="B111" s="314">
        <v>4441</v>
      </c>
      <c r="C111" s="314">
        <v>600074668</v>
      </c>
      <c r="D111" s="314">
        <v>46750495</v>
      </c>
      <c r="E111" s="330" t="s">
        <v>366</v>
      </c>
      <c r="F111" s="331">
        <v>3141</v>
      </c>
      <c r="G111" s="317" t="s">
        <v>316</v>
      </c>
      <c r="H111" s="317" t="s">
        <v>279</v>
      </c>
      <c r="I111" s="494">
        <v>1286892</v>
      </c>
      <c r="J111" s="489">
        <v>943025</v>
      </c>
      <c r="K111" s="489">
        <v>0</v>
      </c>
      <c r="L111" s="489">
        <v>318742</v>
      </c>
      <c r="M111" s="489">
        <v>18861</v>
      </c>
      <c r="N111" s="489">
        <v>6264</v>
      </c>
      <c r="O111" s="490">
        <v>2.97</v>
      </c>
      <c r="P111" s="491">
        <v>0</v>
      </c>
      <c r="Q111" s="658">
        <v>2.97</v>
      </c>
      <c r="R111" s="501">
        <f t="shared" si="98"/>
        <v>0</v>
      </c>
      <c r="S111" s="492">
        <v>0</v>
      </c>
      <c r="T111" s="492">
        <v>0</v>
      </c>
      <c r="U111" s="492">
        <v>0</v>
      </c>
      <c r="V111" s="492">
        <f t="shared" si="99"/>
        <v>0</v>
      </c>
      <c r="W111" s="492">
        <v>0</v>
      </c>
      <c r="X111" s="492">
        <v>0</v>
      </c>
      <c r="Y111" s="492">
        <v>0</v>
      </c>
      <c r="Z111" s="492">
        <f t="shared" si="160"/>
        <v>0</v>
      </c>
      <c r="AA111" s="492">
        <f t="shared" si="161"/>
        <v>0</v>
      </c>
      <c r="AB111" s="74">
        <f t="shared" si="162"/>
        <v>0</v>
      </c>
      <c r="AC111" s="74">
        <f t="shared" si="163"/>
        <v>0</v>
      </c>
      <c r="AD111" s="492">
        <v>0</v>
      </c>
      <c r="AE111" s="492">
        <v>0</v>
      </c>
      <c r="AF111" s="492">
        <f t="shared" si="100"/>
        <v>0</v>
      </c>
      <c r="AG111" s="492">
        <f t="shared" si="101"/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si="164"/>
        <v>0</v>
      </c>
      <c r="AP111" s="493">
        <f t="shared" si="165"/>
        <v>0</v>
      </c>
      <c r="AQ111" s="495">
        <f t="shared" si="102"/>
        <v>0</v>
      </c>
      <c r="AR111" s="501">
        <f t="shared" si="166"/>
        <v>1286892</v>
      </c>
      <c r="AS111" s="492">
        <f t="shared" si="167"/>
        <v>943025</v>
      </c>
      <c r="AT111" s="492">
        <f t="shared" si="168"/>
        <v>0</v>
      </c>
      <c r="AU111" s="492">
        <f t="shared" si="169"/>
        <v>318742</v>
      </c>
      <c r="AV111" s="492">
        <f t="shared" si="169"/>
        <v>18861</v>
      </c>
      <c r="AW111" s="492">
        <f t="shared" si="170"/>
        <v>6264</v>
      </c>
      <c r="AX111" s="493">
        <f t="shared" si="171"/>
        <v>2.97</v>
      </c>
      <c r="AY111" s="493">
        <f t="shared" si="172"/>
        <v>0</v>
      </c>
      <c r="AZ111" s="495">
        <f t="shared" si="172"/>
        <v>2.97</v>
      </c>
    </row>
    <row r="112" spans="1:52" ht="12.95" customHeight="1" x14ac:dyDescent="0.25">
      <c r="A112" s="313">
        <v>19</v>
      </c>
      <c r="B112" s="314">
        <v>4441</v>
      </c>
      <c r="C112" s="314">
        <v>600074668</v>
      </c>
      <c r="D112" s="314">
        <v>46750495</v>
      </c>
      <c r="E112" s="330" t="s">
        <v>366</v>
      </c>
      <c r="F112" s="331">
        <v>3143</v>
      </c>
      <c r="G112" s="317" t="s">
        <v>629</v>
      </c>
      <c r="H112" s="317" t="s">
        <v>278</v>
      </c>
      <c r="I112" s="494">
        <v>738679</v>
      </c>
      <c r="J112" s="489">
        <v>543946</v>
      </c>
      <c r="K112" s="489">
        <v>0</v>
      </c>
      <c r="L112" s="489">
        <v>183854</v>
      </c>
      <c r="M112" s="489">
        <v>10879</v>
      </c>
      <c r="N112" s="489">
        <v>0</v>
      </c>
      <c r="O112" s="490">
        <v>1.0536000000000001</v>
      </c>
      <c r="P112" s="491">
        <v>1.0536000000000001</v>
      </c>
      <c r="Q112" s="658">
        <v>0</v>
      </c>
      <c r="R112" s="501">
        <f t="shared" si="98"/>
        <v>0</v>
      </c>
      <c r="S112" s="492">
        <v>0</v>
      </c>
      <c r="T112" s="492">
        <v>0</v>
      </c>
      <c r="U112" s="492">
        <v>0</v>
      </c>
      <c r="V112" s="492">
        <f t="shared" si="99"/>
        <v>0</v>
      </c>
      <c r="W112" s="492">
        <v>0</v>
      </c>
      <c r="X112" s="492">
        <v>0</v>
      </c>
      <c r="Y112" s="492">
        <v>0</v>
      </c>
      <c r="Z112" s="492">
        <f t="shared" si="160"/>
        <v>0</v>
      </c>
      <c r="AA112" s="492">
        <f t="shared" si="161"/>
        <v>0</v>
      </c>
      <c r="AB112" s="74">
        <f t="shared" si="162"/>
        <v>0</v>
      </c>
      <c r="AC112" s="74">
        <f t="shared" si="163"/>
        <v>0</v>
      </c>
      <c r="AD112" s="492">
        <v>0</v>
      </c>
      <c r="AE112" s="492">
        <v>0</v>
      </c>
      <c r="AF112" s="492">
        <f t="shared" si="100"/>
        <v>0</v>
      </c>
      <c r="AG112" s="492">
        <f t="shared" si="101"/>
        <v>0</v>
      </c>
      <c r="AH112" s="493">
        <v>0</v>
      </c>
      <c r="AI112" s="493">
        <v>0</v>
      </c>
      <c r="AJ112" s="493">
        <v>0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164"/>
        <v>0</v>
      </c>
      <c r="AP112" s="493">
        <f t="shared" si="165"/>
        <v>0</v>
      </c>
      <c r="AQ112" s="495">
        <f t="shared" si="102"/>
        <v>0</v>
      </c>
      <c r="AR112" s="501">
        <f t="shared" si="166"/>
        <v>738679</v>
      </c>
      <c r="AS112" s="492">
        <f t="shared" si="167"/>
        <v>543946</v>
      </c>
      <c r="AT112" s="492">
        <f t="shared" si="168"/>
        <v>0</v>
      </c>
      <c r="AU112" s="492">
        <f t="shared" si="169"/>
        <v>183854</v>
      </c>
      <c r="AV112" s="492">
        <f t="shared" si="169"/>
        <v>10879</v>
      </c>
      <c r="AW112" s="492">
        <f t="shared" si="170"/>
        <v>0</v>
      </c>
      <c r="AX112" s="493">
        <f t="shared" si="171"/>
        <v>1.0536000000000001</v>
      </c>
      <c r="AY112" s="493">
        <f t="shared" si="172"/>
        <v>1.0536000000000001</v>
      </c>
      <c r="AZ112" s="495">
        <f t="shared" si="172"/>
        <v>0</v>
      </c>
    </row>
    <row r="113" spans="1:52" ht="12.95" customHeight="1" x14ac:dyDescent="0.25">
      <c r="A113" s="313">
        <v>19</v>
      </c>
      <c r="B113" s="314">
        <v>4441</v>
      </c>
      <c r="C113" s="314">
        <v>600074668</v>
      </c>
      <c r="D113" s="314">
        <v>46750495</v>
      </c>
      <c r="E113" s="330" t="s">
        <v>366</v>
      </c>
      <c r="F113" s="331">
        <v>3143</v>
      </c>
      <c r="G113" s="317" t="s">
        <v>630</v>
      </c>
      <c r="H113" s="317" t="s">
        <v>279</v>
      </c>
      <c r="I113" s="494">
        <v>22680</v>
      </c>
      <c r="J113" s="489">
        <v>16038</v>
      </c>
      <c r="K113" s="489">
        <v>0</v>
      </c>
      <c r="L113" s="489">
        <v>5421</v>
      </c>
      <c r="M113" s="489">
        <v>321</v>
      </c>
      <c r="N113" s="489">
        <v>900</v>
      </c>
      <c r="O113" s="490">
        <v>0.06</v>
      </c>
      <c r="P113" s="491">
        <v>0</v>
      </c>
      <c r="Q113" s="658">
        <v>0.06</v>
      </c>
      <c r="R113" s="501">
        <f t="shared" si="98"/>
        <v>0</v>
      </c>
      <c r="S113" s="492">
        <v>0</v>
      </c>
      <c r="T113" s="492">
        <v>0</v>
      </c>
      <c r="U113" s="492">
        <v>0</v>
      </c>
      <c r="V113" s="492">
        <f t="shared" si="99"/>
        <v>0</v>
      </c>
      <c r="W113" s="492">
        <v>0</v>
      </c>
      <c r="X113" s="492">
        <v>0</v>
      </c>
      <c r="Y113" s="492">
        <v>0</v>
      </c>
      <c r="Z113" s="492">
        <f t="shared" si="160"/>
        <v>0</v>
      </c>
      <c r="AA113" s="492">
        <f t="shared" si="161"/>
        <v>0</v>
      </c>
      <c r="AB113" s="74">
        <f t="shared" si="162"/>
        <v>0</v>
      </c>
      <c r="AC113" s="74">
        <f t="shared" si="163"/>
        <v>0</v>
      </c>
      <c r="AD113" s="492">
        <v>0</v>
      </c>
      <c r="AE113" s="492">
        <v>0</v>
      </c>
      <c r="AF113" s="492">
        <f t="shared" si="100"/>
        <v>0</v>
      </c>
      <c r="AG113" s="492">
        <f t="shared" si="101"/>
        <v>0</v>
      </c>
      <c r="AH113" s="493">
        <v>0</v>
      </c>
      <c r="AI113" s="493">
        <v>0</v>
      </c>
      <c r="AJ113" s="493">
        <v>0</v>
      </c>
      <c r="AK113" s="493">
        <v>0</v>
      </c>
      <c r="AL113" s="493">
        <v>0</v>
      </c>
      <c r="AM113" s="493">
        <v>0</v>
      </c>
      <c r="AN113" s="493">
        <v>0</v>
      </c>
      <c r="AO113" s="493">
        <f t="shared" si="164"/>
        <v>0</v>
      </c>
      <c r="AP113" s="493">
        <f t="shared" si="165"/>
        <v>0</v>
      </c>
      <c r="AQ113" s="495">
        <f t="shared" si="102"/>
        <v>0</v>
      </c>
      <c r="AR113" s="501">
        <f t="shared" si="166"/>
        <v>22680</v>
      </c>
      <c r="AS113" s="492">
        <f t="shared" si="167"/>
        <v>16038</v>
      </c>
      <c r="AT113" s="492">
        <f t="shared" si="168"/>
        <v>0</v>
      </c>
      <c r="AU113" s="492">
        <f t="shared" si="169"/>
        <v>5421</v>
      </c>
      <c r="AV113" s="492">
        <f t="shared" si="169"/>
        <v>321</v>
      </c>
      <c r="AW113" s="492">
        <f t="shared" si="170"/>
        <v>900</v>
      </c>
      <c r="AX113" s="493">
        <f t="shared" si="171"/>
        <v>0.06</v>
      </c>
      <c r="AY113" s="493">
        <f t="shared" si="172"/>
        <v>0</v>
      </c>
      <c r="AZ113" s="495">
        <f t="shared" si="172"/>
        <v>0.06</v>
      </c>
    </row>
    <row r="114" spans="1:52" ht="12.95" customHeight="1" x14ac:dyDescent="0.25">
      <c r="A114" s="306">
        <v>19</v>
      </c>
      <c r="B114" s="308">
        <v>4441</v>
      </c>
      <c r="C114" s="308">
        <v>600074668</v>
      </c>
      <c r="D114" s="308">
        <v>46750495</v>
      </c>
      <c r="E114" s="327" t="s">
        <v>367</v>
      </c>
      <c r="F114" s="328"/>
      <c r="G114" s="329"/>
      <c r="H114" s="329"/>
      <c r="I114" s="585">
        <v>11041107</v>
      </c>
      <c r="J114" s="582">
        <v>7996756</v>
      </c>
      <c r="K114" s="582">
        <v>40170</v>
      </c>
      <c r="L114" s="582">
        <v>2716481</v>
      </c>
      <c r="M114" s="582">
        <v>159936</v>
      </c>
      <c r="N114" s="582">
        <v>127764</v>
      </c>
      <c r="O114" s="583">
        <v>18.488499999999998</v>
      </c>
      <c r="P114" s="583">
        <v>12.0747</v>
      </c>
      <c r="Q114" s="323">
        <v>6.4138000000000002</v>
      </c>
      <c r="R114" s="589">
        <f t="shared" ref="R114:AZ114" si="173">SUM(R108:R113)</f>
        <v>0</v>
      </c>
      <c r="S114" s="582">
        <f t="shared" si="173"/>
        <v>0</v>
      </c>
      <c r="T114" s="582">
        <f t="shared" si="173"/>
        <v>0</v>
      </c>
      <c r="U114" s="582">
        <f t="shared" si="173"/>
        <v>0</v>
      </c>
      <c r="V114" s="582">
        <f t="shared" si="173"/>
        <v>0</v>
      </c>
      <c r="W114" s="582">
        <f t="shared" si="173"/>
        <v>0</v>
      </c>
      <c r="X114" s="582">
        <f t="shared" si="173"/>
        <v>0</v>
      </c>
      <c r="Y114" s="582">
        <f t="shared" si="173"/>
        <v>0</v>
      </c>
      <c r="Z114" s="582">
        <f t="shared" si="173"/>
        <v>0</v>
      </c>
      <c r="AA114" s="582">
        <f t="shared" si="173"/>
        <v>0</v>
      </c>
      <c r="AB114" s="582">
        <f t="shared" si="173"/>
        <v>0</v>
      </c>
      <c r="AC114" s="582">
        <f t="shared" si="173"/>
        <v>0</v>
      </c>
      <c r="AD114" s="582">
        <f t="shared" si="173"/>
        <v>0</v>
      </c>
      <c r="AE114" s="582">
        <f t="shared" si="173"/>
        <v>0</v>
      </c>
      <c r="AF114" s="582">
        <f t="shared" si="173"/>
        <v>0</v>
      </c>
      <c r="AG114" s="582">
        <f t="shared" si="173"/>
        <v>0</v>
      </c>
      <c r="AH114" s="583">
        <f t="shared" si="173"/>
        <v>0</v>
      </c>
      <c r="AI114" s="583">
        <f t="shared" si="173"/>
        <v>0</v>
      </c>
      <c r="AJ114" s="583">
        <f t="shared" si="173"/>
        <v>0</v>
      </c>
      <c r="AK114" s="583">
        <f t="shared" si="173"/>
        <v>0</v>
      </c>
      <c r="AL114" s="583">
        <f t="shared" si="173"/>
        <v>0</v>
      </c>
      <c r="AM114" s="583">
        <f t="shared" si="173"/>
        <v>0</v>
      </c>
      <c r="AN114" s="583">
        <f t="shared" si="173"/>
        <v>0</v>
      </c>
      <c r="AO114" s="583">
        <f t="shared" si="173"/>
        <v>0</v>
      </c>
      <c r="AP114" s="583">
        <f t="shared" si="173"/>
        <v>0</v>
      </c>
      <c r="AQ114" s="323">
        <f t="shared" si="173"/>
        <v>0</v>
      </c>
      <c r="AR114" s="589">
        <f t="shared" si="173"/>
        <v>11041107</v>
      </c>
      <c r="AS114" s="582">
        <f t="shared" si="173"/>
        <v>7996756</v>
      </c>
      <c r="AT114" s="582">
        <f t="shared" si="173"/>
        <v>40170</v>
      </c>
      <c r="AU114" s="582">
        <f t="shared" si="173"/>
        <v>2716481</v>
      </c>
      <c r="AV114" s="582">
        <f t="shared" si="173"/>
        <v>159936</v>
      </c>
      <c r="AW114" s="582">
        <f t="shared" si="173"/>
        <v>127764</v>
      </c>
      <c r="AX114" s="583">
        <f t="shared" si="173"/>
        <v>18.488499999999998</v>
      </c>
      <c r="AY114" s="583">
        <f t="shared" si="173"/>
        <v>12.0747</v>
      </c>
      <c r="AZ114" s="323">
        <f t="shared" si="173"/>
        <v>6.4138000000000002</v>
      </c>
    </row>
    <row r="115" spans="1:52" ht="12.95" customHeight="1" x14ac:dyDescent="0.25">
      <c r="A115" s="313">
        <v>20</v>
      </c>
      <c r="B115" s="314">
        <v>4428</v>
      </c>
      <c r="C115" s="314">
        <v>600074242</v>
      </c>
      <c r="D115" s="314">
        <v>71010513</v>
      </c>
      <c r="E115" s="330" t="s">
        <v>368</v>
      </c>
      <c r="F115" s="331">
        <v>3111</v>
      </c>
      <c r="G115" s="317" t="s">
        <v>326</v>
      </c>
      <c r="H115" s="317" t="s">
        <v>278</v>
      </c>
      <c r="I115" s="494">
        <v>1749876</v>
      </c>
      <c r="J115" s="489">
        <v>1281278</v>
      </c>
      <c r="K115" s="489">
        <v>0</v>
      </c>
      <c r="L115" s="489">
        <v>433072</v>
      </c>
      <c r="M115" s="489">
        <v>25626</v>
      </c>
      <c r="N115" s="489">
        <v>9900</v>
      </c>
      <c r="O115" s="490">
        <v>2.83</v>
      </c>
      <c r="P115" s="491">
        <v>2</v>
      </c>
      <c r="Q115" s="658">
        <v>0.83</v>
      </c>
      <c r="R115" s="501">
        <f t="shared" si="98"/>
        <v>0</v>
      </c>
      <c r="S115" s="492">
        <v>0</v>
      </c>
      <c r="T115" s="492">
        <v>0</v>
      </c>
      <c r="U115" s="492">
        <v>0</v>
      </c>
      <c r="V115" s="492">
        <f t="shared" si="99"/>
        <v>0</v>
      </c>
      <c r="W115" s="492">
        <v>0</v>
      </c>
      <c r="X115" s="492">
        <v>0</v>
      </c>
      <c r="Y115" s="492">
        <v>0</v>
      </c>
      <c r="Z115" s="492">
        <f>SUM(W115:Y115)</f>
        <v>0</v>
      </c>
      <c r="AA115" s="492">
        <f>V115+Z115</f>
        <v>0</v>
      </c>
      <c r="AB115" s="74">
        <f>ROUND((V115+W115+X115)*33.8%,0)</f>
        <v>0</v>
      </c>
      <c r="AC115" s="74">
        <f>ROUND(V115*2%,0)</f>
        <v>0</v>
      </c>
      <c r="AD115" s="492">
        <v>0</v>
      </c>
      <c r="AE115" s="492">
        <v>0</v>
      </c>
      <c r="AF115" s="492">
        <f t="shared" si="100"/>
        <v>0</v>
      </c>
      <c r="AG115" s="492">
        <f t="shared" si="101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ref="AO115:AO116" si="174">AH115+AJ115+AK115+AM115</f>
        <v>0</v>
      </c>
      <c r="AP115" s="493">
        <f t="shared" ref="AP115:AP116" si="175">AI115+AN115+AL115</f>
        <v>0</v>
      </c>
      <c r="AQ115" s="495">
        <f t="shared" si="102"/>
        <v>0</v>
      </c>
      <c r="AR115" s="501">
        <f>I115+AG115</f>
        <v>1749876</v>
      </c>
      <c r="AS115" s="492">
        <f>J115+V115</f>
        <v>1281278</v>
      </c>
      <c r="AT115" s="492">
        <f t="shared" ref="AT115:AT116" si="176">K115+Z115</f>
        <v>0</v>
      </c>
      <c r="AU115" s="492">
        <f>L115+AB115</f>
        <v>433072</v>
      </c>
      <c r="AV115" s="492">
        <f>M115+AC115</f>
        <v>25626</v>
      </c>
      <c r="AW115" s="492">
        <f>N115+AF115</f>
        <v>9900</v>
      </c>
      <c r="AX115" s="493">
        <f>O115+AQ115</f>
        <v>2.83</v>
      </c>
      <c r="AY115" s="493">
        <f>P115+AO115</f>
        <v>2</v>
      </c>
      <c r="AZ115" s="495">
        <f>Q115+AP115</f>
        <v>0.83</v>
      </c>
    </row>
    <row r="116" spans="1:52" ht="12.95" customHeight="1" x14ac:dyDescent="0.25">
      <c r="A116" s="313">
        <v>20</v>
      </c>
      <c r="B116" s="314">
        <v>4428</v>
      </c>
      <c r="C116" s="314">
        <v>600074242</v>
      </c>
      <c r="D116" s="314">
        <v>71010513</v>
      </c>
      <c r="E116" s="330" t="s">
        <v>368</v>
      </c>
      <c r="F116" s="331">
        <v>3141</v>
      </c>
      <c r="G116" s="332" t="s">
        <v>316</v>
      </c>
      <c r="H116" s="317" t="s">
        <v>279</v>
      </c>
      <c r="I116" s="494">
        <v>705281</v>
      </c>
      <c r="J116" s="489">
        <v>517260</v>
      </c>
      <c r="K116" s="489">
        <v>0</v>
      </c>
      <c r="L116" s="489">
        <v>174834</v>
      </c>
      <c r="M116" s="489">
        <v>10345</v>
      </c>
      <c r="N116" s="489">
        <v>2842</v>
      </c>
      <c r="O116" s="490">
        <v>1.63</v>
      </c>
      <c r="P116" s="491">
        <v>0</v>
      </c>
      <c r="Q116" s="658">
        <v>1.63</v>
      </c>
      <c r="R116" s="501">
        <f t="shared" si="98"/>
        <v>0</v>
      </c>
      <c r="S116" s="492">
        <v>0</v>
      </c>
      <c r="T116" s="492">
        <v>0</v>
      </c>
      <c r="U116" s="492">
        <v>0</v>
      </c>
      <c r="V116" s="492">
        <f t="shared" si="99"/>
        <v>0</v>
      </c>
      <c r="W116" s="492">
        <v>0</v>
      </c>
      <c r="X116" s="492">
        <v>0</v>
      </c>
      <c r="Y116" s="492">
        <v>0</v>
      </c>
      <c r="Z116" s="492">
        <f>SUM(W116:Y116)</f>
        <v>0</v>
      </c>
      <c r="AA116" s="492">
        <f>V116+Z116</f>
        <v>0</v>
      </c>
      <c r="AB116" s="74">
        <f>ROUND((V116+W116+X116)*33.8%,0)</f>
        <v>0</v>
      </c>
      <c r="AC116" s="74">
        <f>ROUND(V116*2%,0)</f>
        <v>0</v>
      </c>
      <c r="AD116" s="492">
        <v>0</v>
      </c>
      <c r="AE116" s="492">
        <v>0</v>
      </c>
      <c r="AF116" s="492">
        <f t="shared" si="100"/>
        <v>0</v>
      </c>
      <c r="AG116" s="492">
        <f t="shared" si="101"/>
        <v>0</v>
      </c>
      <c r="AH116" s="493">
        <v>0</v>
      </c>
      <c r="AI116" s="493">
        <v>0</v>
      </c>
      <c r="AJ116" s="493">
        <v>0</v>
      </c>
      <c r="AK116" s="493">
        <v>0</v>
      </c>
      <c r="AL116" s="493">
        <v>0</v>
      </c>
      <c r="AM116" s="493">
        <v>0</v>
      </c>
      <c r="AN116" s="493">
        <v>0</v>
      </c>
      <c r="AO116" s="493">
        <f t="shared" si="174"/>
        <v>0</v>
      </c>
      <c r="AP116" s="493">
        <f t="shared" si="175"/>
        <v>0</v>
      </c>
      <c r="AQ116" s="495">
        <f t="shared" si="102"/>
        <v>0</v>
      </c>
      <c r="AR116" s="501">
        <f>I116+AG116</f>
        <v>705281</v>
      </c>
      <c r="AS116" s="492">
        <f>J116+V116</f>
        <v>517260</v>
      </c>
      <c r="AT116" s="492">
        <f t="shared" si="176"/>
        <v>0</v>
      </c>
      <c r="AU116" s="492">
        <f>L116+AB116</f>
        <v>174834</v>
      </c>
      <c r="AV116" s="492">
        <f>M116+AC116</f>
        <v>10345</v>
      </c>
      <c r="AW116" s="492">
        <f>N116+AF116</f>
        <v>2842</v>
      </c>
      <c r="AX116" s="493">
        <f>O116+AQ116</f>
        <v>1.63</v>
      </c>
      <c r="AY116" s="493">
        <f>P116+AO116</f>
        <v>0</v>
      </c>
      <c r="AZ116" s="495">
        <f>Q116+AP116</f>
        <v>1.63</v>
      </c>
    </row>
    <row r="117" spans="1:52" ht="12.95" customHeight="1" x14ac:dyDescent="0.25">
      <c r="A117" s="306">
        <v>20</v>
      </c>
      <c r="B117" s="308">
        <v>4428</v>
      </c>
      <c r="C117" s="308">
        <v>600074242</v>
      </c>
      <c r="D117" s="308">
        <v>71010513</v>
      </c>
      <c r="E117" s="327" t="s">
        <v>369</v>
      </c>
      <c r="F117" s="328"/>
      <c r="G117" s="329"/>
      <c r="H117" s="329"/>
      <c r="I117" s="585">
        <v>2455157</v>
      </c>
      <c r="J117" s="582">
        <v>1798538</v>
      </c>
      <c r="K117" s="582">
        <v>0</v>
      </c>
      <c r="L117" s="582">
        <v>607906</v>
      </c>
      <c r="M117" s="582">
        <v>35971</v>
      </c>
      <c r="N117" s="582">
        <v>12742</v>
      </c>
      <c r="O117" s="583">
        <v>4.46</v>
      </c>
      <c r="P117" s="583">
        <v>2</v>
      </c>
      <c r="Q117" s="323">
        <v>2.46</v>
      </c>
      <c r="R117" s="589">
        <f t="shared" ref="R117:AZ117" si="177">SUM(R115:R116)</f>
        <v>0</v>
      </c>
      <c r="S117" s="582">
        <f t="shared" si="177"/>
        <v>0</v>
      </c>
      <c r="T117" s="582">
        <f t="shared" si="177"/>
        <v>0</v>
      </c>
      <c r="U117" s="582">
        <f t="shared" si="177"/>
        <v>0</v>
      </c>
      <c r="V117" s="582">
        <f t="shared" si="177"/>
        <v>0</v>
      </c>
      <c r="W117" s="582">
        <f t="shared" si="177"/>
        <v>0</v>
      </c>
      <c r="X117" s="582">
        <f t="shared" si="177"/>
        <v>0</v>
      </c>
      <c r="Y117" s="582">
        <f t="shared" si="177"/>
        <v>0</v>
      </c>
      <c r="Z117" s="582">
        <f t="shared" si="177"/>
        <v>0</v>
      </c>
      <c r="AA117" s="582">
        <f t="shared" si="177"/>
        <v>0</v>
      </c>
      <c r="AB117" s="582">
        <f t="shared" si="177"/>
        <v>0</v>
      </c>
      <c r="AC117" s="582">
        <f t="shared" si="177"/>
        <v>0</v>
      </c>
      <c r="AD117" s="582">
        <f t="shared" si="177"/>
        <v>0</v>
      </c>
      <c r="AE117" s="582">
        <f t="shared" si="177"/>
        <v>0</v>
      </c>
      <c r="AF117" s="582">
        <f t="shared" si="177"/>
        <v>0</v>
      </c>
      <c r="AG117" s="582">
        <f t="shared" si="177"/>
        <v>0</v>
      </c>
      <c r="AH117" s="583">
        <f t="shared" si="177"/>
        <v>0</v>
      </c>
      <c r="AI117" s="583">
        <f t="shared" si="177"/>
        <v>0</v>
      </c>
      <c r="AJ117" s="583">
        <f t="shared" si="177"/>
        <v>0</v>
      </c>
      <c r="AK117" s="583">
        <f t="shared" si="177"/>
        <v>0</v>
      </c>
      <c r="AL117" s="583">
        <f t="shared" si="177"/>
        <v>0</v>
      </c>
      <c r="AM117" s="583">
        <f t="shared" si="177"/>
        <v>0</v>
      </c>
      <c r="AN117" s="583">
        <f t="shared" si="177"/>
        <v>0</v>
      </c>
      <c r="AO117" s="583">
        <f t="shared" si="177"/>
        <v>0</v>
      </c>
      <c r="AP117" s="583">
        <f t="shared" si="177"/>
        <v>0</v>
      </c>
      <c r="AQ117" s="323">
        <f t="shared" si="177"/>
        <v>0</v>
      </c>
      <c r="AR117" s="589">
        <f t="shared" si="177"/>
        <v>2455157</v>
      </c>
      <c r="AS117" s="582">
        <f t="shared" si="177"/>
        <v>1798538</v>
      </c>
      <c r="AT117" s="582">
        <f t="shared" si="177"/>
        <v>0</v>
      </c>
      <c r="AU117" s="582">
        <f t="shared" si="177"/>
        <v>607906</v>
      </c>
      <c r="AV117" s="582">
        <f t="shared" si="177"/>
        <v>35971</v>
      </c>
      <c r="AW117" s="582">
        <f t="shared" si="177"/>
        <v>12742</v>
      </c>
      <c r="AX117" s="583">
        <f t="shared" si="177"/>
        <v>4.46</v>
      </c>
      <c r="AY117" s="583">
        <f t="shared" si="177"/>
        <v>2</v>
      </c>
      <c r="AZ117" s="323">
        <f t="shared" si="177"/>
        <v>2.46</v>
      </c>
    </row>
    <row r="118" spans="1:52" ht="12.95" customHeight="1" x14ac:dyDescent="0.25">
      <c r="A118" s="313">
        <v>21</v>
      </c>
      <c r="B118" s="314">
        <v>4463</v>
      </c>
      <c r="C118" s="314">
        <v>600074684</v>
      </c>
      <c r="D118" s="314">
        <v>71010467</v>
      </c>
      <c r="E118" s="330" t="s">
        <v>370</v>
      </c>
      <c r="F118" s="331">
        <v>3117</v>
      </c>
      <c r="G118" s="332" t="s">
        <v>330</v>
      </c>
      <c r="H118" s="317" t="s">
        <v>278</v>
      </c>
      <c r="I118" s="494">
        <v>2872595</v>
      </c>
      <c r="J118" s="489">
        <v>2081315</v>
      </c>
      <c r="K118" s="489">
        <v>0</v>
      </c>
      <c r="L118" s="489">
        <v>703484</v>
      </c>
      <c r="M118" s="489">
        <v>41626</v>
      </c>
      <c r="N118" s="489">
        <v>46170</v>
      </c>
      <c r="O118" s="490">
        <v>3.5754000000000001</v>
      </c>
      <c r="P118" s="491">
        <v>2.6364000000000001</v>
      </c>
      <c r="Q118" s="658">
        <v>0.93900000000000006</v>
      </c>
      <c r="R118" s="501">
        <f t="shared" si="98"/>
        <v>0</v>
      </c>
      <c r="S118" s="492">
        <v>0</v>
      </c>
      <c r="T118" s="492">
        <v>0</v>
      </c>
      <c r="U118" s="492">
        <v>0</v>
      </c>
      <c r="V118" s="492">
        <f t="shared" si="99"/>
        <v>0</v>
      </c>
      <c r="W118" s="492">
        <v>0</v>
      </c>
      <c r="X118" s="492">
        <v>0</v>
      </c>
      <c r="Y118" s="492">
        <v>0</v>
      </c>
      <c r="Z118" s="492">
        <f>SUM(W118:Y118)</f>
        <v>0</v>
      </c>
      <c r="AA118" s="492">
        <f>V118+Z118</f>
        <v>0</v>
      </c>
      <c r="AB118" s="74">
        <f>ROUND((V118+W118+X118)*33.8%,0)</f>
        <v>0</v>
      </c>
      <c r="AC118" s="74">
        <f>ROUND(V118*2%,0)</f>
        <v>0</v>
      </c>
      <c r="AD118" s="492">
        <v>0</v>
      </c>
      <c r="AE118" s="492">
        <v>0</v>
      </c>
      <c r="AF118" s="492">
        <f t="shared" si="100"/>
        <v>0</v>
      </c>
      <c r="AG118" s="492">
        <f t="shared" si="101"/>
        <v>0</v>
      </c>
      <c r="AH118" s="493">
        <v>0</v>
      </c>
      <c r="AI118" s="493">
        <v>0</v>
      </c>
      <c r="AJ118" s="493">
        <v>0</v>
      </c>
      <c r="AK118" s="493">
        <v>0</v>
      </c>
      <c r="AL118" s="493">
        <v>0</v>
      </c>
      <c r="AM118" s="493">
        <v>0</v>
      </c>
      <c r="AN118" s="493">
        <v>0</v>
      </c>
      <c r="AO118" s="493">
        <f t="shared" ref="AO118:AO121" si="178">AH118+AJ118+AK118+AM118</f>
        <v>0</v>
      </c>
      <c r="AP118" s="493">
        <f t="shared" ref="AP118:AP121" si="179">AI118+AN118+AL118</f>
        <v>0</v>
      </c>
      <c r="AQ118" s="495">
        <f t="shared" si="102"/>
        <v>0</v>
      </c>
      <c r="AR118" s="501">
        <f>I118+AG118</f>
        <v>2872595</v>
      </c>
      <c r="AS118" s="492">
        <f>J118+V118</f>
        <v>2081315</v>
      </c>
      <c r="AT118" s="492">
        <f t="shared" ref="AT118:AT121" si="180">K118+Z118</f>
        <v>0</v>
      </c>
      <c r="AU118" s="492">
        <f t="shared" ref="AU118:AV121" si="181">L118+AB118</f>
        <v>703484</v>
      </c>
      <c r="AV118" s="492">
        <f t="shared" si="181"/>
        <v>41626</v>
      </c>
      <c r="AW118" s="492">
        <f>N118+AF118</f>
        <v>46170</v>
      </c>
      <c r="AX118" s="493">
        <f>O118+AQ118</f>
        <v>3.5754000000000001</v>
      </c>
      <c r="AY118" s="493">
        <f t="shared" ref="AY118:AZ121" si="182">P118+AO118</f>
        <v>2.6364000000000001</v>
      </c>
      <c r="AZ118" s="495">
        <f t="shared" si="182"/>
        <v>0.93900000000000006</v>
      </c>
    </row>
    <row r="119" spans="1:52" ht="12.95" customHeight="1" x14ac:dyDescent="0.25">
      <c r="A119" s="313">
        <v>21</v>
      </c>
      <c r="B119" s="314">
        <v>4463</v>
      </c>
      <c r="C119" s="314">
        <v>600074684</v>
      </c>
      <c r="D119" s="314">
        <v>71010467</v>
      </c>
      <c r="E119" s="330" t="s">
        <v>370</v>
      </c>
      <c r="F119" s="331">
        <v>3117</v>
      </c>
      <c r="G119" s="317" t="s">
        <v>320</v>
      </c>
      <c r="H119" s="317" t="s">
        <v>279</v>
      </c>
      <c r="I119" s="494">
        <v>0</v>
      </c>
      <c r="J119" s="489">
        <v>0</v>
      </c>
      <c r="K119" s="489">
        <v>0</v>
      </c>
      <c r="L119" s="489">
        <v>0</v>
      </c>
      <c r="M119" s="489">
        <v>0</v>
      </c>
      <c r="N119" s="489">
        <v>0</v>
      </c>
      <c r="O119" s="490">
        <v>0</v>
      </c>
      <c r="P119" s="491">
        <v>0</v>
      </c>
      <c r="Q119" s="658">
        <v>0</v>
      </c>
      <c r="R119" s="501">
        <f t="shared" si="98"/>
        <v>0</v>
      </c>
      <c r="S119" s="492">
        <v>0</v>
      </c>
      <c r="T119" s="492">
        <v>0</v>
      </c>
      <c r="U119" s="492">
        <v>0</v>
      </c>
      <c r="V119" s="492">
        <f t="shared" si="99"/>
        <v>0</v>
      </c>
      <c r="W119" s="492">
        <v>0</v>
      </c>
      <c r="X119" s="492">
        <v>0</v>
      </c>
      <c r="Y119" s="492">
        <v>0</v>
      </c>
      <c r="Z119" s="492">
        <f>SUM(W119:Y119)</f>
        <v>0</v>
      </c>
      <c r="AA119" s="492">
        <f>V119+Z119</f>
        <v>0</v>
      </c>
      <c r="AB119" s="74">
        <f>ROUND((V119+W119+X119)*33.8%,0)</f>
        <v>0</v>
      </c>
      <c r="AC119" s="74">
        <f>ROUND(V119*2%,0)</f>
        <v>0</v>
      </c>
      <c r="AD119" s="492">
        <v>0</v>
      </c>
      <c r="AE119" s="492">
        <v>0</v>
      </c>
      <c r="AF119" s="492">
        <f t="shared" si="100"/>
        <v>0</v>
      </c>
      <c r="AG119" s="492">
        <f t="shared" si="101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si="178"/>
        <v>0</v>
      </c>
      <c r="AP119" s="493">
        <f t="shared" si="179"/>
        <v>0</v>
      </c>
      <c r="AQ119" s="495">
        <f t="shared" si="102"/>
        <v>0</v>
      </c>
      <c r="AR119" s="501">
        <f>I119+AG119</f>
        <v>0</v>
      </c>
      <c r="AS119" s="492">
        <f>J119+V119</f>
        <v>0</v>
      </c>
      <c r="AT119" s="492">
        <f t="shared" si="180"/>
        <v>0</v>
      </c>
      <c r="AU119" s="492">
        <f t="shared" si="181"/>
        <v>0</v>
      </c>
      <c r="AV119" s="492">
        <f t="shared" si="181"/>
        <v>0</v>
      </c>
      <c r="AW119" s="492">
        <f>N119+AF119</f>
        <v>0</v>
      </c>
      <c r="AX119" s="493">
        <f>O119+AQ119</f>
        <v>0</v>
      </c>
      <c r="AY119" s="493">
        <f t="shared" si="182"/>
        <v>0</v>
      </c>
      <c r="AZ119" s="495">
        <f t="shared" si="182"/>
        <v>0</v>
      </c>
    </row>
    <row r="120" spans="1:52" ht="12.95" customHeight="1" x14ac:dyDescent="0.25">
      <c r="A120" s="313">
        <v>21</v>
      </c>
      <c r="B120" s="314">
        <v>4463</v>
      </c>
      <c r="C120" s="314">
        <v>600074684</v>
      </c>
      <c r="D120" s="314">
        <v>71010467</v>
      </c>
      <c r="E120" s="330" t="s">
        <v>370</v>
      </c>
      <c r="F120" s="331">
        <v>3143</v>
      </c>
      <c r="G120" s="317" t="s">
        <v>629</v>
      </c>
      <c r="H120" s="317" t="s">
        <v>278</v>
      </c>
      <c r="I120" s="494">
        <v>602112</v>
      </c>
      <c r="J120" s="489">
        <v>443381</v>
      </c>
      <c r="K120" s="489">
        <v>0</v>
      </c>
      <c r="L120" s="489">
        <v>149863</v>
      </c>
      <c r="M120" s="489">
        <v>8868</v>
      </c>
      <c r="N120" s="489">
        <v>0</v>
      </c>
      <c r="O120" s="490">
        <v>0.86</v>
      </c>
      <c r="P120" s="491">
        <v>0.86</v>
      </c>
      <c r="Q120" s="658">
        <v>0</v>
      </c>
      <c r="R120" s="501">
        <f t="shared" si="98"/>
        <v>0</v>
      </c>
      <c r="S120" s="492">
        <v>0</v>
      </c>
      <c r="T120" s="492">
        <v>0</v>
      </c>
      <c r="U120" s="492">
        <v>0</v>
      </c>
      <c r="V120" s="492">
        <f t="shared" si="99"/>
        <v>0</v>
      </c>
      <c r="W120" s="492">
        <v>0</v>
      </c>
      <c r="X120" s="492">
        <v>0</v>
      </c>
      <c r="Y120" s="492">
        <v>0</v>
      </c>
      <c r="Z120" s="492">
        <f>SUM(W120:Y120)</f>
        <v>0</v>
      </c>
      <c r="AA120" s="492">
        <f>V120+Z120</f>
        <v>0</v>
      </c>
      <c r="AB120" s="74">
        <f>ROUND((V120+W120+X120)*33.8%,0)</f>
        <v>0</v>
      </c>
      <c r="AC120" s="74">
        <f>ROUND(V120*2%,0)</f>
        <v>0</v>
      </c>
      <c r="AD120" s="492">
        <v>0</v>
      </c>
      <c r="AE120" s="492">
        <v>0</v>
      </c>
      <c r="AF120" s="492">
        <f t="shared" si="100"/>
        <v>0</v>
      </c>
      <c r="AG120" s="492">
        <f t="shared" si="101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si="178"/>
        <v>0</v>
      </c>
      <c r="AP120" s="493">
        <f t="shared" si="179"/>
        <v>0</v>
      </c>
      <c r="AQ120" s="495">
        <f t="shared" si="102"/>
        <v>0</v>
      </c>
      <c r="AR120" s="501">
        <f>I120+AG120</f>
        <v>602112</v>
      </c>
      <c r="AS120" s="492">
        <f>J120+V120</f>
        <v>443381</v>
      </c>
      <c r="AT120" s="492">
        <f t="shared" si="180"/>
        <v>0</v>
      </c>
      <c r="AU120" s="492">
        <f t="shared" si="181"/>
        <v>149863</v>
      </c>
      <c r="AV120" s="492">
        <f t="shared" si="181"/>
        <v>8868</v>
      </c>
      <c r="AW120" s="492">
        <f>N120+AF120</f>
        <v>0</v>
      </c>
      <c r="AX120" s="493">
        <f>O120+AQ120</f>
        <v>0.86</v>
      </c>
      <c r="AY120" s="493">
        <f t="shared" si="182"/>
        <v>0.86</v>
      </c>
      <c r="AZ120" s="495">
        <f t="shared" si="182"/>
        <v>0</v>
      </c>
    </row>
    <row r="121" spans="1:52" ht="12.95" customHeight="1" x14ac:dyDescent="0.25">
      <c r="A121" s="313">
        <v>21</v>
      </c>
      <c r="B121" s="314">
        <v>4463</v>
      </c>
      <c r="C121" s="314">
        <v>600074684</v>
      </c>
      <c r="D121" s="314">
        <v>71010467</v>
      </c>
      <c r="E121" s="330" t="s">
        <v>370</v>
      </c>
      <c r="F121" s="331">
        <v>3143</v>
      </c>
      <c r="G121" s="317" t="s">
        <v>630</v>
      </c>
      <c r="H121" s="317" t="s">
        <v>279</v>
      </c>
      <c r="I121" s="494">
        <v>18899</v>
      </c>
      <c r="J121" s="489">
        <v>13365</v>
      </c>
      <c r="K121" s="489">
        <v>0</v>
      </c>
      <c r="L121" s="489">
        <v>4517</v>
      </c>
      <c r="M121" s="489">
        <v>267</v>
      </c>
      <c r="N121" s="489">
        <v>750</v>
      </c>
      <c r="O121" s="490">
        <v>0.05</v>
      </c>
      <c r="P121" s="491">
        <v>0</v>
      </c>
      <c r="Q121" s="658">
        <v>0.05</v>
      </c>
      <c r="R121" s="501">
        <f t="shared" si="98"/>
        <v>0</v>
      </c>
      <c r="S121" s="492">
        <v>0</v>
      </c>
      <c r="T121" s="492">
        <v>0</v>
      </c>
      <c r="U121" s="492">
        <v>0</v>
      </c>
      <c r="V121" s="492">
        <f t="shared" si="99"/>
        <v>0</v>
      </c>
      <c r="W121" s="492">
        <v>0</v>
      </c>
      <c r="X121" s="492">
        <v>0</v>
      </c>
      <c r="Y121" s="492">
        <v>0</v>
      </c>
      <c r="Z121" s="492">
        <f>SUM(W121:Y121)</f>
        <v>0</v>
      </c>
      <c r="AA121" s="492">
        <f>V121+Z121</f>
        <v>0</v>
      </c>
      <c r="AB121" s="74">
        <f>ROUND((V121+W121+X121)*33.8%,0)</f>
        <v>0</v>
      </c>
      <c r="AC121" s="74">
        <f>ROUND(V121*2%,0)</f>
        <v>0</v>
      </c>
      <c r="AD121" s="492">
        <v>0</v>
      </c>
      <c r="AE121" s="492">
        <v>0</v>
      </c>
      <c r="AF121" s="492">
        <f t="shared" si="100"/>
        <v>0</v>
      </c>
      <c r="AG121" s="492">
        <f t="shared" si="101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78"/>
        <v>0</v>
      </c>
      <c r="AP121" s="493">
        <f t="shared" si="179"/>
        <v>0</v>
      </c>
      <c r="AQ121" s="495">
        <f t="shared" si="102"/>
        <v>0</v>
      </c>
      <c r="AR121" s="501">
        <f>I121+AG121</f>
        <v>18899</v>
      </c>
      <c r="AS121" s="492">
        <f>J121+V121</f>
        <v>13365</v>
      </c>
      <c r="AT121" s="492">
        <f t="shared" si="180"/>
        <v>0</v>
      </c>
      <c r="AU121" s="492">
        <f t="shared" si="181"/>
        <v>4517</v>
      </c>
      <c r="AV121" s="492">
        <f t="shared" si="181"/>
        <v>267</v>
      </c>
      <c r="AW121" s="492">
        <f>N121+AF121</f>
        <v>750</v>
      </c>
      <c r="AX121" s="493">
        <f>O121+AQ121</f>
        <v>0.05</v>
      </c>
      <c r="AY121" s="493">
        <f t="shared" si="182"/>
        <v>0</v>
      </c>
      <c r="AZ121" s="495">
        <f t="shared" si="182"/>
        <v>0.05</v>
      </c>
    </row>
    <row r="122" spans="1:52" ht="12.95" customHeight="1" thickBot="1" x14ac:dyDescent="0.3">
      <c r="A122" s="333">
        <v>21</v>
      </c>
      <c r="B122" s="334">
        <v>4463</v>
      </c>
      <c r="C122" s="334">
        <v>600074684</v>
      </c>
      <c r="D122" s="334">
        <v>71010467</v>
      </c>
      <c r="E122" s="327" t="s">
        <v>371</v>
      </c>
      <c r="F122" s="328"/>
      <c r="G122" s="329"/>
      <c r="H122" s="329"/>
      <c r="I122" s="694">
        <v>3493606</v>
      </c>
      <c r="J122" s="695">
        <v>2538061</v>
      </c>
      <c r="K122" s="695">
        <v>0</v>
      </c>
      <c r="L122" s="695">
        <v>857864</v>
      </c>
      <c r="M122" s="695">
        <v>50761</v>
      </c>
      <c r="N122" s="695">
        <v>46920</v>
      </c>
      <c r="O122" s="696">
        <v>4.4854000000000003</v>
      </c>
      <c r="P122" s="696">
        <v>3.4964</v>
      </c>
      <c r="Q122" s="697">
        <v>0.9890000000000001</v>
      </c>
      <c r="R122" s="595">
        <f t="shared" ref="R122:AZ122" si="183">SUM(R118:R121)</f>
        <v>0</v>
      </c>
      <c r="S122" s="591">
        <f t="shared" si="183"/>
        <v>0</v>
      </c>
      <c r="T122" s="591">
        <f t="shared" si="183"/>
        <v>0</v>
      </c>
      <c r="U122" s="591">
        <f t="shared" si="183"/>
        <v>0</v>
      </c>
      <c r="V122" s="591">
        <f t="shared" si="183"/>
        <v>0</v>
      </c>
      <c r="W122" s="591">
        <f t="shared" si="183"/>
        <v>0</v>
      </c>
      <c r="X122" s="591">
        <f t="shared" si="183"/>
        <v>0</v>
      </c>
      <c r="Y122" s="591">
        <f t="shared" si="183"/>
        <v>0</v>
      </c>
      <c r="Z122" s="591">
        <f t="shared" si="183"/>
        <v>0</v>
      </c>
      <c r="AA122" s="591">
        <f t="shared" si="183"/>
        <v>0</v>
      </c>
      <c r="AB122" s="591">
        <f t="shared" si="183"/>
        <v>0</v>
      </c>
      <c r="AC122" s="591">
        <f t="shared" si="183"/>
        <v>0</v>
      </c>
      <c r="AD122" s="591">
        <f t="shared" si="183"/>
        <v>0</v>
      </c>
      <c r="AE122" s="591">
        <f t="shared" si="183"/>
        <v>0</v>
      </c>
      <c r="AF122" s="591">
        <f t="shared" si="183"/>
        <v>0</v>
      </c>
      <c r="AG122" s="591">
        <f t="shared" si="183"/>
        <v>0</v>
      </c>
      <c r="AH122" s="592">
        <f t="shared" si="183"/>
        <v>0</v>
      </c>
      <c r="AI122" s="592">
        <f t="shared" si="183"/>
        <v>0</v>
      </c>
      <c r="AJ122" s="592">
        <f t="shared" si="183"/>
        <v>0</v>
      </c>
      <c r="AK122" s="592">
        <f t="shared" si="183"/>
        <v>0</v>
      </c>
      <c r="AL122" s="592">
        <f t="shared" si="183"/>
        <v>0</v>
      </c>
      <c r="AM122" s="592">
        <f t="shared" si="183"/>
        <v>0</v>
      </c>
      <c r="AN122" s="592">
        <f t="shared" si="183"/>
        <v>0</v>
      </c>
      <c r="AO122" s="592">
        <f t="shared" si="183"/>
        <v>0</v>
      </c>
      <c r="AP122" s="592">
        <f t="shared" si="183"/>
        <v>0</v>
      </c>
      <c r="AQ122" s="594">
        <f t="shared" si="183"/>
        <v>0</v>
      </c>
      <c r="AR122" s="595">
        <f t="shared" si="183"/>
        <v>3493606</v>
      </c>
      <c r="AS122" s="591">
        <f t="shared" si="183"/>
        <v>2538061</v>
      </c>
      <c r="AT122" s="591">
        <f t="shared" si="183"/>
        <v>0</v>
      </c>
      <c r="AU122" s="591">
        <f t="shared" si="183"/>
        <v>857864</v>
      </c>
      <c r="AV122" s="591">
        <f t="shared" si="183"/>
        <v>50761</v>
      </c>
      <c r="AW122" s="591">
        <f t="shared" si="183"/>
        <v>46920</v>
      </c>
      <c r="AX122" s="592">
        <f t="shared" si="183"/>
        <v>4.4854000000000003</v>
      </c>
      <c r="AY122" s="592">
        <f t="shared" si="183"/>
        <v>3.4964</v>
      </c>
      <c r="AZ122" s="594">
        <f t="shared" si="183"/>
        <v>0.9890000000000001</v>
      </c>
    </row>
    <row r="123" spans="1:52" ht="14.25" customHeight="1" thickBot="1" x14ac:dyDescent="0.3">
      <c r="A123" s="335"/>
      <c r="B123" s="336"/>
      <c r="C123" s="337"/>
      <c r="D123" s="336"/>
      <c r="E123" s="338" t="s">
        <v>797</v>
      </c>
      <c r="F123" s="337"/>
      <c r="G123" s="339"/>
      <c r="H123" s="340"/>
      <c r="I123" s="690">
        <f t="shared" ref="I123:AZ123" si="184">I122+I117+I114+I107+I100+I93+I86+I79+I72+I65+I58+I56+I50+I46+I44+I42+I36+I30+I24+I18+I13</f>
        <v>339254374</v>
      </c>
      <c r="J123" s="691">
        <f t="shared" si="184"/>
        <v>245361157</v>
      </c>
      <c r="K123" s="691">
        <f t="shared" si="184"/>
        <v>1273435</v>
      </c>
      <c r="L123" s="691">
        <f t="shared" si="184"/>
        <v>83362490</v>
      </c>
      <c r="M123" s="691">
        <f t="shared" si="184"/>
        <v>4907221</v>
      </c>
      <c r="N123" s="691">
        <f t="shared" si="184"/>
        <v>4350071</v>
      </c>
      <c r="O123" s="692">
        <f t="shared" si="184"/>
        <v>516.2174</v>
      </c>
      <c r="P123" s="692">
        <f t="shared" si="184"/>
        <v>364.13749999999993</v>
      </c>
      <c r="Q123" s="693">
        <f t="shared" si="184"/>
        <v>152.07990000000004</v>
      </c>
      <c r="R123" s="596">
        <f t="shared" si="184"/>
        <v>0</v>
      </c>
      <c r="S123" s="597">
        <f t="shared" si="184"/>
        <v>194875</v>
      </c>
      <c r="T123" s="597">
        <f t="shared" si="184"/>
        <v>217129</v>
      </c>
      <c r="U123" s="597">
        <f t="shared" si="184"/>
        <v>411687</v>
      </c>
      <c r="V123" s="597">
        <f t="shared" si="184"/>
        <v>823691</v>
      </c>
      <c r="W123" s="597">
        <f t="shared" si="184"/>
        <v>0</v>
      </c>
      <c r="X123" s="597">
        <f t="shared" si="184"/>
        <v>0</v>
      </c>
      <c r="Y123" s="597">
        <f t="shared" si="184"/>
        <v>0</v>
      </c>
      <c r="Z123" s="597">
        <f t="shared" si="184"/>
        <v>0</v>
      </c>
      <c r="AA123" s="597">
        <f t="shared" si="184"/>
        <v>823691</v>
      </c>
      <c r="AB123" s="597">
        <f t="shared" si="184"/>
        <v>278408</v>
      </c>
      <c r="AC123" s="597">
        <f t="shared" si="184"/>
        <v>16474</v>
      </c>
      <c r="AD123" s="597">
        <f t="shared" si="184"/>
        <v>500</v>
      </c>
      <c r="AE123" s="597">
        <f t="shared" si="184"/>
        <v>61053</v>
      </c>
      <c r="AF123" s="597">
        <f t="shared" si="184"/>
        <v>61553</v>
      </c>
      <c r="AG123" s="597">
        <f t="shared" si="184"/>
        <v>1180126</v>
      </c>
      <c r="AH123" s="598">
        <f t="shared" si="184"/>
        <v>0</v>
      </c>
      <c r="AI123" s="598">
        <f t="shared" si="184"/>
        <v>0</v>
      </c>
      <c r="AJ123" s="598">
        <f t="shared" si="184"/>
        <v>0.57000000000000006</v>
      </c>
      <c r="AK123" s="598">
        <f t="shared" si="184"/>
        <v>0.33</v>
      </c>
      <c r="AL123" s="598">
        <f t="shared" si="184"/>
        <v>0.13</v>
      </c>
      <c r="AM123" s="598">
        <f t="shared" si="184"/>
        <v>1</v>
      </c>
      <c r="AN123" s="598">
        <f t="shared" si="184"/>
        <v>0</v>
      </c>
      <c r="AO123" s="598">
        <f t="shared" si="184"/>
        <v>1.9</v>
      </c>
      <c r="AP123" s="598">
        <f t="shared" si="184"/>
        <v>0.13</v>
      </c>
      <c r="AQ123" s="600">
        <f t="shared" si="184"/>
        <v>2.0299999999999998</v>
      </c>
      <c r="AR123" s="601">
        <f t="shared" si="184"/>
        <v>340434500</v>
      </c>
      <c r="AS123" s="597">
        <f t="shared" si="184"/>
        <v>246184848</v>
      </c>
      <c r="AT123" s="597">
        <f t="shared" si="184"/>
        <v>1273435</v>
      </c>
      <c r="AU123" s="597">
        <f t="shared" si="184"/>
        <v>83640898</v>
      </c>
      <c r="AV123" s="597">
        <f t="shared" si="184"/>
        <v>4923695</v>
      </c>
      <c r="AW123" s="597">
        <f t="shared" si="184"/>
        <v>4411624</v>
      </c>
      <c r="AX123" s="598">
        <f t="shared" si="184"/>
        <v>518.24740000000008</v>
      </c>
      <c r="AY123" s="598">
        <f t="shared" si="184"/>
        <v>366.03750000000002</v>
      </c>
      <c r="AZ123" s="600">
        <f t="shared" si="184"/>
        <v>152.20990000000003</v>
      </c>
    </row>
    <row r="124" spans="1:52" ht="12.75" customHeight="1" x14ac:dyDescent="0.25">
      <c r="B124" s="342"/>
      <c r="D124" s="342"/>
      <c r="E124" s="343"/>
      <c r="I124" s="507">
        <f>SUM(J123:N123)</f>
        <v>339254374</v>
      </c>
      <c r="J124" s="507"/>
      <c r="K124" s="507"/>
      <c r="L124" s="507"/>
      <c r="M124" s="507"/>
      <c r="N124" s="507"/>
      <c r="O124" s="508">
        <f>SUM(P123:Q123)</f>
        <v>516.2174</v>
      </c>
      <c r="P124" s="508"/>
      <c r="Q124" s="508"/>
      <c r="R124" s="507">
        <f>W123</f>
        <v>0</v>
      </c>
      <c r="S124" s="508"/>
      <c r="T124" s="508"/>
      <c r="U124" s="508"/>
      <c r="V124" s="516">
        <f>SUM(R123:U123)</f>
        <v>823691</v>
      </c>
      <c r="W124" s="516">
        <f>R123</f>
        <v>0</v>
      </c>
      <c r="X124" s="517"/>
      <c r="Y124" s="517"/>
      <c r="Z124" s="516">
        <f>SUM(W123:Y123)</f>
        <v>0</v>
      </c>
      <c r="AA124" s="516">
        <f>V123+Z123</f>
        <v>823691</v>
      </c>
      <c r="AB124" s="518"/>
      <c r="AC124" s="518"/>
      <c r="AD124" s="517"/>
      <c r="AE124" s="517"/>
      <c r="AF124" s="516">
        <f>SUM(AD123:AE123)</f>
        <v>61553</v>
      </c>
      <c r="AG124" s="516">
        <f>AA123+AB123+AC123+AF123</f>
        <v>1180126</v>
      </c>
      <c r="AH124" s="519"/>
      <c r="AI124" s="519"/>
      <c r="AJ124" s="519"/>
      <c r="AK124" s="519"/>
      <c r="AL124" s="519"/>
      <c r="AM124" s="519"/>
      <c r="AN124" s="519"/>
      <c r="AO124" s="520">
        <f t="shared" ref="AO124:AO125" si="185">AH124+AJ124+AK124+AM124</f>
        <v>0</v>
      </c>
      <c r="AP124" s="520">
        <f t="shared" ref="AP124:AP125" si="186">AI124+AN124+AL124</f>
        <v>0</v>
      </c>
      <c r="AQ124" s="520">
        <f>SUM(AO123:AP123)</f>
        <v>2.0299999999999998</v>
      </c>
      <c r="AR124" s="507">
        <f>SUM(AS123:AW123)</f>
        <v>340434500</v>
      </c>
      <c r="AS124" s="59"/>
      <c r="AT124" s="59"/>
      <c r="AU124" s="59"/>
      <c r="AV124" s="59"/>
      <c r="AW124" s="59"/>
      <c r="AX124" s="508">
        <f>SUM(AY123:AZ123)</f>
        <v>518.24740000000008</v>
      </c>
      <c r="AY124" s="97"/>
      <c r="AZ124" s="97"/>
    </row>
    <row r="125" spans="1:52" ht="12.75" customHeight="1" thickBot="1" x14ac:dyDescent="0.3">
      <c r="B125" s="342"/>
      <c r="D125" s="342"/>
      <c r="E125" s="283"/>
      <c r="I125" s="95">
        <f>SUM(J126:N126)</f>
        <v>339254374</v>
      </c>
      <c r="J125" s="57"/>
      <c r="K125" s="57"/>
      <c r="L125" s="515"/>
      <c r="M125" s="515"/>
      <c r="N125" s="57"/>
      <c r="O125" s="96">
        <f>SUM(P126:Q126)</f>
        <v>516.2174</v>
      </c>
      <c r="P125" s="187"/>
      <c r="Q125" s="187"/>
      <c r="R125" s="508"/>
      <c r="S125" s="508"/>
      <c r="T125" s="508"/>
      <c r="U125" s="508"/>
      <c r="V125" s="516">
        <f>SUM(R126:U126)</f>
        <v>823691</v>
      </c>
      <c r="W125" s="517"/>
      <c r="X125" s="517"/>
      <c r="Y125" s="517"/>
      <c r="Z125" s="516">
        <f>SUM(W126:Y126)</f>
        <v>0</v>
      </c>
      <c r="AA125" s="516">
        <f>V126+Z126</f>
        <v>823691</v>
      </c>
      <c r="AB125" s="518"/>
      <c r="AC125" s="518"/>
      <c r="AD125" s="517"/>
      <c r="AE125" s="517"/>
      <c r="AF125" s="516">
        <f>SUM(AD126:AE126)</f>
        <v>61553</v>
      </c>
      <c r="AG125" s="516">
        <f>AA126+AB126+AC126+AF126</f>
        <v>1180126</v>
      </c>
      <c r="AH125" s="519"/>
      <c r="AI125" s="519"/>
      <c r="AJ125" s="519"/>
      <c r="AK125" s="519"/>
      <c r="AL125" s="519"/>
      <c r="AM125" s="519"/>
      <c r="AN125" s="519"/>
      <c r="AO125" s="520">
        <f t="shared" si="185"/>
        <v>0</v>
      </c>
      <c r="AP125" s="520">
        <f t="shared" si="186"/>
        <v>0</v>
      </c>
      <c r="AQ125" s="520">
        <f>SUM(AO126:AP126)</f>
        <v>2.0300000000000002</v>
      </c>
      <c r="AR125" s="507">
        <f>SUM(AS126:AW126)</f>
        <v>340434500</v>
      </c>
      <c r="AS125" s="59"/>
      <c r="AT125" s="59"/>
      <c r="AU125" s="59"/>
      <c r="AV125" s="59"/>
      <c r="AW125" s="59"/>
      <c r="AX125" s="508">
        <f>SUM(AY126:AZ126)</f>
        <v>518.24739999999997</v>
      </c>
      <c r="AY125" s="97"/>
      <c r="AZ125" s="97"/>
    </row>
    <row r="126" spans="1:52" s="99" customFormat="1" ht="12.95" customHeight="1" thickBot="1" x14ac:dyDescent="0.3">
      <c r="D126" s="344"/>
      <c r="E126" s="345"/>
      <c r="F126" s="344"/>
      <c r="G126" s="346"/>
      <c r="H126" s="539" t="s">
        <v>0</v>
      </c>
      <c r="I126" s="150">
        <f t="shared" ref="I126:AZ126" si="187">SUM(I127:I136)</f>
        <v>339254374</v>
      </c>
      <c r="J126" s="38">
        <f t="shared" si="187"/>
        <v>245361157</v>
      </c>
      <c r="K126" s="38">
        <f t="shared" si="187"/>
        <v>1273435</v>
      </c>
      <c r="L126" s="38">
        <f t="shared" si="187"/>
        <v>83362490</v>
      </c>
      <c r="M126" s="38">
        <f t="shared" si="187"/>
        <v>4907221</v>
      </c>
      <c r="N126" s="38">
        <f t="shared" si="187"/>
        <v>4350071</v>
      </c>
      <c r="O126" s="39">
        <f t="shared" si="187"/>
        <v>516.2174</v>
      </c>
      <c r="P126" s="39">
        <f t="shared" si="187"/>
        <v>364.13749999999999</v>
      </c>
      <c r="Q126" s="159">
        <f t="shared" si="187"/>
        <v>152.07990000000001</v>
      </c>
      <c r="R126" s="150">
        <f t="shared" si="187"/>
        <v>0</v>
      </c>
      <c r="S126" s="38">
        <f t="shared" si="187"/>
        <v>194875</v>
      </c>
      <c r="T126" s="38">
        <f t="shared" si="187"/>
        <v>217129</v>
      </c>
      <c r="U126" s="38">
        <f t="shared" si="187"/>
        <v>411687</v>
      </c>
      <c r="V126" s="38">
        <f t="shared" si="187"/>
        <v>823691</v>
      </c>
      <c r="W126" s="38">
        <f t="shared" si="187"/>
        <v>0</v>
      </c>
      <c r="X126" s="38">
        <f t="shared" si="187"/>
        <v>0</v>
      </c>
      <c r="Y126" s="38">
        <f t="shared" si="187"/>
        <v>0</v>
      </c>
      <c r="Z126" s="38">
        <f t="shared" si="187"/>
        <v>0</v>
      </c>
      <c r="AA126" s="38">
        <f t="shared" si="187"/>
        <v>823691</v>
      </c>
      <c r="AB126" s="38">
        <f t="shared" si="187"/>
        <v>278408</v>
      </c>
      <c r="AC126" s="38">
        <f t="shared" si="187"/>
        <v>16474</v>
      </c>
      <c r="AD126" s="38">
        <f t="shared" si="187"/>
        <v>500</v>
      </c>
      <c r="AE126" s="38">
        <f t="shared" si="187"/>
        <v>61053</v>
      </c>
      <c r="AF126" s="38">
        <f t="shared" si="187"/>
        <v>61553</v>
      </c>
      <c r="AG126" s="38">
        <f t="shared" si="187"/>
        <v>1180126</v>
      </c>
      <c r="AH126" s="39">
        <f t="shared" si="187"/>
        <v>0</v>
      </c>
      <c r="AI126" s="39">
        <f t="shared" si="187"/>
        <v>0</v>
      </c>
      <c r="AJ126" s="39">
        <f t="shared" si="187"/>
        <v>0.57000000000000006</v>
      </c>
      <c r="AK126" s="39">
        <f t="shared" si="187"/>
        <v>0.33</v>
      </c>
      <c r="AL126" s="39">
        <f t="shared" si="187"/>
        <v>0.13</v>
      </c>
      <c r="AM126" s="39">
        <f t="shared" si="187"/>
        <v>1</v>
      </c>
      <c r="AN126" s="39">
        <f t="shared" si="187"/>
        <v>0</v>
      </c>
      <c r="AO126" s="39">
        <f t="shared" si="187"/>
        <v>1.9000000000000001</v>
      </c>
      <c r="AP126" s="39">
        <f t="shared" si="187"/>
        <v>0.13</v>
      </c>
      <c r="AQ126" s="40">
        <f t="shared" si="187"/>
        <v>2.0300000000000002</v>
      </c>
      <c r="AR126" s="160">
        <f t="shared" si="187"/>
        <v>340434500</v>
      </c>
      <c r="AS126" s="38">
        <f t="shared" si="187"/>
        <v>246184848</v>
      </c>
      <c r="AT126" s="38">
        <f t="shared" si="187"/>
        <v>1273435</v>
      </c>
      <c r="AU126" s="38">
        <f t="shared" si="187"/>
        <v>83640898</v>
      </c>
      <c r="AV126" s="38">
        <f t="shared" si="187"/>
        <v>4923695</v>
      </c>
      <c r="AW126" s="38">
        <f t="shared" si="187"/>
        <v>4411624</v>
      </c>
      <c r="AX126" s="39">
        <f t="shared" si="187"/>
        <v>518.24739999999997</v>
      </c>
      <c r="AY126" s="39">
        <f t="shared" si="187"/>
        <v>366.03750000000002</v>
      </c>
      <c r="AZ126" s="40">
        <f t="shared" si="187"/>
        <v>152.2099</v>
      </c>
    </row>
    <row r="127" spans="1:52" s="99" customFormat="1" ht="12.95" customHeight="1" x14ac:dyDescent="0.25">
      <c r="D127" s="344"/>
      <c r="E127" s="345"/>
      <c r="F127" s="344"/>
      <c r="G127" s="346"/>
      <c r="H127" s="540">
        <v>3111</v>
      </c>
      <c r="I127" s="642">
        <f t="shared" ref="I127:AZ127" si="188">SUMIF($F$12:$F$463,"=3111",I$12:I$463)</f>
        <v>64384464</v>
      </c>
      <c r="J127" s="643">
        <f t="shared" si="188"/>
        <v>47000876</v>
      </c>
      <c r="K127" s="643">
        <f t="shared" si="188"/>
        <v>141910</v>
      </c>
      <c r="L127" s="643">
        <f t="shared" si="188"/>
        <v>15934260</v>
      </c>
      <c r="M127" s="643">
        <f t="shared" si="188"/>
        <v>940018</v>
      </c>
      <c r="N127" s="643">
        <f t="shared" si="188"/>
        <v>367400</v>
      </c>
      <c r="O127" s="648">
        <f t="shared" si="188"/>
        <v>107.45799999999998</v>
      </c>
      <c r="P127" s="648">
        <f t="shared" si="188"/>
        <v>82.578400000000002</v>
      </c>
      <c r="Q127" s="649">
        <f t="shared" si="188"/>
        <v>24.879599999999996</v>
      </c>
      <c r="R127" s="642">
        <f t="shared" si="188"/>
        <v>0</v>
      </c>
      <c r="S127" s="643">
        <f t="shared" si="188"/>
        <v>0</v>
      </c>
      <c r="T127" s="643">
        <f t="shared" si="188"/>
        <v>0</v>
      </c>
      <c r="U127" s="643">
        <f t="shared" si="188"/>
        <v>0</v>
      </c>
      <c r="V127" s="643">
        <f t="shared" si="188"/>
        <v>0</v>
      </c>
      <c r="W127" s="643">
        <f t="shared" si="188"/>
        <v>0</v>
      </c>
      <c r="X127" s="643">
        <f t="shared" si="188"/>
        <v>0</v>
      </c>
      <c r="Y127" s="643">
        <f t="shared" si="188"/>
        <v>0</v>
      </c>
      <c r="Z127" s="643">
        <f t="shared" si="188"/>
        <v>0</v>
      </c>
      <c r="AA127" s="643">
        <f t="shared" si="188"/>
        <v>0</v>
      </c>
      <c r="AB127" s="643">
        <f t="shared" si="188"/>
        <v>0</v>
      </c>
      <c r="AC127" s="643">
        <f t="shared" si="188"/>
        <v>0</v>
      </c>
      <c r="AD127" s="643">
        <f t="shared" si="188"/>
        <v>0</v>
      </c>
      <c r="AE127" s="643">
        <f t="shared" si="188"/>
        <v>0</v>
      </c>
      <c r="AF127" s="643">
        <f t="shared" si="188"/>
        <v>0</v>
      </c>
      <c r="AG127" s="643">
        <f t="shared" si="188"/>
        <v>0</v>
      </c>
      <c r="AH127" s="648">
        <f t="shared" si="188"/>
        <v>0</v>
      </c>
      <c r="AI127" s="648">
        <f t="shared" si="188"/>
        <v>0</v>
      </c>
      <c r="AJ127" s="648">
        <f t="shared" si="188"/>
        <v>0</v>
      </c>
      <c r="AK127" s="648">
        <f t="shared" si="188"/>
        <v>0</v>
      </c>
      <c r="AL127" s="648">
        <f t="shared" si="188"/>
        <v>0</v>
      </c>
      <c r="AM127" s="648">
        <f t="shared" si="188"/>
        <v>0</v>
      </c>
      <c r="AN127" s="648">
        <f t="shared" si="188"/>
        <v>0</v>
      </c>
      <c r="AO127" s="648">
        <f t="shared" si="188"/>
        <v>0</v>
      </c>
      <c r="AP127" s="648">
        <f t="shared" si="188"/>
        <v>0</v>
      </c>
      <c r="AQ127" s="651">
        <f t="shared" si="188"/>
        <v>0</v>
      </c>
      <c r="AR127" s="644">
        <f t="shared" si="188"/>
        <v>64384464</v>
      </c>
      <c r="AS127" s="643">
        <f t="shared" si="188"/>
        <v>47000876</v>
      </c>
      <c r="AT127" s="643">
        <f t="shared" si="188"/>
        <v>141910</v>
      </c>
      <c r="AU127" s="643">
        <f t="shared" si="188"/>
        <v>15934260</v>
      </c>
      <c r="AV127" s="643">
        <f t="shared" si="188"/>
        <v>940018</v>
      </c>
      <c r="AW127" s="643">
        <f t="shared" si="188"/>
        <v>367400</v>
      </c>
      <c r="AX127" s="648">
        <f t="shared" si="188"/>
        <v>107.45799999999998</v>
      </c>
      <c r="AY127" s="648">
        <f t="shared" si="188"/>
        <v>82.578400000000002</v>
      </c>
      <c r="AZ127" s="651">
        <f t="shared" si="188"/>
        <v>24.879599999999996</v>
      </c>
    </row>
    <row r="128" spans="1:52" s="99" customFormat="1" ht="12.95" customHeight="1" x14ac:dyDescent="0.25">
      <c r="D128" s="344"/>
      <c r="E128" s="345"/>
      <c r="F128" s="344"/>
      <c r="G128" s="346"/>
      <c r="H128" s="2">
        <v>3113</v>
      </c>
      <c r="I128" s="178">
        <f t="shared" ref="I128:AZ128" si="189">SUMIF($F$12:$F$463,"=3113",I$12:I$463)</f>
        <v>164692872</v>
      </c>
      <c r="J128" s="17">
        <f t="shared" si="189"/>
        <v>118662125</v>
      </c>
      <c r="K128" s="17">
        <f t="shared" si="189"/>
        <v>343785</v>
      </c>
      <c r="L128" s="17">
        <f t="shared" si="189"/>
        <v>40223999</v>
      </c>
      <c r="M128" s="17">
        <f t="shared" si="189"/>
        <v>2373243</v>
      </c>
      <c r="N128" s="17">
        <f t="shared" si="189"/>
        <v>3089720</v>
      </c>
      <c r="O128" s="14">
        <f t="shared" si="189"/>
        <v>225.9408</v>
      </c>
      <c r="P128" s="14">
        <f t="shared" si="189"/>
        <v>182.87569999999999</v>
      </c>
      <c r="Q128" s="180">
        <f t="shared" si="189"/>
        <v>43.065100000000001</v>
      </c>
      <c r="R128" s="178">
        <f t="shared" si="189"/>
        <v>0</v>
      </c>
      <c r="S128" s="17">
        <f t="shared" si="189"/>
        <v>194875</v>
      </c>
      <c r="T128" s="17">
        <f t="shared" si="189"/>
        <v>0</v>
      </c>
      <c r="U128" s="17">
        <f t="shared" si="189"/>
        <v>0</v>
      </c>
      <c r="V128" s="17">
        <f t="shared" si="189"/>
        <v>194875</v>
      </c>
      <c r="W128" s="17">
        <f t="shared" si="189"/>
        <v>0</v>
      </c>
      <c r="X128" s="17">
        <f t="shared" si="189"/>
        <v>0</v>
      </c>
      <c r="Y128" s="17">
        <f t="shared" si="189"/>
        <v>0</v>
      </c>
      <c r="Z128" s="17">
        <f t="shared" si="189"/>
        <v>0</v>
      </c>
      <c r="AA128" s="17">
        <f t="shared" si="189"/>
        <v>194875</v>
      </c>
      <c r="AB128" s="17">
        <f t="shared" si="189"/>
        <v>65868</v>
      </c>
      <c r="AC128" s="17">
        <f t="shared" si="189"/>
        <v>3897</v>
      </c>
      <c r="AD128" s="17">
        <f t="shared" si="189"/>
        <v>500</v>
      </c>
      <c r="AE128" s="17">
        <f t="shared" si="189"/>
        <v>0</v>
      </c>
      <c r="AF128" s="17">
        <f t="shared" si="189"/>
        <v>500</v>
      </c>
      <c r="AG128" s="17">
        <f t="shared" si="189"/>
        <v>265140</v>
      </c>
      <c r="AH128" s="14">
        <f t="shared" si="189"/>
        <v>0</v>
      </c>
      <c r="AI128" s="14">
        <f t="shared" si="189"/>
        <v>0</v>
      </c>
      <c r="AJ128" s="14">
        <f t="shared" si="189"/>
        <v>0.57000000000000006</v>
      </c>
      <c r="AK128" s="14">
        <f t="shared" si="189"/>
        <v>0</v>
      </c>
      <c r="AL128" s="14">
        <f t="shared" si="189"/>
        <v>0</v>
      </c>
      <c r="AM128" s="14">
        <f t="shared" si="189"/>
        <v>0</v>
      </c>
      <c r="AN128" s="14">
        <f t="shared" si="189"/>
        <v>0</v>
      </c>
      <c r="AO128" s="14">
        <f t="shared" si="189"/>
        <v>0.57000000000000006</v>
      </c>
      <c r="AP128" s="14">
        <f t="shared" si="189"/>
        <v>0</v>
      </c>
      <c r="AQ128" s="18">
        <f t="shared" si="189"/>
        <v>0.57000000000000006</v>
      </c>
      <c r="AR128" s="179">
        <f t="shared" si="189"/>
        <v>164958012</v>
      </c>
      <c r="AS128" s="17">
        <f t="shared" si="189"/>
        <v>118857000</v>
      </c>
      <c r="AT128" s="17">
        <f t="shared" si="189"/>
        <v>343785</v>
      </c>
      <c r="AU128" s="17">
        <f t="shared" si="189"/>
        <v>40289867</v>
      </c>
      <c r="AV128" s="17">
        <f t="shared" si="189"/>
        <v>2377140</v>
      </c>
      <c r="AW128" s="17">
        <f t="shared" si="189"/>
        <v>3090220</v>
      </c>
      <c r="AX128" s="14">
        <f t="shared" si="189"/>
        <v>226.51079999999999</v>
      </c>
      <c r="AY128" s="14">
        <f t="shared" si="189"/>
        <v>183.44570000000002</v>
      </c>
      <c r="AZ128" s="18">
        <f t="shared" si="189"/>
        <v>43.065100000000001</v>
      </c>
    </row>
    <row r="129" spans="4:52" s="99" customFormat="1" ht="12.95" customHeight="1" x14ac:dyDescent="0.25">
      <c r="D129" s="344"/>
      <c r="E129" s="345"/>
      <c r="F129" s="344"/>
      <c r="G129" s="346"/>
      <c r="H129" s="2">
        <v>3114</v>
      </c>
      <c r="I129" s="178">
        <f t="shared" ref="I129:AZ129" si="190">SUMIF($F$12:$F$463,"=3114",I$12:I$463)</f>
        <v>9458318</v>
      </c>
      <c r="J129" s="17">
        <f t="shared" si="190"/>
        <v>6852749</v>
      </c>
      <c r="K129" s="17">
        <f t="shared" si="190"/>
        <v>32500</v>
      </c>
      <c r="L129" s="17">
        <f t="shared" si="190"/>
        <v>2327214</v>
      </c>
      <c r="M129" s="17">
        <f t="shared" si="190"/>
        <v>137055</v>
      </c>
      <c r="N129" s="17">
        <f t="shared" si="190"/>
        <v>108800</v>
      </c>
      <c r="O129" s="14">
        <f t="shared" si="190"/>
        <v>12.698099999999998</v>
      </c>
      <c r="P129" s="14">
        <f t="shared" si="190"/>
        <v>9.3356999999999992</v>
      </c>
      <c r="Q129" s="180">
        <f t="shared" si="190"/>
        <v>3.3624000000000001</v>
      </c>
      <c r="R129" s="178">
        <f t="shared" si="190"/>
        <v>0</v>
      </c>
      <c r="S129" s="17">
        <f t="shared" si="190"/>
        <v>0</v>
      </c>
      <c r="T129" s="17">
        <f t="shared" si="190"/>
        <v>0</v>
      </c>
      <c r="U129" s="17">
        <f t="shared" si="190"/>
        <v>0</v>
      </c>
      <c r="V129" s="17">
        <f t="shared" si="190"/>
        <v>0</v>
      </c>
      <c r="W129" s="17">
        <f t="shared" si="190"/>
        <v>0</v>
      </c>
      <c r="X129" s="17">
        <f t="shared" si="190"/>
        <v>0</v>
      </c>
      <c r="Y129" s="17">
        <f t="shared" si="190"/>
        <v>0</v>
      </c>
      <c r="Z129" s="17">
        <f t="shared" si="190"/>
        <v>0</v>
      </c>
      <c r="AA129" s="17">
        <f t="shared" si="190"/>
        <v>0</v>
      </c>
      <c r="AB129" s="17">
        <f t="shared" si="190"/>
        <v>0</v>
      </c>
      <c r="AC129" s="17">
        <f t="shared" si="190"/>
        <v>0</v>
      </c>
      <c r="AD129" s="17">
        <f t="shared" si="190"/>
        <v>0</v>
      </c>
      <c r="AE129" s="17">
        <f t="shared" si="190"/>
        <v>0</v>
      </c>
      <c r="AF129" s="17">
        <f t="shared" si="190"/>
        <v>0</v>
      </c>
      <c r="AG129" s="17">
        <f t="shared" si="190"/>
        <v>0</v>
      </c>
      <c r="AH129" s="14">
        <f t="shared" si="190"/>
        <v>0</v>
      </c>
      <c r="AI129" s="14">
        <f t="shared" si="190"/>
        <v>0</v>
      </c>
      <c r="AJ129" s="14">
        <f t="shared" si="190"/>
        <v>0</v>
      </c>
      <c r="AK129" s="14">
        <f t="shared" si="190"/>
        <v>0</v>
      </c>
      <c r="AL129" s="14">
        <f t="shared" si="190"/>
        <v>0</v>
      </c>
      <c r="AM129" s="14">
        <f t="shared" si="190"/>
        <v>0</v>
      </c>
      <c r="AN129" s="14">
        <f t="shared" si="190"/>
        <v>0</v>
      </c>
      <c r="AO129" s="14">
        <f t="shared" si="190"/>
        <v>0</v>
      </c>
      <c r="AP129" s="14">
        <f t="shared" si="190"/>
        <v>0</v>
      </c>
      <c r="AQ129" s="18">
        <f t="shared" si="190"/>
        <v>0</v>
      </c>
      <c r="AR129" s="179">
        <f t="shared" si="190"/>
        <v>9458318</v>
      </c>
      <c r="AS129" s="17">
        <f t="shared" si="190"/>
        <v>6852749</v>
      </c>
      <c r="AT129" s="17">
        <f t="shared" si="190"/>
        <v>32500</v>
      </c>
      <c r="AU129" s="17">
        <f t="shared" si="190"/>
        <v>2327214</v>
      </c>
      <c r="AV129" s="17">
        <f t="shared" si="190"/>
        <v>137055</v>
      </c>
      <c r="AW129" s="17">
        <f t="shared" si="190"/>
        <v>108800</v>
      </c>
      <c r="AX129" s="14">
        <f t="shared" si="190"/>
        <v>12.698099999999998</v>
      </c>
      <c r="AY129" s="14">
        <f t="shared" si="190"/>
        <v>9.3356999999999992</v>
      </c>
      <c r="AZ129" s="18">
        <f t="shared" si="190"/>
        <v>3.3624000000000001</v>
      </c>
    </row>
    <row r="130" spans="4:52" s="99" customFormat="1" ht="12.95" customHeight="1" x14ac:dyDescent="0.25">
      <c r="D130" s="344"/>
      <c r="E130" s="345"/>
      <c r="F130" s="344"/>
      <c r="G130" s="346"/>
      <c r="H130" s="2">
        <v>3117</v>
      </c>
      <c r="I130" s="178">
        <f t="shared" ref="I130:AZ130" si="191">SUMIF($F$12:$F$463,"=3117",I$12:I$463)</f>
        <v>34693488</v>
      </c>
      <c r="J130" s="17">
        <f t="shared" si="191"/>
        <v>24879632</v>
      </c>
      <c r="K130" s="17">
        <f t="shared" si="191"/>
        <v>279440</v>
      </c>
      <c r="L130" s="17">
        <f t="shared" si="191"/>
        <v>8503766</v>
      </c>
      <c r="M130" s="17">
        <f t="shared" si="191"/>
        <v>497590</v>
      </c>
      <c r="N130" s="17">
        <f t="shared" si="191"/>
        <v>533060</v>
      </c>
      <c r="O130" s="14">
        <f t="shared" si="191"/>
        <v>51.117600000000003</v>
      </c>
      <c r="P130" s="14">
        <f t="shared" si="191"/>
        <v>39.049800000000005</v>
      </c>
      <c r="Q130" s="180">
        <f t="shared" si="191"/>
        <v>12.067799999999998</v>
      </c>
      <c r="R130" s="178">
        <f t="shared" si="191"/>
        <v>0</v>
      </c>
      <c r="S130" s="17">
        <f t="shared" si="191"/>
        <v>0</v>
      </c>
      <c r="T130" s="17">
        <f t="shared" si="191"/>
        <v>0</v>
      </c>
      <c r="U130" s="17">
        <f t="shared" si="191"/>
        <v>0</v>
      </c>
      <c r="V130" s="17">
        <f t="shared" si="191"/>
        <v>0</v>
      </c>
      <c r="W130" s="17">
        <f t="shared" si="191"/>
        <v>0</v>
      </c>
      <c r="X130" s="17">
        <f t="shared" si="191"/>
        <v>0</v>
      </c>
      <c r="Y130" s="17">
        <f t="shared" si="191"/>
        <v>0</v>
      </c>
      <c r="Z130" s="17">
        <f t="shared" si="191"/>
        <v>0</v>
      </c>
      <c r="AA130" s="17">
        <f t="shared" si="191"/>
        <v>0</v>
      </c>
      <c r="AB130" s="17">
        <f t="shared" si="191"/>
        <v>0</v>
      </c>
      <c r="AC130" s="17">
        <f t="shared" si="191"/>
        <v>0</v>
      </c>
      <c r="AD130" s="17">
        <f t="shared" si="191"/>
        <v>0</v>
      </c>
      <c r="AE130" s="17">
        <f t="shared" si="191"/>
        <v>0</v>
      </c>
      <c r="AF130" s="17">
        <f t="shared" si="191"/>
        <v>0</v>
      </c>
      <c r="AG130" s="17">
        <f t="shared" si="191"/>
        <v>0</v>
      </c>
      <c r="AH130" s="14">
        <f t="shared" si="191"/>
        <v>0</v>
      </c>
      <c r="AI130" s="14">
        <f t="shared" si="191"/>
        <v>0</v>
      </c>
      <c r="AJ130" s="14">
        <f t="shared" si="191"/>
        <v>0</v>
      </c>
      <c r="AK130" s="14">
        <f t="shared" si="191"/>
        <v>0</v>
      </c>
      <c r="AL130" s="14">
        <f t="shared" si="191"/>
        <v>0</v>
      </c>
      <c r="AM130" s="14">
        <f t="shared" si="191"/>
        <v>0</v>
      </c>
      <c r="AN130" s="14">
        <f t="shared" si="191"/>
        <v>0</v>
      </c>
      <c r="AO130" s="14">
        <f t="shared" si="191"/>
        <v>0</v>
      </c>
      <c r="AP130" s="14">
        <f t="shared" si="191"/>
        <v>0</v>
      </c>
      <c r="AQ130" s="18">
        <f t="shared" si="191"/>
        <v>0</v>
      </c>
      <c r="AR130" s="179">
        <f t="shared" si="191"/>
        <v>34693488</v>
      </c>
      <c r="AS130" s="17">
        <f t="shared" si="191"/>
        <v>24879632</v>
      </c>
      <c r="AT130" s="17">
        <f t="shared" si="191"/>
        <v>279440</v>
      </c>
      <c r="AU130" s="17">
        <f t="shared" si="191"/>
        <v>8503766</v>
      </c>
      <c r="AV130" s="17">
        <f t="shared" si="191"/>
        <v>497590</v>
      </c>
      <c r="AW130" s="17">
        <f t="shared" si="191"/>
        <v>533060</v>
      </c>
      <c r="AX130" s="14">
        <f t="shared" si="191"/>
        <v>51.117600000000003</v>
      </c>
      <c r="AY130" s="14">
        <f t="shared" si="191"/>
        <v>39.049800000000005</v>
      </c>
      <c r="AZ130" s="18">
        <f t="shared" si="191"/>
        <v>12.067799999999998</v>
      </c>
    </row>
    <row r="131" spans="4:52" s="99" customFormat="1" ht="12.95" customHeight="1" x14ac:dyDescent="0.25">
      <c r="D131" s="344"/>
      <c r="E131" s="345"/>
      <c r="F131" s="344"/>
      <c r="G131" s="346"/>
      <c r="H131" s="2">
        <v>3122</v>
      </c>
      <c r="I131" s="178">
        <f t="shared" ref="I131:AZ131" si="192">SUMIF($F$12:$F$463,"=3122",I$12:I$463)</f>
        <v>0</v>
      </c>
      <c r="J131" s="17">
        <f t="shared" si="192"/>
        <v>0</v>
      </c>
      <c r="K131" s="17">
        <f t="shared" si="192"/>
        <v>0</v>
      </c>
      <c r="L131" s="17">
        <f t="shared" si="192"/>
        <v>0</v>
      </c>
      <c r="M131" s="17">
        <f t="shared" si="192"/>
        <v>0</v>
      </c>
      <c r="N131" s="17">
        <f t="shared" si="192"/>
        <v>0</v>
      </c>
      <c r="O131" s="14">
        <f t="shared" si="192"/>
        <v>0</v>
      </c>
      <c r="P131" s="14">
        <f t="shared" si="192"/>
        <v>0</v>
      </c>
      <c r="Q131" s="180">
        <f t="shared" si="192"/>
        <v>0</v>
      </c>
      <c r="R131" s="178">
        <f t="shared" si="192"/>
        <v>0</v>
      </c>
      <c r="S131" s="17">
        <f t="shared" si="192"/>
        <v>0</v>
      </c>
      <c r="T131" s="17">
        <f t="shared" si="192"/>
        <v>0</v>
      </c>
      <c r="U131" s="17">
        <f t="shared" si="192"/>
        <v>0</v>
      </c>
      <c r="V131" s="17">
        <f t="shared" si="192"/>
        <v>0</v>
      </c>
      <c r="W131" s="17">
        <f t="shared" si="192"/>
        <v>0</v>
      </c>
      <c r="X131" s="17">
        <f t="shared" si="192"/>
        <v>0</v>
      </c>
      <c r="Y131" s="17">
        <f t="shared" si="192"/>
        <v>0</v>
      </c>
      <c r="Z131" s="17">
        <f t="shared" si="192"/>
        <v>0</v>
      </c>
      <c r="AA131" s="17">
        <f t="shared" si="192"/>
        <v>0</v>
      </c>
      <c r="AB131" s="17">
        <f t="shared" si="192"/>
        <v>0</v>
      </c>
      <c r="AC131" s="17">
        <f t="shared" si="192"/>
        <v>0</v>
      </c>
      <c r="AD131" s="17">
        <f t="shared" si="192"/>
        <v>0</v>
      </c>
      <c r="AE131" s="17">
        <f t="shared" si="192"/>
        <v>0</v>
      </c>
      <c r="AF131" s="17">
        <f t="shared" si="192"/>
        <v>0</v>
      </c>
      <c r="AG131" s="17">
        <f t="shared" si="192"/>
        <v>0</v>
      </c>
      <c r="AH131" s="14">
        <f t="shared" si="192"/>
        <v>0</v>
      </c>
      <c r="AI131" s="14">
        <f t="shared" si="192"/>
        <v>0</v>
      </c>
      <c r="AJ131" s="14">
        <f t="shared" si="192"/>
        <v>0</v>
      </c>
      <c r="AK131" s="14">
        <f t="shared" si="192"/>
        <v>0</v>
      </c>
      <c r="AL131" s="14">
        <f t="shared" si="192"/>
        <v>0</v>
      </c>
      <c r="AM131" s="14">
        <f t="shared" si="192"/>
        <v>0</v>
      </c>
      <c r="AN131" s="14">
        <f t="shared" si="192"/>
        <v>0</v>
      </c>
      <c r="AO131" s="14">
        <f t="shared" si="192"/>
        <v>0</v>
      </c>
      <c r="AP131" s="14">
        <f t="shared" si="192"/>
        <v>0</v>
      </c>
      <c r="AQ131" s="18">
        <f t="shared" si="192"/>
        <v>0</v>
      </c>
      <c r="AR131" s="179">
        <f t="shared" si="192"/>
        <v>0</v>
      </c>
      <c r="AS131" s="17">
        <f t="shared" si="192"/>
        <v>0</v>
      </c>
      <c r="AT131" s="17">
        <f t="shared" si="192"/>
        <v>0</v>
      </c>
      <c r="AU131" s="17">
        <f t="shared" si="192"/>
        <v>0</v>
      </c>
      <c r="AV131" s="17">
        <f t="shared" si="192"/>
        <v>0</v>
      </c>
      <c r="AW131" s="17">
        <f t="shared" si="192"/>
        <v>0</v>
      </c>
      <c r="AX131" s="14">
        <f t="shared" si="192"/>
        <v>0</v>
      </c>
      <c r="AY131" s="14">
        <f t="shared" si="192"/>
        <v>0</v>
      </c>
      <c r="AZ131" s="18">
        <f t="shared" si="192"/>
        <v>0</v>
      </c>
    </row>
    <row r="132" spans="4:52" s="99" customFormat="1" ht="12.95" customHeight="1" x14ac:dyDescent="0.25">
      <c r="D132" s="344"/>
      <c r="E132" s="345"/>
      <c r="F132" s="344"/>
      <c r="G132" s="346"/>
      <c r="H132" s="2">
        <v>3124</v>
      </c>
      <c r="I132" s="178">
        <f t="shared" ref="I132:AZ132" si="193">SUMIF($F$12:$F$463,"=3124",I$12:I$463)</f>
        <v>0</v>
      </c>
      <c r="J132" s="17">
        <f t="shared" si="193"/>
        <v>0</v>
      </c>
      <c r="K132" s="17">
        <f t="shared" si="193"/>
        <v>0</v>
      </c>
      <c r="L132" s="17">
        <f t="shared" si="193"/>
        <v>0</v>
      </c>
      <c r="M132" s="17">
        <f t="shared" si="193"/>
        <v>0</v>
      </c>
      <c r="N132" s="17">
        <f t="shared" si="193"/>
        <v>0</v>
      </c>
      <c r="O132" s="14">
        <f t="shared" si="193"/>
        <v>0</v>
      </c>
      <c r="P132" s="14">
        <f t="shared" si="193"/>
        <v>0</v>
      </c>
      <c r="Q132" s="180">
        <f t="shared" si="193"/>
        <v>0</v>
      </c>
      <c r="R132" s="178">
        <f t="shared" si="193"/>
        <v>0</v>
      </c>
      <c r="S132" s="17">
        <f t="shared" si="193"/>
        <v>0</v>
      </c>
      <c r="T132" s="17">
        <f t="shared" si="193"/>
        <v>0</v>
      </c>
      <c r="U132" s="17">
        <f t="shared" si="193"/>
        <v>0</v>
      </c>
      <c r="V132" s="17">
        <f t="shared" si="193"/>
        <v>0</v>
      </c>
      <c r="W132" s="17">
        <f t="shared" si="193"/>
        <v>0</v>
      </c>
      <c r="X132" s="17">
        <f t="shared" si="193"/>
        <v>0</v>
      </c>
      <c r="Y132" s="17">
        <f t="shared" si="193"/>
        <v>0</v>
      </c>
      <c r="Z132" s="17">
        <f t="shared" si="193"/>
        <v>0</v>
      </c>
      <c r="AA132" s="17">
        <f t="shared" si="193"/>
        <v>0</v>
      </c>
      <c r="AB132" s="17">
        <f t="shared" si="193"/>
        <v>0</v>
      </c>
      <c r="AC132" s="17">
        <f t="shared" si="193"/>
        <v>0</v>
      </c>
      <c r="AD132" s="17">
        <f t="shared" si="193"/>
        <v>0</v>
      </c>
      <c r="AE132" s="17">
        <f t="shared" si="193"/>
        <v>0</v>
      </c>
      <c r="AF132" s="17">
        <f t="shared" si="193"/>
        <v>0</v>
      </c>
      <c r="AG132" s="17">
        <f t="shared" si="193"/>
        <v>0</v>
      </c>
      <c r="AH132" s="14">
        <f t="shared" si="193"/>
        <v>0</v>
      </c>
      <c r="AI132" s="14">
        <f t="shared" si="193"/>
        <v>0</v>
      </c>
      <c r="AJ132" s="14">
        <f t="shared" si="193"/>
        <v>0</v>
      </c>
      <c r="AK132" s="14">
        <f t="shared" si="193"/>
        <v>0</v>
      </c>
      <c r="AL132" s="14">
        <f t="shared" si="193"/>
        <v>0</v>
      </c>
      <c r="AM132" s="14">
        <f t="shared" si="193"/>
        <v>0</v>
      </c>
      <c r="AN132" s="14">
        <f t="shared" si="193"/>
        <v>0</v>
      </c>
      <c r="AO132" s="14">
        <f t="shared" si="193"/>
        <v>0</v>
      </c>
      <c r="AP132" s="14">
        <f t="shared" si="193"/>
        <v>0</v>
      </c>
      <c r="AQ132" s="18">
        <f t="shared" si="193"/>
        <v>0</v>
      </c>
      <c r="AR132" s="179">
        <f t="shared" si="193"/>
        <v>0</v>
      </c>
      <c r="AS132" s="17">
        <f t="shared" si="193"/>
        <v>0</v>
      </c>
      <c r="AT132" s="17">
        <f t="shared" si="193"/>
        <v>0</v>
      </c>
      <c r="AU132" s="17">
        <f t="shared" si="193"/>
        <v>0</v>
      </c>
      <c r="AV132" s="17">
        <f t="shared" si="193"/>
        <v>0</v>
      </c>
      <c r="AW132" s="17">
        <f t="shared" si="193"/>
        <v>0</v>
      </c>
      <c r="AX132" s="14">
        <f t="shared" si="193"/>
        <v>0</v>
      </c>
      <c r="AY132" s="14">
        <f t="shared" si="193"/>
        <v>0</v>
      </c>
      <c r="AZ132" s="18">
        <f t="shared" si="193"/>
        <v>0</v>
      </c>
    </row>
    <row r="133" spans="4:52" s="99" customFormat="1" ht="12.95" customHeight="1" x14ac:dyDescent="0.25">
      <c r="D133" s="344"/>
      <c r="E133" s="345"/>
      <c r="F133" s="344"/>
      <c r="G133" s="346"/>
      <c r="H133" s="2">
        <v>3141</v>
      </c>
      <c r="I133" s="178">
        <f t="shared" ref="I133:AZ133" si="194">SUMIF($F$12:$F$463,"=3141",I$12:I$463)</f>
        <v>26137571</v>
      </c>
      <c r="J133" s="17">
        <f t="shared" si="194"/>
        <v>19040763</v>
      </c>
      <c r="K133" s="17">
        <f t="shared" si="194"/>
        <v>79950</v>
      </c>
      <c r="L133" s="17">
        <f t="shared" si="194"/>
        <v>6462800</v>
      </c>
      <c r="M133" s="17">
        <f t="shared" si="194"/>
        <v>380814</v>
      </c>
      <c r="N133" s="17">
        <f t="shared" si="194"/>
        <v>173244</v>
      </c>
      <c r="O133" s="14">
        <f t="shared" si="194"/>
        <v>60.150000000000006</v>
      </c>
      <c r="P133" s="14">
        <f t="shared" si="194"/>
        <v>0</v>
      </c>
      <c r="Q133" s="180">
        <f t="shared" si="194"/>
        <v>60.150000000000006</v>
      </c>
      <c r="R133" s="178">
        <f t="shared" si="194"/>
        <v>0</v>
      </c>
      <c r="S133" s="17">
        <f t="shared" si="194"/>
        <v>0</v>
      </c>
      <c r="T133" s="17">
        <f t="shared" si="194"/>
        <v>0</v>
      </c>
      <c r="U133" s="17">
        <f t="shared" si="194"/>
        <v>0</v>
      </c>
      <c r="V133" s="17">
        <f t="shared" si="194"/>
        <v>0</v>
      </c>
      <c r="W133" s="17">
        <f t="shared" si="194"/>
        <v>0</v>
      </c>
      <c r="X133" s="17">
        <f t="shared" si="194"/>
        <v>0</v>
      </c>
      <c r="Y133" s="17">
        <f t="shared" si="194"/>
        <v>0</v>
      </c>
      <c r="Z133" s="17">
        <f t="shared" si="194"/>
        <v>0</v>
      </c>
      <c r="AA133" s="17">
        <f t="shared" si="194"/>
        <v>0</v>
      </c>
      <c r="AB133" s="17">
        <f t="shared" si="194"/>
        <v>0</v>
      </c>
      <c r="AC133" s="17">
        <f t="shared" si="194"/>
        <v>0</v>
      </c>
      <c r="AD133" s="17">
        <f t="shared" si="194"/>
        <v>0</v>
      </c>
      <c r="AE133" s="17">
        <f t="shared" si="194"/>
        <v>0</v>
      </c>
      <c r="AF133" s="17">
        <f t="shared" si="194"/>
        <v>0</v>
      </c>
      <c r="AG133" s="17">
        <f t="shared" si="194"/>
        <v>0</v>
      </c>
      <c r="AH133" s="14">
        <f t="shared" si="194"/>
        <v>0</v>
      </c>
      <c r="AI133" s="14">
        <f t="shared" si="194"/>
        <v>0</v>
      </c>
      <c r="AJ133" s="14">
        <f t="shared" si="194"/>
        <v>0</v>
      </c>
      <c r="AK133" s="14">
        <f t="shared" si="194"/>
        <v>0</v>
      </c>
      <c r="AL133" s="14">
        <f t="shared" si="194"/>
        <v>0</v>
      </c>
      <c r="AM133" s="14">
        <f t="shared" si="194"/>
        <v>0</v>
      </c>
      <c r="AN133" s="14">
        <f t="shared" si="194"/>
        <v>0</v>
      </c>
      <c r="AO133" s="14">
        <f t="shared" si="194"/>
        <v>0</v>
      </c>
      <c r="AP133" s="14">
        <f t="shared" si="194"/>
        <v>0</v>
      </c>
      <c r="AQ133" s="18">
        <f t="shared" si="194"/>
        <v>0</v>
      </c>
      <c r="AR133" s="179">
        <f t="shared" si="194"/>
        <v>26137571</v>
      </c>
      <c r="AS133" s="17">
        <f t="shared" si="194"/>
        <v>19040763</v>
      </c>
      <c r="AT133" s="17">
        <f t="shared" si="194"/>
        <v>79950</v>
      </c>
      <c r="AU133" s="17">
        <f t="shared" si="194"/>
        <v>6462800</v>
      </c>
      <c r="AV133" s="17">
        <f t="shared" si="194"/>
        <v>380814</v>
      </c>
      <c r="AW133" s="17">
        <f t="shared" si="194"/>
        <v>173244</v>
      </c>
      <c r="AX133" s="14">
        <f t="shared" si="194"/>
        <v>60.150000000000006</v>
      </c>
      <c r="AY133" s="14">
        <f t="shared" si="194"/>
        <v>0</v>
      </c>
      <c r="AZ133" s="18">
        <f t="shared" si="194"/>
        <v>60.150000000000006</v>
      </c>
    </row>
    <row r="134" spans="4:52" s="99" customFormat="1" ht="12.95" customHeight="1" x14ac:dyDescent="0.25">
      <c r="D134" s="344"/>
      <c r="E134" s="345"/>
      <c r="F134" s="344"/>
      <c r="G134" s="346"/>
      <c r="H134" s="2">
        <v>3143</v>
      </c>
      <c r="I134" s="178">
        <f t="shared" ref="I134:AZ134" si="195">SUMIF($F$12:$F$463,"=3143",I$12:I$463)</f>
        <v>18167986</v>
      </c>
      <c r="J134" s="17">
        <f t="shared" si="195"/>
        <v>13304678</v>
      </c>
      <c r="K134" s="17">
        <f t="shared" si="195"/>
        <v>57850</v>
      </c>
      <c r="L134" s="17">
        <f t="shared" si="195"/>
        <v>4516534</v>
      </c>
      <c r="M134" s="17">
        <f t="shared" si="195"/>
        <v>266094</v>
      </c>
      <c r="N134" s="17">
        <f t="shared" si="195"/>
        <v>22830</v>
      </c>
      <c r="O134" s="14">
        <f t="shared" si="195"/>
        <v>27.600399999999997</v>
      </c>
      <c r="P134" s="14">
        <f t="shared" si="195"/>
        <v>26.080399999999997</v>
      </c>
      <c r="Q134" s="180">
        <f t="shared" si="195"/>
        <v>1.5200000000000005</v>
      </c>
      <c r="R134" s="178">
        <f t="shared" si="195"/>
        <v>0</v>
      </c>
      <c r="S134" s="17">
        <f t="shared" si="195"/>
        <v>0</v>
      </c>
      <c r="T134" s="17">
        <f t="shared" si="195"/>
        <v>0</v>
      </c>
      <c r="U134" s="17">
        <f t="shared" si="195"/>
        <v>411687</v>
      </c>
      <c r="V134" s="17">
        <f t="shared" si="195"/>
        <v>411687</v>
      </c>
      <c r="W134" s="17">
        <f t="shared" si="195"/>
        <v>0</v>
      </c>
      <c r="X134" s="17">
        <f t="shared" si="195"/>
        <v>0</v>
      </c>
      <c r="Y134" s="17">
        <f t="shared" si="195"/>
        <v>0</v>
      </c>
      <c r="Z134" s="17">
        <f t="shared" si="195"/>
        <v>0</v>
      </c>
      <c r="AA134" s="17">
        <f t="shared" si="195"/>
        <v>411687</v>
      </c>
      <c r="AB134" s="17">
        <f t="shared" si="195"/>
        <v>139150</v>
      </c>
      <c r="AC134" s="17">
        <f t="shared" si="195"/>
        <v>8234</v>
      </c>
      <c r="AD134" s="17">
        <f t="shared" si="195"/>
        <v>0</v>
      </c>
      <c r="AE134" s="17">
        <f t="shared" si="195"/>
        <v>0</v>
      </c>
      <c r="AF134" s="17">
        <f t="shared" si="195"/>
        <v>0</v>
      </c>
      <c r="AG134" s="17">
        <f t="shared" si="195"/>
        <v>559071</v>
      </c>
      <c r="AH134" s="14">
        <f t="shared" si="195"/>
        <v>0</v>
      </c>
      <c r="AI134" s="14">
        <f t="shared" si="195"/>
        <v>0</v>
      </c>
      <c r="AJ134" s="14">
        <f t="shared" si="195"/>
        <v>0</v>
      </c>
      <c r="AK134" s="14">
        <f t="shared" si="195"/>
        <v>0</v>
      </c>
      <c r="AL134" s="14">
        <f t="shared" si="195"/>
        <v>0</v>
      </c>
      <c r="AM134" s="14">
        <f t="shared" si="195"/>
        <v>1</v>
      </c>
      <c r="AN134" s="14">
        <f t="shared" si="195"/>
        <v>0</v>
      </c>
      <c r="AO134" s="14">
        <f t="shared" si="195"/>
        <v>1</v>
      </c>
      <c r="AP134" s="14">
        <f t="shared" si="195"/>
        <v>0</v>
      </c>
      <c r="AQ134" s="18">
        <f t="shared" si="195"/>
        <v>1</v>
      </c>
      <c r="AR134" s="179">
        <f t="shared" si="195"/>
        <v>18727057</v>
      </c>
      <c r="AS134" s="17">
        <f t="shared" si="195"/>
        <v>13716365</v>
      </c>
      <c r="AT134" s="17">
        <f t="shared" si="195"/>
        <v>57850</v>
      </c>
      <c r="AU134" s="17">
        <f t="shared" si="195"/>
        <v>4655684</v>
      </c>
      <c r="AV134" s="17">
        <f t="shared" si="195"/>
        <v>274328</v>
      </c>
      <c r="AW134" s="17">
        <f t="shared" si="195"/>
        <v>22830</v>
      </c>
      <c r="AX134" s="14">
        <f t="shared" si="195"/>
        <v>28.600399999999997</v>
      </c>
      <c r="AY134" s="14">
        <f t="shared" si="195"/>
        <v>27.080399999999997</v>
      </c>
      <c r="AZ134" s="18">
        <f t="shared" si="195"/>
        <v>1.5200000000000005</v>
      </c>
    </row>
    <row r="135" spans="4:52" s="99" customFormat="1" ht="12.95" customHeight="1" x14ac:dyDescent="0.25">
      <c r="D135" s="344"/>
      <c r="E135" s="345"/>
      <c r="F135" s="344"/>
      <c r="G135" s="346"/>
      <c r="H135" s="2">
        <v>3231</v>
      </c>
      <c r="I135" s="178">
        <f t="shared" ref="I135:AZ135" si="196">SUMIF($F$12:$F$463,"=3231",I$12:I$463)</f>
        <v>13342182</v>
      </c>
      <c r="J135" s="17">
        <f t="shared" si="196"/>
        <v>9779207</v>
      </c>
      <c r="K135" s="17">
        <f t="shared" si="196"/>
        <v>13000</v>
      </c>
      <c r="L135" s="17">
        <f t="shared" si="196"/>
        <v>3309766</v>
      </c>
      <c r="M135" s="17">
        <f t="shared" si="196"/>
        <v>195584</v>
      </c>
      <c r="N135" s="17">
        <f t="shared" si="196"/>
        <v>44625</v>
      </c>
      <c r="O135" s="14">
        <f t="shared" si="196"/>
        <v>18.212499999999999</v>
      </c>
      <c r="P135" s="14">
        <f t="shared" si="196"/>
        <v>16.1175</v>
      </c>
      <c r="Q135" s="180">
        <f t="shared" si="196"/>
        <v>2.0950000000000002</v>
      </c>
      <c r="R135" s="178">
        <f t="shared" si="196"/>
        <v>0</v>
      </c>
      <c r="S135" s="17">
        <f t="shared" si="196"/>
        <v>0</v>
      </c>
      <c r="T135" s="17">
        <f t="shared" si="196"/>
        <v>0</v>
      </c>
      <c r="U135" s="17">
        <f t="shared" si="196"/>
        <v>0</v>
      </c>
      <c r="V135" s="17">
        <f t="shared" si="196"/>
        <v>0</v>
      </c>
      <c r="W135" s="17">
        <f t="shared" si="196"/>
        <v>0</v>
      </c>
      <c r="X135" s="17">
        <f t="shared" si="196"/>
        <v>0</v>
      </c>
      <c r="Y135" s="17">
        <f t="shared" si="196"/>
        <v>0</v>
      </c>
      <c r="Z135" s="17">
        <f t="shared" si="196"/>
        <v>0</v>
      </c>
      <c r="AA135" s="17">
        <f t="shared" si="196"/>
        <v>0</v>
      </c>
      <c r="AB135" s="17">
        <f t="shared" si="196"/>
        <v>0</v>
      </c>
      <c r="AC135" s="17">
        <f t="shared" si="196"/>
        <v>0</v>
      </c>
      <c r="AD135" s="17">
        <f t="shared" si="196"/>
        <v>0</v>
      </c>
      <c r="AE135" s="17">
        <f t="shared" si="196"/>
        <v>0</v>
      </c>
      <c r="AF135" s="17">
        <f t="shared" si="196"/>
        <v>0</v>
      </c>
      <c r="AG135" s="17">
        <f t="shared" si="196"/>
        <v>0</v>
      </c>
      <c r="AH135" s="14">
        <f t="shared" si="196"/>
        <v>0</v>
      </c>
      <c r="AI135" s="14">
        <f t="shared" si="196"/>
        <v>0</v>
      </c>
      <c r="AJ135" s="14">
        <f t="shared" si="196"/>
        <v>0</v>
      </c>
      <c r="AK135" s="14">
        <f t="shared" si="196"/>
        <v>0</v>
      </c>
      <c r="AL135" s="14">
        <f t="shared" si="196"/>
        <v>0</v>
      </c>
      <c r="AM135" s="14">
        <f t="shared" si="196"/>
        <v>0</v>
      </c>
      <c r="AN135" s="14">
        <f t="shared" si="196"/>
        <v>0</v>
      </c>
      <c r="AO135" s="14">
        <f t="shared" si="196"/>
        <v>0</v>
      </c>
      <c r="AP135" s="14">
        <f t="shared" si="196"/>
        <v>0</v>
      </c>
      <c r="AQ135" s="18">
        <f t="shared" si="196"/>
        <v>0</v>
      </c>
      <c r="AR135" s="179">
        <f t="shared" si="196"/>
        <v>13342182</v>
      </c>
      <c r="AS135" s="17">
        <f t="shared" si="196"/>
        <v>9779207</v>
      </c>
      <c r="AT135" s="17">
        <f t="shared" si="196"/>
        <v>13000</v>
      </c>
      <c r="AU135" s="17">
        <f t="shared" si="196"/>
        <v>3309766</v>
      </c>
      <c r="AV135" s="17">
        <f t="shared" si="196"/>
        <v>195584</v>
      </c>
      <c r="AW135" s="17">
        <f t="shared" si="196"/>
        <v>44625</v>
      </c>
      <c r="AX135" s="14">
        <f t="shared" si="196"/>
        <v>18.212499999999999</v>
      </c>
      <c r="AY135" s="14">
        <f t="shared" si="196"/>
        <v>16.1175</v>
      </c>
      <c r="AZ135" s="18">
        <f t="shared" si="196"/>
        <v>2.0950000000000002</v>
      </c>
    </row>
    <row r="136" spans="4:52" s="99" customFormat="1" ht="12.95" customHeight="1" thickBot="1" x14ac:dyDescent="0.3">
      <c r="D136" s="344"/>
      <c r="E136" s="345"/>
      <c r="F136" s="344"/>
      <c r="G136" s="346"/>
      <c r="H136" s="162">
        <v>3233</v>
      </c>
      <c r="I136" s="181">
        <f t="shared" ref="I136:AZ136" si="197">SUMIF($F$12:$F$463,"=3233",I$12:I$463)</f>
        <v>8377493</v>
      </c>
      <c r="J136" s="182">
        <f t="shared" si="197"/>
        <v>5841127</v>
      </c>
      <c r="K136" s="182">
        <f t="shared" si="197"/>
        <v>325000</v>
      </c>
      <c r="L136" s="182">
        <f t="shared" si="197"/>
        <v>2084151</v>
      </c>
      <c r="M136" s="182">
        <f t="shared" si="197"/>
        <v>116823</v>
      </c>
      <c r="N136" s="182">
        <f t="shared" si="197"/>
        <v>10392</v>
      </c>
      <c r="O136" s="183">
        <f t="shared" si="197"/>
        <v>13.04</v>
      </c>
      <c r="P136" s="183">
        <f t="shared" si="197"/>
        <v>8.1</v>
      </c>
      <c r="Q136" s="186">
        <f t="shared" si="197"/>
        <v>4.9400000000000004</v>
      </c>
      <c r="R136" s="181">
        <f t="shared" si="197"/>
        <v>0</v>
      </c>
      <c r="S136" s="182">
        <f t="shared" si="197"/>
        <v>0</v>
      </c>
      <c r="T136" s="182">
        <f t="shared" si="197"/>
        <v>217129</v>
      </c>
      <c r="U136" s="182">
        <f t="shared" si="197"/>
        <v>0</v>
      </c>
      <c r="V136" s="182">
        <f t="shared" si="197"/>
        <v>217129</v>
      </c>
      <c r="W136" s="182">
        <f t="shared" si="197"/>
        <v>0</v>
      </c>
      <c r="X136" s="182">
        <f t="shared" si="197"/>
        <v>0</v>
      </c>
      <c r="Y136" s="182">
        <f t="shared" si="197"/>
        <v>0</v>
      </c>
      <c r="Z136" s="182">
        <f t="shared" si="197"/>
        <v>0</v>
      </c>
      <c r="AA136" s="182">
        <f t="shared" si="197"/>
        <v>217129</v>
      </c>
      <c r="AB136" s="182">
        <f t="shared" si="197"/>
        <v>73390</v>
      </c>
      <c r="AC136" s="182">
        <f t="shared" si="197"/>
        <v>4343</v>
      </c>
      <c r="AD136" s="182">
        <f t="shared" si="197"/>
        <v>0</v>
      </c>
      <c r="AE136" s="182">
        <f t="shared" si="197"/>
        <v>61053</v>
      </c>
      <c r="AF136" s="182">
        <f t="shared" si="197"/>
        <v>61053</v>
      </c>
      <c r="AG136" s="182">
        <f t="shared" si="197"/>
        <v>355915</v>
      </c>
      <c r="AH136" s="183">
        <f t="shared" si="197"/>
        <v>0</v>
      </c>
      <c r="AI136" s="183">
        <f t="shared" si="197"/>
        <v>0</v>
      </c>
      <c r="AJ136" s="183">
        <f t="shared" si="197"/>
        <v>0</v>
      </c>
      <c r="AK136" s="183">
        <f t="shared" si="197"/>
        <v>0.33</v>
      </c>
      <c r="AL136" s="183">
        <f t="shared" si="197"/>
        <v>0.13</v>
      </c>
      <c r="AM136" s="183">
        <f t="shared" si="197"/>
        <v>0</v>
      </c>
      <c r="AN136" s="183">
        <f t="shared" si="197"/>
        <v>0</v>
      </c>
      <c r="AO136" s="183">
        <f t="shared" si="197"/>
        <v>0.33</v>
      </c>
      <c r="AP136" s="183">
        <f t="shared" si="197"/>
        <v>0.13</v>
      </c>
      <c r="AQ136" s="184">
        <f t="shared" si="197"/>
        <v>0.46</v>
      </c>
      <c r="AR136" s="185">
        <f t="shared" si="197"/>
        <v>8733408</v>
      </c>
      <c r="AS136" s="182">
        <f t="shared" si="197"/>
        <v>6058256</v>
      </c>
      <c r="AT136" s="182">
        <f t="shared" si="197"/>
        <v>325000</v>
      </c>
      <c r="AU136" s="182">
        <f t="shared" si="197"/>
        <v>2157541</v>
      </c>
      <c r="AV136" s="182">
        <f t="shared" si="197"/>
        <v>121166</v>
      </c>
      <c r="AW136" s="182">
        <f t="shared" si="197"/>
        <v>71445</v>
      </c>
      <c r="AX136" s="183">
        <f t="shared" si="197"/>
        <v>13.5</v>
      </c>
      <c r="AY136" s="183">
        <f t="shared" si="197"/>
        <v>8.43</v>
      </c>
      <c r="AZ136" s="184">
        <f t="shared" si="197"/>
        <v>5.07</v>
      </c>
    </row>
    <row r="137" spans="4:52" ht="12.95" customHeight="1" x14ac:dyDescent="0.25">
      <c r="E137" s="283"/>
    </row>
    <row r="138" spans="4:52" ht="12.95" customHeight="1" x14ac:dyDescent="0.25">
      <c r="E138" s="283"/>
    </row>
    <row r="139" spans="4:52" ht="12.95" customHeight="1" x14ac:dyDescent="0.25">
      <c r="E139" s="283"/>
    </row>
  </sheetData>
  <mergeCells count="25">
    <mergeCell ref="A3:E3"/>
    <mergeCell ref="I6:Q7"/>
    <mergeCell ref="R7:V9"/>
    <mergeCell ref="W7:Z9"/>
    <mergeCell ref="AA7:AA10"/>
    <mergeCell ref="I8:I10"/>
    <mergeCell ref="J8:N9"/>
    <mergeCell ref="O8:O10"/>
    <mergeCell ref="P8:Q9"/>
    <mergeCell ref="R6:AQ6"/>
    <mergeCell ref="AH7:AQ7"/>
    <mergeCell ref="AM8:AN9"/>
    <mergeCell ref="AO8:AQ9"/>
    <mergeCell ref="AR6:AZ7"/>
    <mergeCell ref="AR8:AR10"/>
    <mergeCell ref="AS8:AW9"/>
    <mergeCell ref="AX8:AX10"/>
    <mergeCell ref="AB7:AB10"/>
    <mergeCell ref="AD7:AF9"/>
    <mergeCell ref="AG7:AG10"/>
    <mergeCell ref="AJ8:AJ9"/>
    <mergeCell ref="AH8:AI9"/>
    <mergeCell ref="AY8:AZ9"/>
    <mergeCell ref="AK8:AL9"/>
    <mergeCell ref="AC7:AC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Z180"/>
  <sheetViews>
    <sheetView zoomScaleNormal="100" workbookViewId="0">
      <pane xSplit="8" ySplit="11" topLeftCell="P19" activePane="bottomRight" state="frozen"/>
      <selection activeCell="AR6" sqref="AR6:AZ7"/>
      <selection pane="topRight" activeCell="AR6" sqref="AR6:AZ7"/>
      <selection pane="bottomLeft" activeCell="AR6" sqref="AR6:AZ7"/>
      <selection pane="bottomRight" activeCell="AE25" sqref="AE25"/>
    </sheetView>
  </sheetViews>
  <sheetFormatPr defaultColWidth="9.140625" defaultRowHeight="15" x14ac:dyDescent="0.25"/>
  <cols>
    <col min="1" max="1" width="5" style="341" customWidth="1"/>
    <col min="2" max="2" width="7.140625" style="283" bestFit="1" customWidth="1"/>
    <col min="3" max="3" width="9.28515625" style="375" customWidth="1"/>
    <col min="4" max="4" width="7.85546875" style="283" bestFit="1" customWidth="1"/>
    <col min="5" max="5" width="33.140625" style="283" customWidth="1"/>
    <col min="6" max="6" width="4.42578125" style="283" bestFit="1" customWidth="1"/>
    <col min="7" max="7" width="10.7109375" style="283" customWidth="1"/>
    <col min="8" max="8" width="11.42578125" style="283" customWidth="1"/>
    <col min="9" max="14" width="10.42578125" style="347" customWidth="1"/>
    <col min="15" max="17" width="10.42578125" style="348" customWidth="1"/>
    <col min="18" max="20" width="9.140625" style="347" customWidth="1"/>
    <col min="21" max="21" width="9.7109375" style="347" customWidth="1"/>
    <col min="22" max="33" width="9.140625" style="347" customWidth="1"/>
    <col min="34" max="43" width="9.140625" style="348" customWidth="1"/>
    <col min="44" max="44" width="10.85546875" style="347" customWidth="1"/>
    <col min="45" max="45" width="11.28515625" style="347" customWidth="1"/>
    <col min="46" max="46" width="10.42578125" style="347" customWidth="1"/>
    <col min="47" max="47" width="11.7109375" style="347" customWidth="1"/>
    <col min="48" max="48" width="10.7109375" style="347" customWidth="1"/>
    <col min="49" max="49" width="11.5703125" style="347" customWidth="1"/>
    <col min="50" max="50" width="11.42578125" style="348" customWidth="1"/>
    <col min="51" max="52" width="9.28515625" style="348" customWidth="1"/>
    <col min="53" max="58" width="15.5703125" style="283" customWidth="1"/>
    <col min="59" max="16384" width="9.140625" style="283"/>
  </cols>
  <sheetData>
    <row r="1" spans="1:52" ht="12" customHeight="1" x14ac:dyDescent="0.25">
      <c r="A1" s="441" t="s">
        <v>2</v>
      </c>
      <c r="B1" s="441"/>
      <c r="C1" s="281"/>
      <c r="D1" s="441"/>
      <c r="E1" s="441"/>
      <c r="F1" s="282"/>
      <c r="G1" s="282"/>
      <c r="H1" s="282"/>
    </row>
    <row r="2" spans="1:52" ht="12" customHeight="1" x14ac:dyDescent="0.25">
      <c r="A2" s="441" t="s">
        <v>3</v>
      </c>
      <c r="B2" s="441"/>
      <c r="C2" s="281"/>
      <c r="D2" s="441"/>
      <c r="E2" s="441"/>
      <c r="F2" s="282"/>
      <c r="G2" s="282"/>
      <c r="H2" s="282"/>
    </row>
    <row r="3" spans="1:52" ht="12" customHeight="1" x14ac:dyDescent="0.25">
      <c r="A3" s="811" t="s">
        <v>4</v>
      </c>
      <c r="B3" s="811"/>
      <c r="C3" s="811"/>
      <c r="D3" s="811"/>
      <c r="E3" s="811"/>
      <c r="F3" s="282"/>
      <c r="G3" s="282"/>
      <c r="H3" s="282"/>
    </row>
    <row r="4" spans="1:52" ht="12" customHeight="1" x14ac:dyDescent="0.25">
      <c r="A4" s="284"/>
      <c r="B4" s="441"/>
      <c r="C4" s="441"/>
      <c r="D4" s="441"/>
      <c r="E4" s="441"/>
      <c r="F4" s="282"/>
      <c r="G4" s="282"/>
      <c r="H4" s="282"/>
    </row>
    <row r="5" spans="1:52" ht="16.5" thickBot="1" x14ac:dyDescent="0.3">
      <c r="A5" s="193" t="s">
        <v>838</v>
      </c>
      <c r="B5" s="57"/>
      <c r="C5" s="57"/>
      <c r="D5" s="57"/>
      <c r="E5" s="58"/>
      <c r="F5" s="285"/>
      <c r="G5" s="285"/>
      <c r="H5" s="285"/>
    </row>
    <row r="6" spans="1:52" x14ac:dyDescent="0.25">
      <c r="A6" s="282"/>
      <c r="B6" s="284"/>
      <c r="C6" s="284"/>
      <c r="D6" s="284"/>
      <c r="E6" s="282"/>
      <c r="F6" s="282"/>
      <c r="G6" s="282"/>
      <c r="H6" s="282"/>
      <c r="I6" s="775" t="s">
        <v>836</v>
      </c>
      <c r="J6" s="776"/>
      <c r="K6" s="776"/>
      <c r="L6" s="776"/>
      <c r="M6" s="776"/>
      <c r="N6" s="776"/>
      <c r="O6" s="776"/>
      <c r="P6" s="776"/>
      <c r="Q6" s="777"/>
      <c r="R6" s="781" t="s">
        <v>837</v>
      </c>
      <c r="S6" s="782"/>
      <c r="T6" s="782"/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782"/>
      <c r="AJ6" s="782"/>
      <c r="AK6" s="782"/>
      <c r="AL6" s="782"/>
      <c r="AM6" s="782"/>
      <c r="AN6" s="782"/>
      <c r="AO6" s="782"/>
      <c r="AP6" s="782"/>
      <c r="AQ6" s="783"/>
      <c r="AR6" s="784" t="s">
        <v>839</v>
      </c>
      <c r="AS6" s="785"/>
      <c r="AT6" s="785"/>
      <c r="AU6" s="785"/>
      <c r="AV6" s="785"/>
      <c r="AW6" s="785"/>
      <c r="AX6" s="785"/>
      <c r="AY6" s="785"/>
      <c r="AZ6" s="786"/>
    </row>
    <row r="7" spans="1:52" ht="16.5" customHeight="1" thickBot="1" x14ac:dyDescent="0.3">
      <c r="A7" s="284"/>
      <c r="B7" s="286"/>
      <c r="C7" s="99"/>
      <c r="D7" s="287"/>
      <c r="E7" s="286"/>
      <c r="F7" s="282"/>
      <c r="G7" s="282"/>
      <c r="H7" s="282"/>
      <c r="I7" s="778"/>
      <c r="J7" s="779"/>
      <c r="K7" s="779"/>
      <c r="L7" s="779"/>
      <c r="M7" s="779"/>
      <c r="N7" s="779"/>
      <c r="O7" s="779"/>
      <c r="P7" s="779"/>
      <c r="Q7" s="780"/>
      <c r="R7" s="790" t="s">
        <v>284</v>
      </c>
      <c r="S7" s="791"/>
      <c r="T7" s="791"/>
      <c r="U7" s="791"/>
      <c r="V7" s="792"/>
      <c r="W7" s="799" t="s">
        <v>285</v>
      </c>
      <c r="X7" s="791"/>
      <c r="Y7" s="791"/>
      <c r="Z7" s="792"/>
      <c r="AA7" s="740" t="s">
        <v>286</v>
      </c>
      <c r="AB7" s="740" t="s">
        <v>5</v>
      </c>
      <c r="AC7" s="740" t="s">
        <v>287</v>
      </c>
      <c r="AD7" s="802" t="s">
        <v>288</v>
      </c>
      <c r="AE7" s="803"/>
      <c r="AF7" s="804"/>
      <c r="AG7" s="740" t="s">
        <v>310</v>
      </c>
      <c r="AH7" s="743" t="s">
        <v>289</v>
      </c>
      <c r="AI7" s="744"/>
      <c r="AJ7" s="744"/>
      <c r="AK7" s="744"/>
      <c r="AL7" s="744"/>
      <c r="AM7" s="744"/>
      <c r="AN7" s="744"/>
      <c r="AO7" s="744"/>
      <c r="AP7" s="744"/>
      <c r="AQ7" s="745"/>
      <c r="AR7" s="787"/>
      <c r="AS7" s="788"/>
      <c r="AT7" s="788"/>
      <c r="AU7" s="788"/>
      <c r="AV7" s="788"/>
      <c r="AW7" s="788"/>
      <c r="AX7" s="788"/>
      <c r="AY7" s="788"/>
      <c r="AZ7" s="789"/>
    </row>
    <row r="8" spans="1:52" ht="15" customHeight="1" x14ac:dyDescent="0.25">
      <c r="A8" s="288"/>
      <c r="B8" s="289"/>
      <c r="C8" s="289"/>
      <c r="D8" s="289"/>
      <c r="E8" s="289"/>
      <c r="F8" s="289"/>
      <c r="G8" s="289"/>
      <c r="H8" s="289"/>
      <c r="I8" s="746" t="s">
        <v>6</v>
      </c>
      <c r="J8" s="749" t="s">
        <v>820</v>
      </c>
      <c r="K8" s="750"/>
      <c r="L8" s="750"/>
      <c r="M8" s="750"/>
      <c r="N8" s="751"/>
      <c r="O8" s="755" t="s">
        <v>281</v>
      </c>
      <c r="P8" s="758" t="s">
        <v>821</v>
      </c>
      <c r="Q8" s="759"/>
      <c r="R8" s="793"/>
      <c r="S8" s="794"/>
      <c r="T8" s="794"/>
      <c r="U8" s="794"/>
      <c r="V8" s="795"/>
      <c r="W8" s="800"/>
      <c r="X8" s="794"/>
      <c r="Y8" s="794"/>
      <c r="Z8" s="795"/>
      <c r="AA8" s="741"/>
      <c r="AB8" s="741"/>
      <c r="AC8" s="741"/>
      <c r="AD8" s="805"/>
      <c r="AE8" s="806"/>
      <c r="AF8" s="807"/>
      <c r="AG8" s="741"/>
      <c r="AH8" s="762" t="s">
        <v>290</v>
      </c>
      <c r="AI8" s="763"/>
      <c r="AJ8" s="766" t="s">
        <v>291</v>
      </c>
      <c r="AK8" s="762" t="s">
        <v>835</v>
      </c>
      <c r="AL8" s="763"/>
      <c r="AM8" s="762" t="s">
        <v>292</v>
      </c>
      <c r="AN8" s="763"/>
      <c r="AO8" s="769" t="s">
        <v>293</v>
      </c>
      <c r="AP8" s="770"/>
      <c r="AQ8" s="771"/>
      <c r="AR8" s="746" t="s">
        <v>6</v>
      </c>
      <c r="AS8" s="749" t="s">
        <v>820</v>
      </c>
      <c r="AT8" s="750"/>
      <c r="AU8" s="750"/>
      <c r="AV8" s="750"/>
      <c r="AW8" s="751"/>
      <c r="AX8" s="755" t="s">
        <v>281</v>
      </c>
      <c r="AY8" s="758" t="s">
        <v>822</v>
      </c>
      <c r="AZ8" s="759"/>
    </row>
    <row r="9" spans="1:52" ht="15.75" customHeight="1" thickBot="1" x14ac:dyDescent="0.3">
      <c r="A9" s="290" t="s">
        <v>816</v>
      </c>
      <c r="B9" s="99"/>
      <c r="C9" s="99"/>
      <c r="D9" s="291"/>
      <c r="E9" s="99"/>
      <c r="F9" s="292"/>
      <c r="G9" s="293"/>
      <c r="H9" s="293"/>
      <c r="I9" s="747"/>
      <c r="J9" s="752"/>
      <c r="K9" s="753"/>
      <c r="L9" s="753"/>
      <c r="M9" s="753"/>
      <c r="N9" s="754"/>
      <c r="O9" s="756"/>
      <c r="P9" s="760"/>
      <c r="Q9" s="761"/>
      <c r="R9" s="796"/>
      <c r="S9" s="797"/>
      <c r="T9" s="797"/>
      <c r="U9" s="797"/>
      <c r="V9" s="798"/>
      <c r="W9" s="801"/>
      <c r="X9" s="797"/>
      <c r="Y9" s="797"/>
      <c r="Z9" s="798"/>
      <c r="AA9" s="741"/>
      <c r="AB9" s="741"/>
      <c r="AC9" s="741"/>
      <c r="AD9" s="808"/>
      <c r="AE9" s="809"/>
      <c r="AF9" s="810"/>
      <c r="AG9" s="741"/>
      <c r="AH9" s="764"/>
      <c r="AI9" s="765"/>
      <c r="AJ9" s="767"/>
      <c r="AK9" s="764"/>
      <c r="AL9" s="765"/>
      <c r="AM9" s="764"/>
      <c r="AN9" s="765"/>
      <c r="AO9" s="772"/>
      <c r="AP9" s="773"/>
      <c r="AQ9" s="774"/>
      <c r="AR9" s="747"/>
      <c r="AS9" s="752"/>
      <c r="AT9" s="753"/>
      <c r="AU9" s="753"/>
      <c r="AV9" s="753"/>
      <c r="AW9" s="754"/>
      <c r="AX9" s="756"/>
      <c r="AY9" s="760"/>
      <c r="AZ9" s="761"/>
    </row>
    <row r="10" spans="1:52" ht="34.5" thickBot="1" x14ac:dyDescent="0.3">
      <c r="A10" s="294" t="s">
        <v>794</v>
      </c>
      <c r="B10" s="295" t="s">
        <v>560</v>
      </c>
      <c r="C10" s="295" t="s">
        <v>561</v>
      </c>
      <c r="D10" s="295" t="s">
        <v>265</v>
      </c>
      <c r="E10" s="174" t="s">
        <v>796</v>
      </c>
      <c r="F10" s="295" t="s">
        <v>0</v>
      </c>
      <c r="G10" s="296" t="s">
        <v>266</v>
      </c>
      <c r="H10" s="41" t="s">
        <v>277</v>
      </c>
      <c r="I10" s="748"/>
      <c r="J10" s="469" t="s">
        <v>275</v>
      </c>
      <c r="K10" s="469" t="s">
        <v>285</v>
      </c>
      <c r="L10" s="460" t="s">
        <v>5</v>
      </c>
      <c r="M10" s="460" t="s">
        <v>1</v>
      </c>
      <c r="N10" s="460" t="s">
        <v>7</v>
      </c>
      <c r="O10" s="757"/>
      <c r="P10" s="463" t="s">
        <v>282</v>
      </c>
      <c r="Q10" s="464" t="s">
        <v>283</v>
      </c>
      <c r="R10" s="465" t="s">
        <v>294</v>
      </c>
      <c r="S10" s="462" t="s">
        <v>291</v>
      </c>
      <c r="T10" s="462" t="s">
        <v>835</v>
      </c>
      <c r="U10" s="462" t="s">
        <v>292</v>
      </c>
      <c r="V10" s="462" t="s">
        <v>785</v>
      </c>
      <c r="W10" s="461" t="s">
        <v>295</v>
      </c>
      <c r="X10" s="462" t="s">
        <v>819</v>
      </c>
      <c r="Y10" s="461" t="s">
        <v>296</v>
      </c>
      <c r="Z10" s="462" t="s">
        <v>786</v>
      </c>
      <c r="AA10" s="742"/>
      <c r="AB10" s="742"/>
      <c r="AC10" s="742"/>
      <c r="AD10" s="462" t="s">
        <v>291</v>
      </c>
      <c r="AE10" s="462" t="s">
        <v>297</v>
      </c>
      <c r="AF10" s="462" t="s">
        <v>787</v>
      </c>
      <c r="AG10" s="742"/>
      <c r="AH10" s="466" t="s">
        <v>282</v>
      </c>
      <c r="AI10" s="467" t="s">
        <v>283</v>
      </c>
      <c r="AJ10" s="466" t="s">
        <v>282</v>
      </c>
      <c r="AK10" s="466" t="s">
        <v>282</v>
      </c>
      <c r="AL10" s="467" t="s">
        <v>283</v>
      </c>
      <c r="AM10" s="466" t="s">
        <v>282</v>
      </c>
      <c r="AN10" s="467" t="s">
        <v>283</v>
      </c>
      <c r="AO10" s="466" t="s">
        <v>282</v>
      </c>
      <c r="AP10" s="467" t="s">
        <v>283</v>
      </c>
      <c r="AQ10" s="468" t="s">
        <v>306</v>
      </c>
      <c r="AR10" s="748"/>
      <c r="AS10" s="42" t="s">
        <v>275</v>
      </c>
      <c r="AT10" s="469" t="s">
        <v>285</v>
      </c>
      <c r="AU10" s="460" t="s">
        <v>5</v>
      </c>
      <c r="AV10" s="460" t="s">
        <v>1</v>
      </c>
      <c r="AW10" s="460" t="s">
        <v>7</v>
      </c>
      <c r="AX10" s="757"/>
      <c r="AY10" s="463" t="s">
        <v>282</v>
      </c>
      <c r="AZ10" s="464" t="s">
        <v>283</v>
      </c>
    </row>
    <row r="11" spans="1:52" s="300" customFormat="1" ht="11.25" customHeight="1" thickBot="1" x14ac:dyDescent="0.25">
      <c r="A11" s="297" t="s">
        <v>562</v>
      </c>
      <c r="B11" s="298" t="s">
        <v>563</v>
      </c>
      <c r="C11" s="298" t="s">
        <v>267</v>
      </c>
      <c r="D11" s="298" t="s">
        <v>268</v>
      </c>
      <c r="E11" s="298" t="s">
        <v>564</v>
      </c>
      <c r="F11" s="298" t="s">
        <v>0</v>
      </c>
      <c r="G11" s="298" t="s">
        <v>565</v>
      </c>
      <c r="H11" s="299" t="s">
        <v>790</v>
      </c>
      <c r="I11" s="151" t="s">
        <v>269</v>
      </c>
      <c r="J11" s="152" t="s">
        <v>270</v>
      </c>
      <c r="K11" s="148" t="s">
        <v>276</v>
      </c>
      <c r="L11" s="152" t="s">
        <v>271</v>
      </c>
      <c r="M11" s="152" t="s">
        <v>272</v>
      </c>
      <c r="N11" s="152" t="s">
        <v>273</v>
      </c>
      <c r="O11" s="458" t="s">
        <v>274</v>
      </c>
      <c r="P11" s="153" t="s">
        <v>566</v>
      </c>
      <c r="Q11" s="154" t="s">
        <v>567</v>
      </c>
      <c r="R11" s="151" t="s">
        <v>298</v>
      </c>
      <c r="S11" s="152" t="s">
        <v>298</v>
      </c>
      <c r="T11" s="152" t="s">
        <v>298</v>
      </c>
      <c r="U11" s="152" t="s">
        <v>298</v>
      </c>
      <c r="V11" s="152" t="s">
        <v>298</v>
      </c>
      <c r="W11" s="152" t="s">
        <v>299</v>
      </c>
      <c r="X11" s="152" t="s">
        <v>299</v>
      </c>
      <c r="Y11" s="152" t="s">
        <v>300</v>
      </c>
      <c r="Z11" s="152" t="s">
        <v>299</v>
      </c>
      <c r="AA11" s="152" t="s">
        <v>301</v>
      </c>
      <c r="AB11" s="152" t="s">
        <v>302</v>
      </c>
      <c r="AC11" s="152" t="s">
        <v>303</v>
      </c>
      <c r="AD11" s="152" t="s">
        <v>305</v>
      </c>
      <c r="AE11" s="152" t="s">
        <v>304</v>
      </c>
      <c r="AF11" s="152" t="s">
        <v>304</v>
      </c>
      <c r="AG11" s="152" t="s">
        <v>311</v>
      </c>
      <c r="AH11" s="153" t="s">
        <v>307</v>
      </c>
      <c r="AI11" s="153" t="s">
        <v>308</v>
      </c>
      <c r="AJ11" s="153" t="s">
        <v>307</v>
      </c>
      <c r="AK11" s="153" t="s">
        <v>307</v>
      </c>
      <c r="AL11" s="153" t="s">
        <v>308</v>
      </c>
      <c r="AM11" s="153" t="s">
        <v>307</v>
      </c>
      <c r="AN11" s="153" t="s">
        <v>308</v>
      </c>
      <c r="AO11" s="153" t="s">
        <v>307</v>
      </c>
      <c r="AP11" s="153" t="s">
        <v>308</v>
      </c>
      <c r="AQ11" s="191" t="s">
        <v>309</v>
      </c>
      <c r="AR11" s="147" t="s">
        <v>269</v>
      </c>
      <c r="AS11" s="148" t="s">
        <v>270</v>
      </c>
      <c r="AT11" s="148" t="s">
        <v>276</v>
      </c>
      <c r="AU11" s="148" t="s">
        <v>271</v>
      </c>
      <c r="AV11" s="148" t="s">
        <v>272</v>
      </c>
      <c r="AW11" s="148" t="s">
        <v>273</v>
      </c>
      <c r="AX11" s="201" t="s">
        <v>274</v>
      </c>
      <c r="AY11" s="201" t="s">
        <v>566</v>
      </c>
      <c r="AZ11" s="202" t="s">
        <v>567</v>
      </c>
    </row>
    <row r="12" spans="1:52" ht="13.5" customHeight="1" x14ac:dyDescent="0.25">
      <c r="A12" s="301">
        <v>1</v>
      </c>
      <c r="B12" s="350">
        <v>5489</v>
      </c>
      <c r="C12" s="351">
        <v>600099482</v>
      </c>
      <c r="D12" s="303">
        <v>71166289</v>
      </c>
      <c r="E12" s="352" t="s">
        <v>372</v>
      </c>
      <c r="F12" s="303">
        <v>3111</v>
      </c>
      <c r="G12" s="352" t="s">
        <v>326</v>
      </c>
      <c r="H12" s="353" t="s">
        <v>278</v>
      </c>
      <c r="I12" s="470">
        <v>3461050</v>
      </c>
      <c r="J12" s="471">
        <v>2526373</v>
      </c>
      <c r="K12" s="471">
        <v>7800</v>
      </c>
      <c r="L12" s="471">
        <v>856550</v>
      </c>
      <c r="M12" s="471">
        <v>50527</v>
      </c>
      <c r="N12" s="471">
        <v>19800</v>
      </c>
      <c r="O12" s="472">
        <v>5.5244999999999997</v>
      </c>
      <c r="P12" s="473">
        <v>4.0644999999999998</v>
      </c>
      <c r="Q12" s="499">
        <v>1.46</v>
      </c>
      <c r="R12" s="477">
        <f>W12*-1</f>
        <v>0</v>
      </c>
      <c r="S12" s="475">
        <v>0</v>
      </c>
      <c r="T12" s="475">
        <v>0</v>
      </c>
      <c r="U12" s="475">
        <v>0</v>
      </c>
      <c r="V12" s="475">
        <f>SUM(R12:U12)</f>
        <v>0</v>
      </c>
      <c r="W12" s="713">
        <v>0</v>
      </c>
      <c r="X12" s="475">
        <v>0</v>
      </c>
      <c r="Y12" s="475">
        <v>0</v>
      </c>
      <c r="Z12" s="475">
        <f>SUM(W12:Y12)</f>
        <v>0</v>
      </c>
      <c r="AA12" s="475">
        <f>V12+Z12</f>
        <v>0</v>
      </c>
      <c r="AB12" s="155">
        <f>ROUND((V12+W12+X12)*33.8%,0)</f>
        <v>0</v>
      </c>
      <c r="AC12" s="155">
        <f>ROUND(V12*2%,0)</f>
        <v>0</v>
      </c>
      <c r="AD12" s="475">
        <v>0</v>
      </c>
      <c r="AE12" s="475">
        <v>0</v>
      </c>
      <c r="AF12" s="475">
        <f>SUM(AD12:AE12)</f>
        <v>0</v>
      </c>
      <c r="AG12" s="475">
        <f>AA12+AB12+AC12+AF12</f>
        <v>0</v>
      </c>
      <c r="AH12" s="476">
        <v>0</v>
      </c>
      <c r="AI12" s="476">
        <v>0</v>
      </c>
      <c r="AJ12" s="476">
        <v>0</v>
      </c>
      <c r="AK12" s="476">
        <v>0</v>
      </c>
      <c r="AL12" s="476">
        <v>0</v>
      </c>
      <c r="AM12" s="476">
        <v>0</v>
      </c>
      <c r="AN12" s="476">
        <v>0</v>
      </c>
      <c r="AO12" s="493">
        <f>AH12+AJ12+AK12+AM12</f>
        <v>0</v>
      </c>
      <c r="AP12" s="493">
        <f>AI12+AN12+AL12</f>
        <v>0</v>
      </c>
      <c r="AQ12" s="478">
        <f>SUM(AO12:AP12)</f>
        <v>0</v>
      </c>
      <c r="AR12" s="474">
        <f>I12+AG12</f>
        <v>3461050</v>
      </c>
      <c r="AS12" s="475">
        <f>J12+V12</f>
        <v>2526373</v>
      </c>
      <c r="AT12" s="475">
        <f>K12+Z12</f>
        <v>7800</v>
      </c>
      <c r="AU12" s="475">
        <f t="shared" ref="AU12:AV14" si="0">L12+AB12</f>
        <v>856550</v>
      </c>
      <c r="AV12" s="475">
        <f t="shared" si="0"/>
        <v>50527</v>
      </c>
      <c r="AW12" s="475">
        <f>N12+AF12</f>
        <v>19800</v>
      </c>
      <c r="AX12" s="476">
        <f>O12+AQ12</f>
        <v>5.5244999999999997</v>
      </c>
      <c r="AY12" s="476">
        <f t="shared" ref="AY12:AZ14" si="1">P12+AO12</f>
        <v>4.0644999999999998</v>
      </c>
      <c r="AZ12" s="478">
        <f t="shared" si="1"/>
        <v>1.46</v>
      </c>
    </row>
    <row r="13" spans="1:52" ht="12.95" customHeight="1" x14ac:dyDescent="0.25">
      <c r="A13" s="313">
        <v>1</v>
      </c>
      <c r="B13" s="354">
        <v>5489</v>
      </c>
      <c r="C13" s="355">
        <v>600099482</v>
      </c>
      <c r="D13" s="314">
        <v>71166289</v>
      </c>
      <c r="E13" s="356" t="s">
        <v>372</v>
      </c>
      <c r="F13" s="314">
        <v>3111</v>
      </c>
      <c r="G13" s="356" t="s">
        <v>320</v>
      </c>
      <c r="H13" s="317" t="s">
        <v>279</v>
      </c>
      <c r="I13" s="494">
        <v>0</v>
      </c>
      <c r="J13" s="489">
        <v>0</v>
      </c>
      <c r="K13" s="489">
        <v>0</v>
      </c>
      <c r="L13" s="489">
        <v>0</v>
      </c>
      <c r="M13" s="489">
        <v>0</v>
      </c>
      <c r="N13" s="489">
        <v>0</v>
      </c>
      <c r="O13" s="490">
        <v>0</v>
      </c>
      <c r="P13" s="491">
        <v>0</v>
      </c>
      <c r="Q13" s="500">
        <v>0</v>
      </c>
      <c r="R13" s="502">
        <f t="shared" ref="R13:R76" si="2">W13*-1</f>
        <v>0</v>
      </c>
      <c r="S13" s="492">
        <v>0</v>
      </c>
      <c r="T13" s="492">
        <v>0</v>
      </c>
      <c r="U13" s="492">
        <v>0</v>
      </c>
      <c r="V13" s="492">
        <f t="shared" ref="V13:V76" si="3">SUM(R13:U13)</f>
        <v>0</v>
      </c>
      <c r="W13" s="492">
        <v>0</v>
      </c>
      <c r="X13" s="492">
        <v>0</v>
      </c>
      <c r="Y13" s="492">
        <v>0</v>
      </c>
      <c r="Z13" s="492">
        <f>SUM(W13:Y13)</f>
        <v>0</v>
      </c>
      <c r="AA13" s="492">
        <f>V13+Z13</f>
        <v>0</v>
      </c>
      <c r="AB13" s="74">
        <f>ROUND((V13+W13+X13)*33.8%,0)</f>
        <v>0</v>
      </c>
      <c r="AC13" s="74">
        <f>ROUND(V13*2%,0)</f>
        <v>0</v>
      </c>
      <c r="AD13" s="492">
        <v>0</v>
      </c>
      <c r="AE13" s="492">
        <v>0</v>
      </c>
      <c r="AF13" s="492">
        <f t="shared" ref="AF13:AF76" si="4">SUM(AD13:AE13)</f>
        <v>0</v>
      </c>
      <c r="AG13" s="492">
        <f t="shared" ref="AG13:AG76" si="5">AA13+AB13+AC13+AF13</f>
        <v>0</v>
      </c>
      <c r="AH13" s="493">
        <v>0</v>
      </c>
      <c r="AI13" s="493">
        <v>0</v>
      </c>
      <c r="AJ13" s="493">
        <v>0</v>
      </c>
      <c r="AK13" s="493">
        <v>0</v>
      </c>
      <c r="AL13" s="493">
        <v>0</v>
      </c>
      <c r="AM13" s="493">
        <v>0</v>
      </c>
      <c r="AN13" s="493">
        <v>0</v>
      </c>
      <c r="AO13" s="493">
        <f t="shared" ref="AO13:AO14" si="6">AH13+AJ13+AK13+AM13</f>
        <v>0</v>
      </c>
      <c r="AP13" s="493">
        <f t="shared" ref="AP13:AP14" si="7">AI13+AN13+AL13</f>
        <v>0</v>
      </c>
      <c r="AQ13" s="495">
        <f t="shared" ref="AQ13:AQ76" si="8">SUM(AO13:AP13)</f>
        <v>0</v>
      </c>
      <c r="AR13" s="501">
        <f>I13+AG13</f>
        <v>0</v>
      </c>
      <c r="AS13" s="492">
        <f>J13+V13</f>
        <v>0</v>
      </c>
      <c r="AT13" s="492">
        <f>K13+Z13</f>
        <v>0</v>
      </c>
      <c r="AU13" s="492">
        <f t="shared" si="0"/>
        <v>0</v>
      </c>
      <c r="AV13" s="492">
        <f t="shared" si="0"/>
        <v>0</v>
      </c>
      <c r="AW13" s="492">
        <f>N13+AF13</f>
        <v>0</v>
      </c>
      <c r="AX13" s="493">
        <f>O13+AQ13</f>
        <v>0</v>
      </c>
      <c r="AY13" s="493">
        <f t="shared" si="1"/>
        <v>0</v>
      </c>
      <c r="AZ13" s="495">
        <f t="shared" si="1"/>
        <v>0</v>
      </c>
    </row>
    <row r="14" spans="1:52" ht="12.95" customHeight="1" x14ac:dyDescent="0.25">
      <c r="A14" s="313">
        <v>1</v>
      </c>
      <c r="B14" s="354">
        <v>5489</v>
      </c>
      <c r="C14" s="355">
        <v>600099482</v>
      </c>
      <c r="D14" s="314">
        <v>71166289</v>
      </c>
      <c r="E14" s="356" t="s">
        <v>372</v>
      </c>
      <c r="F14" s="314">
        <v>3141</v>
      </c>
      <c r="G14" s="356" t="s">
        <v>316</v>
      </c>
      <c r="H14" s="317" t="s">
        <v>279</v>
      </c>
      <c r="I14" s="494">
        <v>629784</v>
      </c>
      <c r="J14" s="489">
        <v>461879</v>
      </c>
      <c r="K14" s="489">
        <v>0</v>
      </c>
      <c r="L14" s="489">
        <v>156115</v>
      </c>
      <c r="M14" s="489">
        <v>9238</v>
      </c>
      <c r="N14" s="489">
        <v>2552</v>
      </c>
      <c r="O14" s="490">
        <v>1.45</v>
      </c>
      <c r="P14" s="491">
        <v>0</v>
      </c>
      <c r="Q14" s="500">
        <v>1.45</v>
      </c>
      <c r="R14" s="502">
        <f t="shared" si="2"/>
        <v>0</v>
      </c>
      <c r="S14" s="492">
        <v>0</v>
      </c>
      <c r="T14" s="492">
        <v>0</v>
      </c>
      <c r="U14" s="492">
        <v>0</v>
      </c>
      <c r="V14" s="492">
        <f t="shared" si="3"/>
        <v>0</v>
      </c>
      <c r="W14" s="492">
        <v>0</v>
      </c>
      <c r="X14" s="492">
        <v>0</v>
      </c>
      <c r="Y14" s="492">
        <v>0</v>
      </c>
      <c r="Z14" s="492">
        <f>SUM(W14:Y14)</f>
        <v>0</v>
      </c>
      <c r="AA14" s="492">
        <f>V14+Z14</f>
        <v>0</v>
      </c>
      <c r="AB14" s="74">
        <f>ROUND((V14+W14+X14)*33.8%,0)</f>
        <v>0</v>
      </c>
      <c r="AC14" s="74">
        <f>ROUND(V14*2%,0)</f>
        <v>0</v>
      </c>
      <c r="AD14" s="492">
        <v>0</v>
      </c>
      <c r="AE14" s="492">
        <v>0</v>
      </c>
      <c r="AF14" s="492">
        <f t="shared" si="4"/>
        <v>0</v>
      </c>
      <c r="AG14" s="492">
        <f t="shared" si="5"/>
        <v>0</v>
      </c>
      <c r="AH14" s="493">
        <v>0</v>
      </c>
      <c r="AI14" s="493">
        <v>0</v>
      </c>
      <c r="AJ14" s="493">
        <v>0</v>
      </c>
      <c r="AK14" s="493">
        <v>0</v>
      </c>
      <c r="AL14" s="493">
        <v>0</v>
      </c>
      <c r="AM14" s="493">
        <v>0</v>
      </c>
      <c r="AN14" s="493">
        <v>0</v>
      </c>
      <c r="AO14" s="493">
        <f t="shared" si="6"/>
        <v>0</v>
      </c>
      <c r="AP14" s="493">
        <f t="shared" si="7"/>
        <v>0</v>
      </c>
      <c r="AQ14" s="495">
        <f t="shared" si="8"/>
        <v>0</v>
      </c>
      <c r="AR14" s="501">
        <f>I14+AG14</f>
        <v>629784</v>
      </c>
      <c r="AS14" s="492">
        <f>J14+V14</f>
        <v>461879</v>
      </c>
      <c r="AT14" s="492">
        <f>K14+Z14</f>
        <v>0</v>
      </c>
      <c r="AU14" s="492">
        <f t="shared" si="0"/>
        <v>156115</v>
      </c>
      <c r="AV14" s="492">
        <f t="shared" si="0"/>
        <v>9238</v>
      </c>
      <c r="AW14" s="492">
        <f>N14+AF14</f>
        <v>2552</v>
      </c>
      <c r="AX14" s="493">
        <f>O14+AQ14</f>
        <v>1.45</v>
      </c>
      <c r="AY14" s="493">
        <f t="shared" si="1"/>
        <v>0</v>
      </c>
      <c r="AZ14" s="495">
        <f t="shared" si="1"/>
        <v>1.45</v>
      </c>
    </row>
    <row r="15" spans="1:52" ht="12.95" customHeight="1" x14ac:dyDescent="0.25">
      <c r="A15" s="357">
        <v>1</v>
      </c>
      <c r="B15" s="358">
        <v>5489</v>
      </c>
      <c r="C15" s="359">
        <v>600099482</v>
      </c>
      <c r="D15" s="358">
        <v>71166289</v>
      </c>
      <c r="E15" s="360" t="s">
        <v>373</v>
      </c>
      <c r="F15" s="308"/>
      <c r="G15" s="360"/>
      <c r="H15" s="322"/>
      <c r="I15" s="606">
        <v>4090834</v>
      </c>
      <c r="J15" s="602">
        <v>2988252</v>
      </c>
      <c r="K15" s="602">
        <v>7800</v>
      </c>
      <c r="L15" s="602">
        <v>1012665</v>
      </c>
      <c r="M15" s="602">
        <v>59765</v>
      </c>
      <c r="N15" s="602">
        <v>22352</v>
      </c>
      <c r="O15" s="603">
        <v>6.9744999999999999</v>
      </c>
      <c r="P15" s="603">
        <v>4.0644999999999998</v>
      </c>
      <c r="Q15" s="608">
        <v>2.91</v>
      </c>
      <c r="R15" s="606">
        <f t="shared" ref="R15:AZ15" si="9">SUM(R12:R14)</f>
        <v>0</v>
      </c>
      <c r="S15" s="602">
        <f t="shared" si="9"/>
        <v>0</v>
      </c>
      <c r="T15" s="602">
        <f t="shared" si="9"/>
        <v>0</v>
      </c>
      <c r="U15" s="602">
        <f t="shared" si="9"/>
        <v>0</v>
      </c>
      <c r="V15" s="602">
        <f t="shared" si="9"/>
        <v>0</v>
      </c>
      <c r="W15" s="602">
        <f t="shared" si="9"/>
        <v>0</v>
      </c>
      <c r="X15" s="602">
        <f t="shared" si="9"/>
        <v>0</v>
      </c>
      <c r="Y15" s="602">
        <f t="shared" si="9"/>
        <v>0</v>
      </c>
      <c r="Z15" s="602">
        <f t="shared" si="9"/>
        <v>0</v>
      </c>
      <c r="AA15" s="602">
        <f t="shared" si="9"/>
        <v>0</v>
      </c>
      <c r="AB15" s="602">
        <f t="shared" si="9"/>
        <v>0</v>
      </c>
      <c r="AC15" s="602">
        <f t="shared" si="9"/>
        <v>0</v>
      </c>
      <c r="AD15" s="602">
        <f t="shared" si="9"/>
        <v>0</v>
      </c>
      <c r="AE15" s="602">
        <f t="shared" si="9"/>
        <v>0</v>
      </c>
      <c r="AF15" s="602">
        <f t="shared" si="9"/>
        <v>0</v>
      </c>
      <c r="AG15" s="602">
        <f t="shared" si="9"/>
        <v>0</v>
      </c>
      <c r="AH15" s="603">
        <f t="shared" si="9"/>
        <v>0</v>
      </c>
      <c r="AI15" s="603">
        <f t="shared" si="9"/>
        <v>0</v>
      </c>
      <c r="AJ15" s="603">
        <f t="shared" si="9"/>
        <v>0</v>
      </c>
      <c r="AK15" s="603">
        <f t="shared" si="9"/>
        <v>0</v>
      </c>
      <c r="AL15" s="603">
        <f t="shared" si="9"/>
        <v>0</v>
      </c>
      <c r="AM15" s="603">
        <f t="shared" si="9"/>
        <v>0</v>
      </c>
      <c r="AN15" s="603">
        <f t="shared" si="9"/>
        <v>0</v>
      </c>
      <c r="AO15" s="603">
        <f t="shared" si="9"/>
        <v>0</v>
      </c>
      <c r="AP15" s="603">
        <f t="shared" si="9"/>
        <v>0</v>
      </c>
      <c r="AQ15" s="361">
        <f t="shared" si="9"/>
        <v>0</v>
      </c>
      <c r="AR15" s="610">
        <f t="shared" si="9"/>
        <v>4090834</v>
      </c>
      <c r="AS15" s="602">
        <f t="shared" si="9"/>
        <v>2988252</v>
      </c>
      <c r="AT15" s="602">
        <f t="shared" si="9"/>
        <v>7800</v>
      </c>
      <c r="AU15" s="602">
        <f t="shared" si="9"/>
        <v>1012665</v>
      </c>
      <c r="AV15" s="602">
        <f t="shared" si="9"/>
        <v>59765</v>
      </c>
      <c r="AW15" s="602">
        <f t="shared" si="9"/>
        <v>22352</v>
      </c>
      <c r="AX15" s="603">
        <f t="shared" si="9"/>
        <v>6.9744999999999999</v>
      </c>
      <c r="AY15" s="603">
        <f t="shared" si="9"/>
        <v>4.0644999999999998</v>
      </c>
      <c r="AZ15" s="361">
        <f t="shared" si="9"/>
        <v>2.91</v>
      </c>
    </row>
    <row r="16" spans="1:52" ht="12.95" customHeight="1" x14ac:dyDescent="0.25">
      <c r="A16" s="313">
        <v>2</v>
      </c>
      <c r="B16" s="354">
        <v>5451</v>
      </c>
      <c r="C16" s="355">
        <v>600098893</v>
      </c>
      <c r="D16" s="314">
        <v>70939331</v>
      </c>
      <c r="E16" s="356" t="s">
        <v>374</v>
      </c>
      <c r="F16" s="314">
        <v>3111</v>
      </c>
      <c r="G16" s="356" t="s">
        <v>326</v>
      </c>
      <c r="H16" s="317" t="s">
        <v>278</v>
      </c>
      <c r="I16" s="494">
        <v>10565956</v>
      </c>
      <c r="J16" s="489">
        <v>7718867</v>
      </c>
      <c r="K16" s="489">
        <v>11050</v>
      </c>
      <c r="L16" s="489">
        <v>2612712</v>
      </c>
      <c r="M16" s="489">
        <v>154377</v>
      </c>
      <c r="N16" s="489">
        <v>68950</v>
      </c>
      <c r="O16" s="490">
        <v>16.877299999999998</v>
      </c>
      <c r="P16" s="491">
        <v>12.2258</v>
      </c>
      <c r="Q16" s="500">
        <v>4.6515000000000004</v>
      </c>
      <c r="R16" s="502">
        <f t="shared" si="2"/>
        <v>0</v>
      </c>
      <c r="S16" s="492">
        <v>0</v>
      </c>
      <c r="T16" s="492">
        <v>0</v>
      </c>
      <c r="U16" s="492">
        <v>0</v>
      </c>
      <c r="V16" s="492">
        <f t="shared" si="3"/>
        <v>0</v>
      </c>
      <c r="W16" s="713">
        <v>0</v>
      </c>
      <c r="X16" s="492">
        <v>0</v>
      </c>
      <c r="Y16" s="492">
        <v>0</v>
      </c>
      <c r="Z16" s="492">
        <f>SUM(W16:Y16)</f>
        <v>0</v>
      </c>
      <c r="AA16" s="492">
        <f>V16+Z16</f>
        <v>0</v>
      </c>
      <c r="AB16" s="74">
        <f>ROUND((V16+W16+X16)*33.8%,0)</f>
        <v>0</v>
      </c>
      <c r="AC16" s="74">
        <f>ROUND(V16*2%,0)</f>
        <v>0</v>
      </c>
      <c r="AD16" s="492">
        <v>0</v>
      </c>
      <c r="AE16" s="492">
        <v>0</v>
      </c>
      <c r="AF16" s="492">
        <f t="shared" si="4"/>
        <v>0</v>
      </c>
      <c r="AG16" s="492">
        <f t="shared" si="5"/>
        <v>0</v>
      </c>
      <c r="AH16" s="493">
        <v>0</v>
      </c>
      <c r="AI16" s="493">
        <v>0</v>
      </c>
      <c r="AJ16" s="493">
        <v>0</v>
      </c>
      <c r="AK16" s="493">
        <v>0</v>
      </c>
      <c r="AL16" s="493">
        <v>0</v>
      </c>
      <c r="AM16" s="493">
        <v>0</v>
      </c>
      <c r="AN16" s="493">
        <v>0</v>
      </c>
      <c r="AO16" s="493">
        <f t="shared" ref="AO16:AO18" si="10">AH16+AJ16+AK16+AM16</f>
        <v>0</v>
      </c>
      <c r="AP16" s="493">
        <f t="shared" ref="AP16:AP18" si="11">AI16+AN16+AL16</f>
        <v>0</v>
      </c>
      <c r="AQ16" s="495">
        <f t="shared" si="8"/>
        <v>0</v>
      </c>
      <c r="AR16" s="501">
        <f>I16+AG16</f>
        <v>10565956</v>
      </c>
      <c r="AS16" s="492">
        <f>J16+V16</f>
        <v>7718867</v>
      </c>
      <c r="AT16" s="492">
        <f t="shared" ref="AT16:AT18" si="12">K16+Z16</f>
        <v>11050</v>
      </c>
      <c r="AU16" s="492">
        <f t="shared" ref="AU16:AV18" si="13">L16+AB16</f>
        <v>2612712</v>
      </c>
      <c r="AV16" s="492">
        <f t="shared" si="13"/>
        <v>154377</v>
      </c>
      <c r="AW16" s="492">
        <f>N16+AF16</f>
        <v>68950</v>
      </c>
      <c r="AX16" s="493">
        <f>O16+AQ16</f>
        <v>16.877299999999998</v>
      </c>
      <c r="AY16" s="493">
        <f t="shared" ref="AY16:AZ18" si="14">P16+AO16</f>
        <v>12.2258</v>
      </c>
      <c r="AZ16" s="495">
        <f t="shared" si="14"/>
        <v>4.6515000000000004</v>
      </c>
    </row>
    <row r="17" spans="1:52" ht="12.95" customHeight="1" x14ac:dyDescent="0.25">
      <c r="A17" s="313">
        <v>2</v>
      </c>
      <c r="B17" s="354">
        <v>5451</v>
      </c>
      <c r="C17" s="355">
        <v>600098893</v>
      </c>
      <c r="D17" s="314">
        <v>70939331</v>
      </c>
      <c r="E17" s="356" t="s">
        <v>374</v>
      </c>
      <c r="F17" s="314">
        <v>3111</v>
      </c>
      <c r="G17" s="356" t="s">
        <v>314</v>
      </c>
      <c r="H17" s="317" t="s">
        <v>278</v>
      </c>
      <c r="I17" s="494">
        <v>512982</v>
      </c>
      <c r="J17" s="489">
        <v>377748</v>
      </c>
      <c r="K17" s="489">
        <v>0</v>
      </c>
      <c r="L17" s="489">
        <v>127679</v>
      </c>
      <c r="M17" s="489">
        <v>7555</v>
      </c>
      <c r="N17" s="489">
        <v>0</v>
      </c>
      <c r="O17" s="490">
        <v>1</v>
      </c>
      <c r="P17" s="491">
        <v>1</v>
      </c>
      <c r="Q17" s="500">
        <v>0</v>
      </c>
      <c r="R17" s="502">
        <f t="shared" si="2"/>
        <v>0</v>
      </c>
      <c r="S17" s="492">
        <v>0</v>
      </c>
      <c r="T17" s="492">
        <v>0</v>
      </c>
      <c r="U17" s="492">
        <v>0</v>
      </c>
      <c r="V17" s="492">
        <f t="shared" si="3"/>
        <v>0</v>
      </c>
      <c r="W17" s="492">
        <v>0</v>
      </c>
      <c r="X17" s="492">
        <v>0</v>
      </c>
      <c r="Y17" s="492">
        <v>0</v>
      </c>
      <c r="Z17" s="492">
        <f>SUM(W17:Y17)</f>
        <v>0</v>
      </c>
      <c r="AA17" s="492">
        <f>V17+Z17</f>
        <v>0</v>
      </c>
      <c r="AB17" s="74">
        <f>ROUND((V17+W17+X17)*33.8%,0)</f>
        <v>0</v>
      </c>
      <c r="AC17" s="74">
        <f>ROUND(V17*2%,0)</f>
        <v>0</v>
      </c>
      <c r="AD17" s="492">
        <v>0</v>
      </c>
      <c r="AE17" s="492">
        <v>0</v>
      </c>
      <c r="AF17" s="492">
        <f t="shared" si="4"/>
        <v>0</v>
      </c>
      <c r="AG17" s="492">
        <f t="shared" si="5"/>
        <v>0</v>
      </c>
      <c r="AH17" s="493">
        <v>0</v>
      </c>
      <c r="AI17" s="493">
        <v>0</v>
      </c>
      <c r="AJ17" s="493">
        <v>0</v>
      </c>
      <c r="AK17" s="493">
        <v>0</v>
      </c>
      <c r="AL17" s="493">
        <v>0</v>
      </c>
      <c r="AM17" s="493">
        <v>0</v>
      </c>
      <c r="AN17" s="493">
        <v>0</v>
      </c>
      <c r="AO17" s="493">
        <f t="shared" si="10"/>
        <v>0</v>
      </c>
      <c r="AP17" s="493">
        <f t="shared" si="11"/>
        <v>0</v>
      </c>
      <c r="AQ17" s="495">
        <f t="shared" si="8"/>
        <v>0</v>
      </c>
      <c r="AR17" s="501">
        <f>I17+AG17</f>
        <v>512982</v>
      </c>
      <c r="AS17" s="492">
        <f>J17+V17</f>
        <v>377748</v>
      </c>
      <c r="AT17" s="492">
        <f t="shared" si="12"/>
        <v>0</v>
      </c>
      <c r="AU17" s="492">
        <f t="shared" si="13"/>
        <v>127679</v>
      </c>
      <c r="AV17" s="492">
        <f t="shared" si="13"/>
        <v>7555</v>
      </c>
      <c r="AW17" s="492">
        <f>N17+AF17</f>
        <v>0</v>
      </c>
      <c r="AX17" s="493">
        <f>O17+AQ17</f>
        <v>1</v>
      </c>
      <c r="AY17" s="493">
        <f t="shared" si="14"/>
        <v>1</v>
      </c>
      <c r="AZ17" s="495">
        <f t="shared" si="14"/>
        <v>0</v>
      </c>
    </row>
    <row r="18" spans="1:52" ht="12.95" customHeight="1" x14ac:dyDescent="0.25">
      <c r="A18" s="313">
        <v>2</v>
      </c>
      <c r="B18" s="354">
        <v>5451</v>
      </c>
      <c r="C18" s="355">
        <v>600098893</v>
      </c>
      <c r="D18" s="314">
        <v>70939331</v>
      </c>
      <c r="E18" s="356" t="s">
        <v>374</v>
      </c>
      <c r="F18" s="314">
        <v>3141</v>
      </c>
      <c r="G18" s="356" t="s">
        <v>316</v>
      </c>
      <c r="H18" s="317" t="s">
        <v>279</v>
      </c>
      <c r="I18" s="494">
        <v>1599859</v>
      </c>
      <c r="J18" s="489">
        <v>1172016</v>
      </c>
      <c r="K18" s="489">
        <v>0</v>
      </c>
      <c r="L18" s="489">
        <v>396141</v>
      </c>
      <c r="M18" s="489">
        <v>23440</v>
      </c>
      <c r="N18" s="489">
        <v>8262</v>
      </c>
      <c r="O18" s="490">
        <v>3.69</v>
      </c>
      <c r="P18" s="491">
        <v>0</v>
      </c>
      <c r="Q18" s="500">
        <v>3.69</v>
      </c>
      <c r="R18" s="502">
        <f t="shared" si="2"/>
        <v>0</v>
      </c>
      <c r="S18" s="492">
        <v>0</v>
      </c>
      <c r="T18" s="492">
        <v>0</v>
      </c>
      <c r="U18" s="492">
        <v>0</v>
      </c>
      <c r="V18" s="492">
        <f t="shared" si="3"/>
        <v>0</v>
      </c>
      <c r="W18" s="492">
        <v>0</v>
      </c>
      <c r="X18" s="492">
        <v>0</v>
      </c>
      <c r="Y18" s="492">
        <v>0</v>
      </c>
      <c r="Z18" s="492">
        <f>SUM(W18:Y18)</f>
        <v>0</v>
      </c>
      <c r="AA18" s="492">
        <f>V18+Z18</f>
        <v>0</v>
      </c>
      <c r="AB18" s="74">
        <f>ROUND((V18+W18+X18)*33.8%,0)</f>
        <v>0</v>
      </c>
      <c r="AC18" s="74">
        <f>ROUND(V18*2%,0)</f>
        <v>0</v>
      </c>
      <c r="AD18" s="492">
        <v>0</v>
      </c>
      <c r="AE18" s="492">
        <v>0</v>
      </c>
      <c r="AF18" s="492">
        <f t="shared" si="4"/>
        <v>0</v>
      </c>
      <c r="AG18" s="492">
        <f t="shared" si="5"/>
        <v>0</v>
      </c>
      <c r="AH18" s="493">
        <v>0</v>
      </c>
      <c r="AI18" s="493">
        <v>0</v>
      </c>
      <c r="AJ18" s="493">
        <v>0</v>
      </c>
      <c r="AK18" s="493">
        <v>0</v>
      </c>
      <c r="AL18" s="493">
        <v>0</v>
      </c>
      <c r="AM18" s="493">
        <v>0</v>
      </c>
      <c r="AN18" s="493">
        <v>0</v>
      </c>
      <c r="AO18" s="493">
        <f t="shared" si="10"/>
        <v>0</v>
      </c>
      <c r="AP18" s="493">
        <f t="shared" si="11"/>
        <v>0</v>
      </c>
      <c r="AQ18" s="495">
        <f t="shared" si="8"/>
        <v>0</v>
      </c>
      <c r="AR18" s="501">
        <f>I18+AG18</f>
        <v>1599859</v>
      </c>
      <c r="AS18" s="492">
        <f>J18+V18</f>
        <v>1172016</v>
      </c>
      <c r="AT18" s="492">
        <f t="shared" si="12"/>
        <v>0</v>
      </c>
      <c r="AU18" s="492">
        <f t="shared" si="13"/>
        <v>396141</v>
      </c>
      <c r="AV18" s="492">
        <f t="shared" si="13"/>
        <v>23440</v>
      </c>
      <c r="AW18" s="492">
        <f>N18+AF18</f>
        <v>8262</v>
      </c>
      <c r="AX18" s="493">
        <f>O18+AQ18</f>
        <v>3.69</v>
      </c>
      <c r="AY18" s="493">
        <f t="shared" si="14"/>
        <v>0</v>
      </c>
      <c r="AZ18" s="495">
        <f t="shared" si="14"/>
        <v>3.69</v>
      </c>
    </row>
    <row r="19" spans="1:52" ht="12.95" customHeight="1" x14ac:dyDescent="0.25">
      <c r="A19" s="357">
        <v>2</v>
      </c>
      <c r="B19" s="358">
        <v>5451</v>
      </c>
      <c r="C19" s="359">
        <v>600098893</v>
      </c>
      <c r="D19" s="358">
        <v>70939331</v>
      </c>
      <c r="E19" s="360" t="s">
        <v>375</v>
      </c>
      <c r="F19" s="308"/>
      <c r="G19" s="360"/>
      <c r="H19" s="322"/>
      <c r="I19" s="606">
        <v>12678797</v>
      </c>
      <c r="J19" s="602">
        <v>9268631</v>
      </c>
      <c r="K19" s="602">
        <v>11050</v>
      </c>
      <c r="L19" s="602">
        <v>3136532</v>
      </c>
      <c r="M19" s="602">
        <v>185372</v>
      </c>
      <c r="N19" s="602">
        <v>77212</v>
      </c>
      <c r="O19" s="603">
        <v>21.567299999999999</v>
      </c>
      <c r="P19" s="603">
        <v>13.2258</v>
      </c>
      <c r="Q19" s="608">
        <v>8.3414999999999999</v>
      </c>
      <c r="R19" s="606">
        <f t="shared" ref="R19:AZ19" si="15">SUM(R16:R18)</f>
        <v>0</v>
      </c>
      <c r="S19" s="602">
        <f t="shared" si="15"/>
        <v>0</v>
      </c>
      <c r="T19" s="602">
        <f t="shared" si="15"/>
        <v>0</v>
      </c>
      <c r="U19" s="602">
        <f t="shared" si="15"/>
        <v>0</v>
      </c>
      <c r="V19" s="602">
        <f t="shared" si="15"/>
        <v>0</v>
      </c>
      <c r="W19" s="602">
        <f t="shared" si="15"/>
        <v>0</v>
      </c>
      <c r="X19" s="602">
        <f t="shared" si="15"/>
        <v>0</v>
      </c>
      <c r="Y19" s="602">
        <f t="shared" si="15"/>
        <v>0</v>
      </c>
      <c r="Z19" s="602">
        <f t="shared" si="15"/>
        <v>0</v>
      </c>
      <c r="AA19" s="602">
        <f t="shared" si="15"/>
        <v>0</v>
      </c>
      <c r="AB19" s="602">
        <f t="shared" si="15"/>
        <v>0</v>
      </c>
      <c r="AC19" s="602">
        <f t="shared" si="15"/>
        <v>0</v>
      </c>
      <c r="AD19" s="602">
        <f t="shared" si="15"/>
        <v>0</v>
      </c>
      <c r="AE19" s="602">
        <f t="shared" si="15"/>
        <v>0</v>
      </c>
      <c r="AF19" s="602">
        <f t="shared" si="15"/>
        <v>0</v>
      </c>
      <c r="AG19" s="602">
        <f t="shared" si="15"/>
        <v>0</v>
      </c>
      <c r="AH19" s="603">
        <f t="shared" si="15"/>
        <v>0</v>
      </c>
      <c r="AI19" s="603">
        <f t="shared" si="15"/>
        <v>0</v>
      </c>
      <c r="AJ19" s="603">
        <f t="shared" si="15"/>
        <v>0</v>
      </c>
      <c r="AK19" s="603">
        <f t="shared" si="15"/>
        <v>0</v>
      </c>
      <c r="AL19" s="603">
        <f t="shared" si="15"/>
        <v>0</v>
      </c>
      <c r="AM19" s="603">
        <f t="shared" si="15"/>
        <v>0</v>
      </c>
      <c r="AN19" s="603">
        <f t="shared" si="15"/>
        <v>0</v>
      </c>
      <c r="AO19" s="603">
        <f t="shared" si="15"/>
        <v>0</v>
      </c>
      <c r="AP19" s="603">
        <f t="shared" si="15"/>
        <v>0</v>
      </c>
      <c r="AQ19" s="361">
        <f t="shared" si="15"/>
        <v>0</v>
      </c>
      <c r="AR19" s="610">
        <f t="shared" si="15"/>
        <v>12678797</v>
      </c>
      <c r="AS19" s="602">
        <f t="shared" si="15"/>
        <v>9268631</v>
      </c>
      <c r="AT19" s="602">
        <f t="shared" si="15"/>
        <v>11050</v>
      </c>
      <c r="AU19" s="602">
        <f t="shared" si="15"/>
        <v>3136532</v>
      </c>
      <c r="AV19" s="602">
        <f t="shared" si="15"/>
        <v>185372</v>
      </c>
      <c r="AW19" s="602">
        <f t="shared" si="15"/>
        <v>77212</v>
      </c>
      <c r="AX19" s="603">
        <f t="shared" si="15"/>
        <v>21.567299999999999</v>
      </c>
      <c r="AY19" s="603">
        <f t="shared" si="15"/>
        <v>13.2258</v>
      </c>
      <c r="AZ19" s="361">
        <f t="shared" si="15"/>
        <v>8.3414999999999999</v>
      </c>
    </row>
    <row r="20" spans="1:52" ht="12.95" customHeight="1" x14ac:dyDescent="0.25">
      <c r="A20" s="313">
        <v>3</v>
      </c>
      <c r="B20" s="354">
        <v>5450</v>
      </c>
      <c r="C20" s="355">
        <v>600098834</v>
      </c>
      <c r="D20" s="314">
        <v>70939322</v>
      </c>
      <c r="E20" s="356" t="s">
        <v>832</v>
      </c>
      <c r="F20" s="314">
        <v>3111</v>
      </c>
      <c r="G20" s="356" t="s">
        <v>326</v>
      </c>
      <c r="H20" s="317" t="s">
        <v>278</v>
      </c>
      <c r="I20" s="494">
        <v>6718034</v>
      </c>
      <c r="J20" s="489">
        <v>4878425</v>
      </c>
      <c r="K20" s="489">
        <v>39000</v>
      </c>
      <c r="L20" s="489">
        <v>1662090</v>
      </c>
      <c r="M20" s="489">
        <v>97569</v>
      </c>
      <c r="N20" s="489">
        <v>40950</v>
      </c>
      <c r="O20" s="490">
        <v>10.936999999999999</v>
      </c>
      <c r="P20" s="491">
        <v>8.0670000000000002</v>
      </c>
      <c r="Q20" s="500">
        <v>2.87</v>
      </c>
      <c r="R20" s="502">
        <f t="shared" si="2"/>
        <v>0</v>
      </c>
      <c r="S20" s="492">
        <v>0</v>
      </c>
      <c r="T20" s="492">
        <v>0</v>
      </c>
      <c r="U20" s="492">
        <v>0</v>
      </c>
      <c r="V20" s="492">
        <f t="shared" si="3"/>
        <v>0</v>
      </c>
      <c r="W20" s="713">
        <v>0</v>
      </c>
      <c r="X20" s="492">
        <v>0</v>
      </c>
      <c r="Y20" s="492">
        <v>0</v>
      </c>
      <c r="Z20" s="492">
        <f>SUM(W20:Y20)</f>
        <v>0</v>
      </c>
      <c r="AA20" s="492">
        <f>V20+Z20</f>
        <v>0</v>
      </c>
      <c r="AB20" s="74">
        <f>ROUND((V20+W20+X20)*33.8%,0)</f>
        <v>0</v>
      </c>
      <c r="AC20" s="74">
        <f>ROUND(V20*2%,0)</f>
        <v>0</v>
      </c>
      <c r="AD20" s="492">
        <v>0</v>
      </c>
      <c r="AE20" s="492">
        <v>0</v>
      </c>
      <c r="AF20" s="492">
        <f t="shared" si="4"/>
        <v>0</v>
      </c>
      <c r="AG20" s="492">
        <f t="shared" si="5"/>
        <v>0</v>
      </c>
      <c r="AH20" s="493">
        <v>0</v>
      </c>
      <c r="AI20" s="493">
        <v>0</v>
      </c>
      <c r="AJ20" s="493">
        <v>0</v>
      </c>
      <c r="AK20" s="493">
        <v>0</v>
      </c>
      <c r="AL20" s="493">
        <v>0</v>
      </c>
      <c r="AM20" s="493">
        <v>0</v>
      </c>
      <c r="AN20" s="493">
        <v>0</v>
      </c>
      <c r="AO20" s="493">
        <f t="shared" ref="AO20:AO22" si="16">AH20+AJ20+AK20+AM20</f>
        <v>0</v>
      </c>
      <c r="AP20" s="493">
        <f t="shared" ref="AP20:AP22" si="17">AI20+AN20+AL20</f>
        <v>0</v>
      </c>
      <c r="AQ20" s="495">
        <f t="shared" si="8"/>
        <v>0</v>
      </c>
      <c r="AR20" s="501">
        <f>I20+AG20</f>
        <v>6718034</v>
      </c>
      <c r="AS20" s="492">
        <f>J20+V20</f>
        <v>4878425</v>
      </c>
      <c r="AT20" s="492">
        <f t="shared" ref="AT20:AT22" si="18">K20+Z20</f>
        <v>39000</v>
      </c>
      <c r="AU20" s="492">
        <f t="shared" ref="AU20:AV22" si="19">L20+AB20</f>
        <v>1662090</v>
      </c>
      <c r="AV20" s="492">
        <f t="shared" si="19"/>
        <v>97569</v>
      </c>
      <c r="AW20" s="492">
        <f>N20+AF20</f>
        <v>40950</v>
      </c>
      <c r="AX20" s="493">
        <f>O20+AQ20</f>
        <v>10.936999999999999</v>
      </c>
      <c r="AY20" s="493">
        <f t="shared" ref="AY20:AZ22" si="20">P20+AO20</f>
        <v>8.0670000000000002</v>
      </c>
      <c r="AZ20" s="495">
        <f t="shared" si="20"/>
        <v>2.87</v>
      </c>
    </row>
    <row r="21" spans="1:52" ht="12.95" customHeight="1" x14ac:dyDescent="0.25">
      <c r="A21" s="313">
        <v>3</v>
      </c>
      <c r="B21" s="354">
        <v>5450</v>
      </c>
      <c r="C21" s="355">
        <v>600098834</v>
      </c>
      <c r="D21" s="314">
        <v>70939322</v>
      </c>
      <c r="E21" s="356" t="s">
        <v>832</v>
      </c>
      <c r="F21" s="314">
        <v>3111</v>
      </c>
      <c r="G21" s="356" t="s">
        <v>320</v>
      </c>
      <c r="H21" s="317" t="s">
        <v>279</v>
      </c>
      <c r="I21" s="494">
        <v>744872</v>
      </c>
      <c r="J21" s="489">
        <v>548507</v>
      </c>
      <c r="K21" s="489">
        <v>0</v>
      </c>
      <c r="L21" s="489">
        <v>185395</v>
      </c>
      <c r="M21" s="489">
        <v>10970</v>
      </c>
      <c r="N21" s="489">
        <v>0</v>
      </c>
      <c r="O21" s="490">
        <v>1.5999999999999999</v>
      </c>
      <c r="P21" s="491">
        <v>1.5999999999999999</v>
      </c>
      <c r="Q21" s="500">
        <v>0</v>
      </c>
      <c r="R21" s="502">
        <f t="shared" si="2"/>
        <v>0</v>
      </c>
      <c r="S21" s="492">
        <v>-64958</v>
      </c>
      <c r="T21" s="492">
        <v>0</v>
      </c>
      <c r="U21" s="492">
        <v>0</v>
      </c>
      <c r="V21" s="492">
        <f t="shared" si="3"/>
        <v>-64958</v>
      </c>
      <c r="W21" s="492">
        <v>0</v>
      </c>
      <c r="X21" s="492">
        <v>0</v>
      </c>
      <c r="Y21" s="492">
        <v>0</v>
      </c>
      <c r="Z21" s="492">
        <f>SUM(W21:Y21)</f>
        <v>0</v>
      </c>
      <c r="AA21" s="492">
        <f>V21+Z21</f>
        <v>-64958</v>
      </c>
      <c r="AB21" s="74">
        <f>ROUND((V21+W21+X21)*33.8%,0)</f>
        <v>-21956</v>
      </c>
      <c r="AC21" s="74">
        <f>ROUND(V21*2%,0)</f>
        <v>-1299</v>
      </c>
      <c r="AD21" s="492">
        <v>0</v>
      </c>
      <c r="AE21" s="492">
        <v>0</v>
      </c>
      <c r="AF21" s="492">
        <f t="shared" si="4"/>
        <v>0</v>
      </c>
      <c r="AG21" s="492">
        <f t="shared" si="5"/>
        <v>-88213</v>
      </c>
      <c r="AH21" s="493">
        <v>0</v>
      </c>
      <c r="AI21" s="493">
        <v>0</v>
      </c>
      <c r="AJ21" s="493">
        <v>-0.19</v>
      </c>
      <c r="AK21" s="493">
        <v>0</v>
      </c>
      <c r="AL21" s="493">
        <v>0</v>
      </c>
      <c r="AM21" s="493">
        <v>0</v>
      </c>
      <c r="AN21" s="493">
        <v>0</v>
      </c>
      <c r="AO21" s="493">
        <f t="shared" si="16"/>
        <v>-0.19</v>
      </c>
      <c r="AP21" s="493">
        <f t="shared" si="17"/>
        <v>0</v>
      </c>
      <c r="AQ21" s="495">
        <f t="shared" si="8"/>
        <v>-0.19</v>
      </c>
      <c r="AR21" s="501">
        <f>I21+AG21</f>
        <v>656659</v>
      </c>
      <c r="AS21" s="492">
        <f>J21+V21</f>
        <v>483549</v>
      </c>
      <c r="AT21" s="492">
        <f t="shared" si="18"/>
        <v>0</v>
      </c>
      <c r="AU21" s="492">
        <f t="shared" si="19"/>
        <v>163439</v>
      </c>
      <c r="AV21" s="492">
        <f t="shared" si="19"/>
        <v>9671</v>
      </c>
      <c r="AW21" s="492">
        <f>N21+AF21</f>
        <v>0</v>
      </c>
      <c r="AX21" s="493">
        <f>O21+AQ21</f>
        <v>1.41</v>
      </c>
      <c r="AY21" s="493">
        <f t="shared" si="20"/>
        <v>1.41</v>
      </c>
      <c r="AZ21" s="495">
        <f t="shared" si="20"/>
        <v>0</v>
      </c>
    </row>
    <row r="22" spans="1:52" ht="12.95" customHeight="1" x14ac:dyDescent="0.25">
      <c r="A22" s="313">
        <v>3</v>
      </c>
      <c r="B22" s="354">
        <v>5450</v>
      </c>
      <c r="C22" s="355">
        <v>600098834</v>
      </c>
      <c r="D22" s="314">
        <v>70939322</v>
      </c>
      <c r="E22" s="356" t="s">
        <v>832</v>
      </c>
      <c r="F22" s="314">
        <v>3141</v>
      </c>
      <c r="G22" s="356" t="s">
        <v>316</v>
      </c>
      <c r="H22" s="317" t="s">
        <v>279</v>
      </c>
      <c r="I22" s="494">
        <v>1041844</v>
      </c>
      <c r="J22" s="489">
        <v>763261</v>
      </c>
      <c r="K22" s="489">
        <v>0</v>
      </c>
      <c r="L22" s="489">
        <v>257982</v>
      </c>
      <c r="M22" s="489">
        <v>15265</v>
      </c>
      <c r="N22" s="489">
        <v>5336</v>
      </c>
      <c r="O22" s="490">
        <v>2.4</v>
      </c>
      <c r="P22" s="491">
        <v>0</v>
      </c>
      <c r="Q22" s="500">
        <v>2.4</v>
      </c>
      <c r="R22" s="502">
        <f t="shared" si="2"/>
        <v>0</v>
      </c>
      <c r="S22" s="492">
        <v>0</v>
      </c>
      <c r="T22" s="492">
        <v>0</v>
      </c>
      <c r="U22" s="492">
        <v>0</v>
      </c>
      <c r="V22" s="492">
        <f t="shared" si="3"/>
        <v>0</v>
      </c>
      <c r="W22" s="492">
        <v>0</v>
      </c>
      <c r="X22" s="492">
        <v>0</v>
      </c>
      <c r="Y22" s="492">
        <v>0</v>
      </c>
      <c r="Z22" s="492">
        <f>SUM(W22:Y22)</f>
        <v>0</v>
      </c>
      <c r="AA22" s="492">
        <f>V22+Z22</f>
        <v>0</v>
      </c>
      <c r="AB22" s="74">
        <f>ROUND((V22+W22+X22)*33.8%,0)</f>
        <v>0</v>
      </c>
      <c r="AC22" s="74">
        <f>ROUND(V22*2%,0)</f>
        <v>0</v>
      </c>
      <c r="AD22" s="492">
        <v>0</v>
      </c>
      <c r="AE22" s="492">
        <v>0</v>
      </c>
      <c r="AF22" s="492">
        <f t="shared" si="4"/>
        <v>0</v>
      </c>
      <c r="AG22" s="492">
        <f t="shared" si="5"/>
        <v>0</v>
      </c>
      <c r="AH22" s="493">
        <v>0</v>
      </c>
      <c r="AI22" s="493">
        <v>0</v>
      </c>
      <c r="AJ22" s="493">
        <v>0</v>
      </c>
      <c r="AK22" s="493">
        <v>0</v>
      </c>
      <c r="AL22" s="493">
        <v>0</v>
      </c>
      <c r="AM22" s="493">
        <v>0</v>
      </c>
      <c r="AN22" s="493">
        <v>0</v>
      </c>
      <c r="AO22" s="493">
        <f t="shared" si="16"/>
        <v>0</v>
      </c>
      <c r="AP22" s="493">
        <f t="shared" si="17"/>
        <v>0</v>
      </c>
      <c r="AQ22" s="495">
        <f t="shared" si="8"/>
        <v>0</v>
      </c>
      <c r="AR22" s="501">
        <f>I22+AG22</f>
        <v>1041844</v>
      </c>
      <c r="AS22" s="492">
        <f>J22+V22</f>
        <v>763261</v>
      </c>
      <c r="AT22" s="492">
        <f t="shared" si="18"/>
        <v>0</v>
      </c>
      <c r="AU22" s="492">
        <f t="shared" si="19"/>
        <v>257982</v>
      </c>
      <c r="AV22" s="492">
        <f t="shared" si="19"/>
        <v>15265</v>
      </c>
      <c r="AW22" s="492">
        <f>N22+AF22</f>
        <v>5336</v>
      </c>
      <c r="AX22" s="493">
        <f>O22+AQ22</f>
        <v>2.4</v>
      </c>
      <c r="AY22" s="493">
        <f t="shared" si="20"/>
        <v>0</v>
      </c>
      <c r="AZ22" s="495">
        <f t="shared" si="20"/>
        <v>2.4</v>
      </c>
    </row>
    <row r="23" spans="1:52" ht="12.95" customHeight="1" x14ac:dyDescent="0.25">
      <c r="A23" s="357">
        <v>3</v>
      </c>
      <c r="B23" s="358">
        <v>5450</v>
      </c>
      <c r="C23" s="359">
        <v>600098834</v>
      </c>
      <c r="D23" s="358">
        <v>70939322</v>
      </c>
      <c r="E23" s="360" t="s">
        <v>376</v>
      </c>
      <c r="F23" s="324"/>
      <c r="G23" s="362"/>
      <c r="H23" s="325"/>
      <c r="I23" s="606">
        <v>8504750</v>
      </c>
      <c r="J23" s="602">
        <v>6190193</v>
      </c>
      <c r="K23" s="602">
        <v>39000</v>
      </c>
      <c r="L23" s="602">
        <v>2105467</v>
      </c>
      <c r="M23" s="602">
        <v>123804</v>
      </c>
      <c r="N23" s="602">
        <v>46286</v>
      </c>
      <c r="O23" s="603">
        <v>14.936999999999999</v>
      </c>
      <c r="P23" s="603">
        <v>9.6669999999999998</v>
      </c>
      <c r="Q23" s="608">
        <v>5.27</v>
      </c>
      <c r="R23" s="606">
        <f t="shared" ref="R23:AZ23" si="21">SUM(R20:R22)</f>
        <v>0</v>
      </c>
      <c r="S23" s="602">
        <f t="shared" si="21"/>
        <v>-64958</v>
      </c>
      <c r="T23" s="602">
        <f t="shared" si="21"/>
        <v>0</v>
      </c>
      <c r="U23" s="602">
        <f t="shared" si="21"/>
        <v>0</v>
      </c>
      <c r="V23" s="602">
        <f t="shared" si="21"/>
        <v>-64958</v>
      </c>
      <c r="W23" s="602">
        <f t="shared" si="21"/>
        <v>0</v>
      </c>
      <c r="X23" s="602">
        <f t="shared" si="21"/>
        <v>0</v>
      </c>
      <c r="Y23" s="602">
        <f t="shared" si="21"/>
        <v>0</v>
      </c>
      <c r="Z23" s="602">
        <f t="shared" si="21"/>
        <v>0</v>
      </c>
      <c r="AA23" s="602">
        <f t="shared" si="21"/>
        <v>-64958</v>
      </c>
      <c r="AB23" s="602">
        <f t="shared" si="21"/>
        <v>-21956</v>
      </c>
      <c r="AC23" s="602">
        <f t="shared" si="21"/>
        <v>-1299</v>
      </c>
      <c r="AD23" s="602">
        <f t="shared" si="21"/>
        <v>0</v>
      </c>
      <c r="AE23" s="602">
        <f t="shared" si="21"/>
        <v>0</v>
      </c>
      <c r="AF23" s="602">
        <f t="shared" si="21"/>
        <v>0</v>
      </c>
      <c r="AG23" s="602">
        <f t="shared" si="21"/>
        <v>-88213</v>
      </c>
      <c r="AH23" s="603">
        <f t="shared" si="21"/>
        <v>0</v>
      </c>
      <c r="AI23" s="603">
        <f t="shared" si="21"/>
        <v>0</v>
      </c>
      <c r="AJ23" s="603">
        <f t="shared" si="21"/>
        <v>-0.19</v>
      </c>
      <c r="AK23" s="603">
        <f t="shared" si="21"/>
        <v>0</v>
      </c>
      <c r="AL23" s="603">
        <f t="shared" si="21"/>
        <v>0</v>
      </c>
      <c r="AM23" s="603">
        <f t="shared" si="21"/>
        <v>0</v>
      </c>
      <c r="AN23" s="603">
        <f t="shared" si="21"/>
        <v>0</v>
      </c>
      <c r="AO23" s="603">
        <f t="shared" si="21"/>
        <v>-0.19</v>
      </c>
      <c r="AP23" s="603">
        <f t="shared" si="21"/>
        <v>0</v>
      </c>
      <c r="AQ23" s="361">
        <f t="shared" si="21"/>
        <v>-0.19</v>
      </c>
      <c r="AR23" s="610">
        <f t="shared" si="21"/>
        <v>8416537</v>
      </c>
      <c r="AS23" s="602">
        <f t="shared" si="21"/>
        <v>6125235</v>
      </c>
      <c r="AT23" s="602">
        <f t="shared" si="21"/>
        <v>39000</v>
      </c>
      <c r="AU23" s="602">
        <f t="shared" si="21"/>
        <v>2083511</v>
      </c>
      <c r="AV23" s="602">
        <f t="shared" si="21"/>
        <v>122505</v>
      </c>
      <c r="AW23" s="602">
        <f t="shared" si="21"/>
        <v>46286</v>
      </c>
      <c r="AX23" s="603">
        <f t="shared" si="21"/>
        <v>14.747</v>
      </c>
      <c r="AY23" s="603">
        <f t="shared" si="21"/>
        <v>9.4770000000000003</v>
      </c>
      <c r="AZ23" s="361">
        <f t="shared" si="21"/>
        <v>5.27</v>
      </c>
    </row>
    <row r="24" spans="1:52" ht="12.95" customHeight="1" x14ac:dyDescent="0.25">
      <c r="A24" s="313">
        <v>4</v>
      </c>
      <c r="B24" s="354">
        <v>5447</v>
      </c>
      <c r="C24" s="363">
        <v>600099512</v>
      </c>
      <c r="D24" s="314">
        <v>854816</v>
      </c>
      <c r="E24" s="356" t="s">
        <v>377</v>
      </c>
      <c r="F24" s="314">
        <v>3233</v>
      </c>
      <c r="G24" s="356" t="s">
        <v>319</v>
      </c>
      <c r="H24" s="317" t="s">
        <v>279</v>
      </c>
      <c r="I24" s="494">
        <v>3363474</v>
      </c>
      <c r="J24" s="489">
        <v>2454674</v>
      </c>
      <c r="K24" s="489">
        <v>19500</v>
      </c>
      <c r="L24" s="489">
        <v>836271</v>
      </c>
      <c r="M24" s="489">
        <v>49093</v>
      </c>
      <c r="N24" s="489">
        <v>3936</v>
      </c>
      <c r="O24" s="490">
        <v>5.38</v>
      </c>
      <c r="P24" s="491">
        <v>3.56</v>
      </c>
      <c r="Q24" s="500">
        <v>1.82</v>
      </c>
      <c r="R24" s="502">
        <f t="shared" si="2"/>
        <v>0</v>
      </c>
      <c r="S24" s="492">
        <v>0</v>
      </c>
      <c r="T24" s="492">
        <v>0</v>
      </c>
      <c r="U24" s="492">
        <v>0</v>
      </c>
      <c r="V24" s="492">
        <f t="shared" si="3"/>
        <v>0</v>
      </c>
      <c r="W24" s="713">
        <v>0</v>
      </c>
      <c r="X24" s="492">
        <v>0</v>
      </c>
      <c r="Y24" s="492">
        <v>0</v>
      </c>
      <c r="Z24" s="492">
        <f>SUM(W24:Y24)</f>
        <v>0</v>
      </c>
      <c r="AA24" s="492">
        <f>V24+Z24</f>
        <v>0</v>
      </c>
      <c r="AB24" s="74">
        <f>ROUND((V24+W24+X24)*33.8%,0)</f>
        <v>0</v>
      </c>
      <c r="AC24" s="74">
        <f>ROUND(V24*2%,0)</f>
        <v>0</v>
      </c>
      <c r="AD24" s="492">
        <v>0</v>
      </c>
      <c r="AE24" s="492">
        <v>23124</v>
      </c>
      <c r="AF24" s="492">
        <f t="shared" si="4"/>
        <v>23124</v>
      </c>
      <c r="AG24" s="492">
        <f t="shared" si="5"/>
        <v>23124</v>
      </c>
      <c r="AH24" s="493">
        <v>0</v>
      </c>
      <c r="AI24" s="493">
        <v>0</v>
      </c>
      <c r="AJ24" s="493">
        <v>0</v>
      </c>
      <c r="AK24" s="493">
        <v>0</v>
      </c>
      <c r="AL24" s="493">
        <v>0</v>
      </c>
      <c r="AM24" s="493">
        <v>0</v>
      </c>
      <c r="AN24" s="493">
        <v>0</v>
      </c>
      <c r="AO24" s="493">
        <f>AH24+AJ24+AK24+AM24</f>
        <v>0</v>
      </c>
      <c r="AP24" s="493">
        <f>AI24+AN24+AL24</f>
        <v>0</v>
      </c>
      <c r="AQ24" s="495">
        <f t="shared" si="8"/>
        <v>0</v>
      </c>
      <c r="AR24" s="501">
        <f>I24+AG24</f>
        <v>3386598</v>
      </c>
      <c r="AS24" s="492">
        <f>J24+V24</f>
        <v>2454674</v>
      </c>
      <c r="AT24" s="492">
        <f>K24+Z24</f>
        <v>19500</v>
      </c>
      <c r="AU24" s="492">
        <f>L24+AB24</f>
        <v>836271</v>
      </c>
      <c r="AV24" s="492">
        <f>M24+AC24</f>
        <v>49093</v>
      </c>
      <c r="AW24" s="492">
        <f>N24+AF24</f>
        <v>27060</v>
      </c>
      <c r="AX24" s="493">
        <f>O24+AQ24</f>
        <v>5.38</v>
      </c>
      <c r="AY24" s="493">
        <f>P24+AO24</f>
        <v>3.56</v>
      </c>
      <c r="AZ24" s="495">
        <f>Q24+AP24</f>
        <v>1.82</v>
      </c>
    </row>
    <row r="25" spans="1:52" ht="12.95" customHeight="1" x14ac:dyDescent="0.25">
      <c r="A25" s="357">
        <v>4</v>
      </c>
      <c r="B25" s="358">
        <v>5447</v>
      </c>
      <c r="C25" s="359">
        <v>600099512</v>
      </c>
      <c r="D25" s="358">
        <v>854816</v>
      </c>
      <c r="E25" s="360" t="s">
        <v>378</v>
      </c>
      <c r="F25" s="324"/>
      <c r="G25" s="362"/>
      <c r="H25" s="325"/>
      <c r="I25" s="606">
        <v>3363474</v>
      </c>
      <c r="J25" s="602">
        <v>2454674</v>
      </c>
      <c r="K25" s="602">
        <v>19500</v>
      </c>
      <c r="L25" s="602">
        <v>836271</v>
      </c>
      <c r="M25" s="602">
        <v>49093</v>
      </c>
      <c r="N25" s="602">
        <v>3936</v>
      </c>
      <c r="O25" s="603">
        <v>5.38</v>
      </c>
      <c r="P25" s="603">
        <v>3.56</v>
      </c>
      <c r="Q25" s="608">
        <v>1.82</v>
      </c>
      <c r="R25" s="606">
        <f t="shared" ref="R25:AZ25" si="22">SUM(R24)</f>
        <v>0</v>
      </c>
      <c r="S25" s="602">
        <f t="shared" si="22"/>
        <v>0</v>
      </c>
      <c r="T25" s="602">
        <f t="shared" si="22"/>
        <v>0</v>
      </c>
      <c r="U25" s="602">
        <f t="shared" si="22"/>
        <v>0</v>
      </c>
      <c r="V25" s="602">
        <f t="shared" si="22"/>
        <v>0</v>
      </c>
      <c r="W25" s="602">
        <f t="shared" si="22"/>
        <v>0</v>
      </c>
      <c r="X25" s="602">
        <f t="shared" si="22"/>
        <v>0</v>
      </c>
      <c r="Y25" s="602">
        <f t="shared" si="22"/>
        <v>0</v>
      </c>
      <c r="Z25" s="602">
        <f t="shared" si="22"/>
        <v>0</v>
      </c>
      <c r="AA25" s="602">
        <f t="shared" si="22"/>
        <v>0</v>
      </c>
      <c r="AB25" s="602">
        <f t="shared" si="22"/>
        <v>0</v>
      </c>
      <c r="AC25" s="602">
        <f t="shared" si="22"/>
        <v>0</v>
      </c>
      <c r="AD25" s="602">
        <f t="shared" si="22"/>
        <v>0</v>
      </c>
      <c r="AE25" s="602">
        <f t="shared" si="22"/>
        <v>23124</v>
      </c>
      <c r="AF25" s="602">
        <f t="shared" si="22"/>
        <v>23124</v>
      </c>
      <c r="AG25" s="602">
        <f t="shared" si="22"/>
        <v>23124</v>
      </c>
      <c r="AH25" s="603">
        <f t="shared" si="22"/>
        <v>0</v>
      </c>
      <c r="AI25" s="603">
        <f t="shared" si="22"/>
        <v>0</v>
      </c>
      <c r="AJ25" s="603">
        <f t="shared" si="22"/>
        <v>0</v>
      </c>
      <c r="AK25" s="603">
        <f t="shared" si="22"/>
        <v>0</v>
      </c>
      <c r="AL25" s="603">
        <f t="shared" si="22"/>
        <v>0</v>
      </c>
      <c r="AM25" s="603">
        <f t="shared" si="22"/>
        <v>0</v>
      </c>
      <c r="AN25" s="603">
        <f t="shared" si="22"/>
        <v>0</v>
      </c>
      <c r="AO25" s="603">
        <f t="shared" si="22"/>
        <v>0</v>
      </c>
      <c r="AP25" s="603">
        <f t="shared" si="22"/>
        <v>0</v>
      </c>
      <c r="AQ25" s="361">
        <f t="shared" si="22"/>
        <v>0</v>
      </c>
      <c r="AR25" s="610">
        <f t="shared" si="22"/>
        <v>3386598</v>
      </c>
      <c r="AS25" s="602">
        <f t="shared" si="22"/>
        <v>2454674</v>
      </c>
      <c r="AT25" s="602">
        <f t="shared" si="22"/>
        <v>19500</v>
      </c>
      <c r="AU25" s="602">
        <f t="shared" si="22"/>
        <v>836271</v>
      </c>
      <c r="AV25" s="602">
        <f t="shared" si="22"/>
        <v>49093</v>
      </c>
      <c r="AW25" s="602">
        <f t="shared" si="22"/>
        <v>27060</v>
      </c>
      <c r="AX25" s="603">
        <f t="shared" si="22"/>
        <v>5.38</v>
      </c>
      <c r="AY25" s="603">
        <f t="shared" si="22"/>
        <v>3.56</v>
      </c>
      <c r="AZ25" s="361">
        <f t="shared" si="22"/>
        <v>1.82</v>
      </c>
    </row>
    <row r="26" spans="1:52" ht="12.95" customHeight="1" x14ac:dyDescent="0.25">
      <c r="A26" s="313">
        <v>5</v>
      </c>
      <c r="B26" s="354">
        <v>5444</v>
      </c>
      <c r="C26" s="355">
        <v>600099296</v>
      </c>
      <c r="D26" s="314">
        <v>854824</v>
      </c>
      <c r="E26" s="356" t="s">
        <v>379</v>
      </c>
      <c r="F26" s="314">
        <v>3113</v>
      </c>
      <c r="G26" s="356" t="s">
        <v>330</v>
      </c>
      <c r="H26" s="317" t="s">
        <v>278</v>
      </c>
      <c r="I26" s="494">
        <v>16796714</v>
      </c>
      <c r="J26" s="489">
        <v>11969600</v>
      </c>
      <c r="K26" s="489">
        <v>145020</v>
      </c>
      <c r="L26" s="489">
        <v>4094742</v>
      </c>
      <c r="M26" s="489">
        <v>239392</v>
      </c>
      <c r="N26" s="489">
        <v>347960</v>
      </c>
      <c r="O26" s="490">
        <v>22.232600000000001</v>
      </c>
      <c r="P26" s="491">
        <v>16.124600000000001</v>
      </c>
      <c r="Q26" s="500">
        <v>6.1079999999999997</v>
      </c>
      <c r="R26" s="502">
        <f t="shared" si="2"/>
        <v>0</v>
      </c>
      <c r="S26" s="492">
        <v>0</v>
      </c>
      <c r="T26" s="492">
        <v>0</v>
      </c>
      <c r="U26" s="492">
        <v>0</v>
      </c>
      <c r="V26" s="492">
        <f t="shared" si="3"/>
        <v>0</v>
      </c>
      <c r="W26" s="713">
        <v>0</v>
      </c>
      <c r="X26" s="492">
        <v>0</v>
      </c>
      <c r="Y26" s="492">
        <v>0</v>
      </c>
      <c r="Z26" s="492">
        <f t="shared" ref="Z26:Z31" si="23">SUM(W26:Y26)</f>
        <v>0</v>
      </c>
      <c r="AA26" s="492">
        <f t="shared" ref="AA26:AA31" si="24">V26+Z26</f>
        <v>0</v>
      </c>
      <c r="AB26" s="74">
        <f t="shared" ref="AB26:AB31" si="25">ROUND((V26+W26+X26)*33.8%,0)</f>
        <v>0</v>
      </c>
      <c r="AC26" s="74">
        <f t="shared" ref="AC26:AC31" si="26">ROUND(V26*2%,0)</f>
        <v>0</v>
      </c>
      <c r="AD26" s="492">
        <v>0</v>
      </c>
      <c r="AE26" s="492">
        <v>0</v>
      </c>
      <c r="AF26" s="492">
        <f t="shared" si="4"/>
        <v>0</v>
      </c>
      <c r="AG26" s="492">
        <f t="shared" si="5"/>
        <v>0</v>
      </c>
      <c r="AH26" s="493">
        <v>0</v>
      </c>
      <c r="AI26" s="493">
        <v>0</v>
      </c>
      <c r="AJ26" s="493">
        <v>0</v>
      </c>
      <c r="AK26" s="493">
        <v>0</v>
      </c>
      <c r="AL26" s="493">
        <v>0</v>
      </c>
      <c r="AM26" s="493">
        <v>0</v>
      </c>
      <c r="AN26" s="493">
        <v>0</v>
      </c>
      <c r="AO26" s="493">
        <f t="shared" ref="AO26:AO31" si="27">AH26+AJ26+AK26+AM26</f>
        <v>0</v>
      </c>
      <c r="AP26" s="493">
        <f t="shared" ref="AP26:AP31" si="28">AI26+AN26+AL26</f>
        <v>0</v>
      </c>
      <c r="AQ26" s="495">
        <f t="shared" si="8"/>
        <v>0</v>
      </c>
      <c r="AR26" s="501">
        <f t="shared" ref="AR26:AR31" si="29">I26+AG26</f>
        <v>16796714</v>
      </c>
      <c r="AS26" s="492">
        <f t="shared" ref="AS26:AS31" si="30">J26+V26</f>
        <v>11969600</v>
      </c>
      <c r="AT26" s="492">
        <f t="shared" ref="AT26:AT31" si="31">K26+Z26</f>
        <v>145020</v>
      </c>
      <c r="AU26" s="492">
        <f t="shared" ref="AU26:AV31" si="32">L26+AB26</f>
        <v>4094742</v>
      </c>
      <c r="AV26" s="492">
        <f t="shared" si="32"/>
        <v>239392</v>
      </c>
      <c r="AW26" s="492">
        <f t="shared" ref="AW26:AW31" si="33">N26+AF26</f>
        <v>347960</v>
      </c>
      <c r="AX26" s="493">
        <f t="shared" ref="AX26:AX31" si="34">O26+AQ26</f>
        <v>22.232600000000001</v>
      </c>
      <c r="AY26" s="493">
        <f t="shared" ref="AY26:AZ31" si="35">P26+AO26</f>
        <v>16.124600000000001</v>
      </c>
      <c r="AZ26" s="495">
        <f t="shared" si="35"/>
        <v>6.1079999999999997</v>
      </c>
    </row>
    <row r="27" spans="1:52" ht="12.95" customHeight="1" x14ac:dyDescent="0.25">
      <c r="A27" s="313">
        <v>5</v>
      </c>
      <c r="B27" s="354">
        <v>5444</v>
      </c>
      <c r="C27" s="355">
        <v>600099296</v>
      </c>
      <c r="D27" s="314">
        <v>854824</v>
      </c>
      <c r="E27" s="356" t="s">
        <v>379</v>
      </c>
      <c r="F27" s="314">
        <v>3113</v>
      </c>
      <c r="G27" s="356" t="s">
        <v>320</v>
      </c>
      <c r="H27" s="317" t="s">
        <v>279</v>
      </c>
      <c r="I27" s="494">
        <v>832082</v>
      </c>
      <c r="J27" s="489">
        <v>612726</v>
      </c>
      <c r="K27" s="489">
        <v>0</v>
      </c>
      <c r="L27" s="489">
        <v>207101</v>
      </c>
      <c r="M27" s="489">
        <v>12255</v>
      </c>
      <c r="N27" s="489">
        <v>0</v>
      </c>
      <c r="O27" s="490">
        <v>1.49</v>
      </c>
      <c r="P27" s="491">
        <v>1.49</v>
      </c>
      <c r="Q27" s="500">
        <v>0</v>
      </c>
      <c r="R27" s="502">
        <f t="shared" si="2"/>
        <v>0</v>
      </c>
      <c r="S27" s="492">
        <v>0</v>
      </c>
      <c r="T27" s="492">
        <v>0</v>
      </c>
      <c r="U27" s="492">
        <v>0</v>
      </c>
      <c r="V27" s="492">
        <f t="shared" si="3"/>
        <v>0</v>
      </c>
      <c r="W27" s="713">
        <v>0</v>
      </c>
      <c r="X27" s="492">
        <v>0</v>
      </c>
      <c r="Y27" s="492">
        <v>0</v>
      </c>
      <c r="Z27" s="492">
        <f t="shared" si="23"/>
        <v>0</v>
      </c>
      <c r="AA27" s="492">
        <f t="shared" si="24"/>
        <v>0</v>
      </c>
      <c r="AB27" s="74">
        <f t="shared" si="25"/>
        <v>0</v>
      </c>
      <c r="AC27" s="74">
        <f t="shared" si="26"/>
        <v>0</v>
      </c>
      <c r="AD27" s="492">
        <v>0</v>
      </c>
      <c r="AE27" s="492">
        <v>0</v>
      </c>
      <c r="AF27" s="492">
        <f t="shared" si="4"/>
        <v>0</v>
      </c>
      <c r="AG27" s="492">
        <f t="shared" si="5"/>
        <v>0</v>
      </c>
      <c r="AH27" s="493">
        <v>0</v>
      </c>
      <c r="AI27" s="493">
        <v>0</v>
      </c>
      <c r="AJ27" s="493">
        <v>0</v>
      </c>
      <c r="AK27" s="493">
        <v>0</v>
      </c>
      <c r="AL27" s="493">
        <v>0</v>
      </c>
      <c r="AM27" s="493">
        <v>0</v>
      </c>
      <c r="AN27" s="493">
        <v>0</v>
      </c>
      <c r="AO27" s="493">
        <f t="shared" si="27"/>
        <v>0</v>
      </c>
      <c r="AP27" s="493">
        <f t="shared" si="28"/>
        <v>0</v>
      </c>
      <c r="AQ27" s="495">
        <f t="shared" si="8"/>
        <v>0</v>
      </c>
      <c r="AR27" s="501">
        <f t="shared" si="29"/>
        <v>832082</v>
      </c>
      <c r="AS27" s="492">
        <f t="shared" si="30"/>
        <v>612726</v>
      </c>
      <c r="AT27" s="492">
        <f t="shared" si="31"/>
        <v>0</v>
      </c>
      <c r="AU27" s="492">
        <f t="shared" si="32"/>
        <v>207101</v>
      </c>
      <c r="AV27" s="492">
        <f t="shared" si="32"/>
        <v>12255</v>
      </c>
      <c r="AW27" s="492">
        <f t="shared" si="33"/>
        <v>0</v>
      </c>
      <c r="AX27" s="493">
        <f t="shared" si="34"/>
        <v>1.49</v>
      </c>
      <c r="AY27" s="493">
        <f t="shared" si="35"/>
        <v>1.49</v>
      </c>
      <c r="AZ27" s="495">
        <f t="shared" si="35"/>
        <v>0</v>
      </c>
    </row>
    <row r="28" spans="1:52" ht="12.95" customHeight="1" x14ac:dyDescent="0.25">
      <c r="A28" s="313">
        <v>5</v>
      </c>
      <c r="B28" s="354">
        <v>5444</v>
      </c>
      <c r="C28" s="355">
        <v>600099296</v>
      </c>
      <c r="D28" s="314">
        <v>854824</v>
      </c>
      <c r="E28" s="356" t="s">
        <v>379</v>
      </c>
      <c r="F28" s="314">
        <v>3122</v>
      </c>
      <c r="G28" s="356" t="s">
        <v>321</v>
      </c>
      <c r="H28" s="317" t="s">
        <v>278</v>
      </c>
      <c r="I28" s="494">
        <v>8799755</v>
      </c>
      <c r="J28" s="489">
        <v>6073108</v>
      </c>
      <c r="K28" s="489">
        <v>341760</v>
      </c>
      <c r="L28" s="489">
        <v>2168225</v>
      </c>
      <c r="M28" s="489">
        <v>121462</v>
      </c>
      <c r="N28" s="489">
        <v>95200</v>
      </c>
      <c r="O28" s="490">
        <v>9.8184000000000005</v>
      </c>
      <c r="P28" s="491">
        <v>8.4955999999999996</v>
      </c>
      <c r="Q28" s="500">
        <v>1.3228</v>
      </c>
      <c r="R28" s="502">
        <f t="shared" si="2"/>
        <v>0</v>
      </c>
      <c r="S28" s="492">
        <v>0</v>
      </c>
      <c r="T28" s="492">
        <v>0</v>
      </c>
      <c r="U28" s="492">
        <v>0</v>
      </c>
      <c r="V28" s="492">
        <f t="shared" si="3"/>
        <v>0</v>
      </c>
      <c r="W28" s="713">
        <v>0</v>
      </c>
      <c r="X28" s="492">
        <v>0</v>
      </c>
      <c r="Y28" s="492">
        <v>0</v>
      </c>
      <c r="Z28" s="492">
        <f t="shared" si="23"/>
        <v>0</v>
      </c>
      <c r="AA28" s="492">
        <f t="shared" si="24"/>
        <v>0</v>
      </c>
      <c r="AB28" s="74">
        <f t="shared" si="25"/>
        <v>0</v>
      </c>
      <c r="AC28" s="74">
        <f t="shared" si="26"/>
        <v>0</v>
      </c>
      <c r="AD28" s="492">
        <v>0</v>
      </c>
      <c r="AE28" s="492">
        <v>0</v>
      </c>
      <c r="AF28" s="492">
        <f t="shared" si="4"/>
        <v>0</v>
      </c>
      <c r="AG28" s="492">
        <f t="shared" si="5"/>
        <v>0</v>
      </c>
      <c r="AH28" s="493">
        <v>0</v>
      </c>
      <c r="AI28" s="493">
        <v>0</v>
      </c>
      <c r="AJ28" s="493">
        <v>0</v>
      </c>
      <c r="AK28" s="493">
        <v>0</v>
      </c>
      <c r="AL28" s="493">
        <v>0</v>
      </c>
      <c r="AM28" s="493">
        <v>0</v>
      </c>
      <c r="AN28" s="493">
        <v>0</v>
      </c>
      <c r="AO28" s="493">
        <f t="shared" si="27"/>
        <v>0</v>
      </c>
      <c r="AP28" s="493">
        <f t="shared" si="28"/>
        <v>0</v>
      </c>
      <c r="AQ28" s="495">
        <f t="shared" si="8"/>
        <v>0</v>
      </c>
      <c r="AR28" s="501">
        <f t="shared" si="29"/>
        <v>8799755</v>
      </c>
      <c r="AS28" s="492">
        <f t="shared" si="30"/>
        <v>6073108</v>
      </c>
      <c r="AT28" s="492">
        <f t="shared" si="31"/>
        <v>341760</v>
      </c>
      <c r="AU28" s="492">
        <f t="shared" si="32"/>
        <v>2168225</v>
      </c>
      <c r="AV28" s="492">
        <f t="shared" si="32"/>
        <v>121462</v>
      </c>
      <c r="AW28" s="492">
        <f t="shared" si="33"/>
        <v>95200</v>
      </c>
      <c r="AX28" s="493">
        <f t="shared" si="34"/>
        <v>9.8184000000000005</v>
      </c>
      <c r="AY28" s="493">
        <f t="shared" si="35"/>
        <v>8.4955999999999996</v>
      </c>
      <c r="AZ28" s="495">
        <f t="shared" si="35"/>
        <v>1.3228</v>
      </c>
    </row>
    <row r="29" spans="1:52" ht="12.95" customHeight="1" x14ac:dyDescent="0.25">
      <c r="A29" s="313">
        <v>5</v>
      </c>
      <c r="B29" s="354">
        <v>5444</v>
      </c>
      <c r="C29" s="355">
        <v>600099296</v>
      </c>
      <c r="D29" s="314">
        <v>854824</v>
      </c>
      <c r="E29" s="356" t="s">
        <v>379</v>
      </c>
      <c r="F29" s="314">
        <v>3141</v>
      </c>
      <c r="G29" s="356" t="s">
        <v>316</v>
      </c>
      <c r="H29" s="317" t="s">
        <v>279</v>
      </c>
      <c r="I29" s="494">
        <v>545501</v>
      </c>
      <c r="J29" s="489">
        <v>396825</v>
      </c>
      <c r="K29" s="489">
        <v>0</v>
      </c>
      <c r="L29" s="489">
        <v>134127</v>
      </c>
      <c r="M29" s="489">
        <v>7937</v>
      </c>
      <c r="N29" s="489">
        <v>6612</v>
      </c>
      <c r="O29" s="490">
        <v>1.25</v>
      </c>
      <c r="P29" s="491">
        <v>0</v>
      </c>
      <c r="Q29" s="500">
        <v>1.25</v>
      </c>
      <c r="R29" s="502">
        <f t="shared" si="2"/>
        <v>0</v>
      </c>
      <c r="S29" s="492">
        <v>0</v>
      </c>
      <c r="T29" s="492">
        <v>0</v>
      </c>
      <c r="U29" s="492">
        <v>0</v>
      </c>
      <c r="V29" s="492">
        <f t="shared" si="3"/>
        <v>0</v>
      </c>
      <c r="W29" s="713">
        <v>0</v>
      </c>
      <c r="X29" s="492">
        <v>0</v>
      </c>
      <c r="Y29" s="492">
        <v>0</v>
      </c>
      <c r="Z29" s="492">
        <f t="shared" si="23"/>
        <v>0</v>
      </c>
      <c r="AA29" s="492">
        <f t="shared" si="24"/>
        <v>0</v>
      </c>
      <c r="AB29" s="74">
        <f t="shared" si="25"/>
        <v>0</v>
      </c>
      <c r="AC29" s="74">
        <f t="shared" si="26"/>
        <v>0</v>
      </c>
      <c r="AD29" s="492">
        <v>0</v>
      </c>
      <c r="AE29" s="492">
        <v>0</v>
      </c>
      <c r="AF29" s="492">
        <f t="shared" si="4"/>
        <v>0</v>
      </c>
      <c r="AG29" s="492">
        <f t="shared" si="5"/>
        <v>0</v>
      </c>
      <c r="AH29" s="493">
        <v>0</v>
      </c>
      <c r="AI29" s="493">
        <v>0</v>
      </c>
      <c r="AJ29" s="493">
        <v>0</v>
      </c>
      <c r="AK29" s="493">
        <v>0</v>
      </c>
      <c r="AL29" s="493">
        <v>0</v>
      </c>
      <c r="AM29" s="493">
        <v>0</v>
      </c>
      <c r="AN29" s="493">
        <v>0</v>
      </c>
      <c r="AO29" s="493">
        <f t="shared" si="27"/>
        <v>0</v>
      </c>
      <c r="AP29" s="493">
        <f t="shared" si="28"/>
        <v>0</v>
      </c>
      <c r="AQ29" s="495">
        <f t="shared" si="8"/>
        <v>0</v>
      </c>
      <c r="AR29" s="501">
        <f t="shared" si="29"/>
        <v>545501</v>
      </c>
      <c r="AS29" s="492">
        <f t="shared" si="30"/>
        <v>396825</v>
      </c>
      <c r="AT29" s="492">
        <f t="shared" si="31"/>
        <v>0</v>
      </c>
      <c r="AU29" s="492">
        <f t="shared" si="32"/>
        <v>134127</v>
      </c>
      <c r="AV29" s="492">
        <f t="shared" si="32"/>
        <v>7937</v>
      </c>
      <c r="AW29" s="492">
        <f t="shared" si="33"/>
        <v>6612</v>
      </c>
      <c r="AX29" s="493">
        <f t="shared" si="34"/>
        <v>1.25</v>
      </c>
      <c r="AY29" s="493">
        <f t="shared" si="35"/>
        <v>0</v>
      </c>
      <c r="AZ29" s="495">
        <f t="shared" si="35"/>
        <v>1.25</v>
      </c>
    </row>
    <row r="30" spans="1:52" ht="12.95" customHeight="1" x14ac:dyDescent="0.25">
      <c r="A30" s="313">
        <v>5</v>
      </c>
      <c r="B30" s="354">
        <v>5444</v>
      </c>
      <c r="C30" s="355">
        <v>600099296</v>
      </c>
      <c r="D30" s="314">
        <v>854824</v>
      </c>
      <c r="E30" s="356" t="s">
        <v>379</v>
      </c>
      <c r="F30" s="314">
        <v>3143</v>
      </c>
      <c r="G30" s="356" t="s">
        <v>629</v>
      </c>
      <c r="H30" s="317" t="s">
        <v>278</v>
      </c>
      <c r="I30" s="494">
        <v>1804513</v>
      </c>
      <c r="J30" s="489">
        <v>1264759</v>
      </c>
      <c r="K30" s="489">
        <v>65000</v>
      </c>
      <c r="L30" s="489">
        <v>449459</v>
      </c>
      <c r="M30" s="489">
        <v>25295</v>
      </c>
      <c r="N30" s="489">
        <v>0</v>
      </c>
      <c r="O30" s="490">
        <v>3.0059</v>
      </c>
      <c r="P30" s="491">
        <v>3.0059</v>
      </c>
      <c r="Q30" s="500">
        <v>0</v>
      </c>
      <c r="R30" s="502">
        <f t="shared" si="2"/>
        <v>0</v>
      </c>
      <c r="S30" s="492">
        <v>0</v>
      </c>
      <c r="T30" s="492">
        <v>0</v>
      </c>
      <c r="U30" s="492">
        <v>0</v>
      </c>
      <c r="V30" s="492">
        <f t="shared" si="3"/>
        <v>0</v>
      </c>
      <c r="W30" s="713">
        <v>0</v>
      </c>
      <c r="X30" s="492">
        <v>0</v>
      </c>
      <c r="Y30" s="492">
        <v>0</v>
      </c>
      <c r="Z30" s="492">
        <f t="shared" si="23"/>
        <v>0</v>
      </c>
      <c r="AA30" s="492">
        <f t="shared" si="24"/>
        <v>0</v>
      </c>
      <c r="AB30" s="74">
        <f t="shared" si="25"/>
        <v>0</v>
      </c>
      <c r="AC30" s="74">
        <f t="shared" si="26"/>
        <v>0</v>
      </c>
      <c r="AD30" s="492">
        <v>0</v>
      </c>
      <c r="AE30" s="492">
        <v>0</v>
      </c>
      <c r="AF30" s="492">
        <f t="shared" si="4"/>
        <v>0</v>
      </c>
      <c r="AG30" s="492">
        <f t="shared" si="5"/>
        <v>0</v>
      </c>
      <c r="AH30" s="493">
        <v>0</v>
      </c>
      <c r="AI30" s="493">
        <v>0</v>
      </c>
      <c r="AJ30" s="493">
        <v>0</v>
      </c>
      <c r="AK30" s="493">
        <v>0</v>
      </c>
      <c r="AL30" s="493">
        <v>0</v>
      </c>
      <c r="AM30" s="493">
        <v>0</v>
      </c>
      <c r="AN30" s="493">
        <v>0</v>
      </c>
      <c r="AO30" s="493">
        <f t="shared" si="27"/>
        <v>0</v>
      </c>
      <c r="AP30" s="493">
        <f t="shared" si="28"/>
        <v>0</v>
      </c>
      <c r="AQ30" s="495">
        <f t="shared" si="8"/>
        <v>0</v>
      </c>
      <c r="AR30" s="501">
        <f t="shared" si="29"/>
        <v>1804513</v>
      </c>
      <c r="AS30" s="492">
        <f t="shared" si="30"/>
        <v>1264759</v>
      </c>
      <c r="AT30" s="492">
        <f t="shared" si="31"/>
        <v>65000</v>
      </c>
      <c r="AU30" s="492">
        <f t="shared" si="32"/>
        <v>449459</v>
      </c>
      <c r="AV30" s="492">
        <f t="shared" si="32"/>
        <v>25295</v>
      </c>
      <c r="AW30" s="492">
        <f t="shared" si="33"/>
        <v>0</v>
      </c>
      <c r="AX30" s="493">
        <f t="shared" si="34"/>
        <v>3.0059</v>
      </c>
      <c r="AY30" s="493">
        <f t="shared" si="35"/>
        <v>3.0059</v>
      </c>
      <c r="AZ30" s="495">
        <f t="shared" si="35"/>
        <v>0</v>
      </c>
    </row>
    <row r="31" spans="1:52" ht="12.95" customHeight="1" x14ac:dyDescent="0.25">
      <c r="A31" s="313">
        <v>5</v>
      </c>
      <c r="B31" s="354">
        <v>5444</v>
      </c>
      <c r="C31" s="355">
        <v>600099296</v>
      </c>
      <c r="D31" s="314">
        <v>854824</v>
      </c>
      <c r="E31" s="356" t="s">
        <v>379</v>
      </c>
      <c r="F31" s="314">
        <v>3143</v>
      </c>
      <c r="G31" s="356" t="s">
        <v>630</v>
      </c>
      <c r="H31" s="317" t="s">
        <v>279</v>
      </c>
      <c r="I31" s="494">
        <v>54432</v>
      </c>
      <c r="J31" s="489">
        <v>38492</v>
      </c>
      <c r="K31" s="489">
        <v>0</v>
      </c>
      <c r="L31" s="489">
        <v>13010</v>
      </c>
      <c r="M31" s="489">
        <v>770</v>
      </c>
      <c r="N31" s="489">
        <v>2160</v>
      </c>
      <c r="O31" s="490">
        <v>0.15</v>
      </c>
      <c r="P31" s="491">
        <v>0</v>
      </c>
      <c r="Q31" s="500">
        <v>0.15</v>
      </c>
      <c r="R31" s="502">
        <f t="shared" si="2"/>
        <v>0</v>
      </c>
      <c r="S31" s="492">
        <v>0</v>
      </c>
      <c r="T31" s="492">
        <v>0</v>
      </c>
      <c r="U31" s="492">
        <v>0</v>
      </c>
      <c r="V31" s="492">
        <f t="shared" si="3"/>
        <v>0</v>
      </c>
      <c r="W31" s="713">
        <v>0</v>
      </c>
      <c r="X31" s="492">
        <v>0</v>
      </c>
      <c r="Y31" s="492">
        <v>0</v>
      </c>
      <c r="Z31" s="492">
        <f t="shared" si="23"/>
        <v>0</v>
      </c>
      <c r="AA31" s="492">
        <f t="shared" si="24"/>
        <v>0</v>
      </c>
      <c r="AB31" s="74">
        <f t="shared" si="25"/>
        <v>0</v>
      </c>
      <c r="AC31" s="74">
        <f t="shared" si="26"/>
        <v>0</v>
      </c>
      <c r="AD31" s="492">
        <v>0</v>
      </c>
      <c r="AE31" s="492">
        <v>0</v>
      </c>
      <c r="AF31" s="492">
        <f t="shared" si="4"/>
        <v>0</v>
      </c>
      <c r="AG31" s="492">
        <f t="shared" si="5"/>
        <v>0</v>
      </c>
      <c r="AH31" s="493">
        <v>0</v>
      </c>
      <c r="AI31" s="493">
        <v>0</v>
      </c>
      <c r="AJ31" s="493">
        <v>0</v>
      </c>
      <c r="AK31" s="493">
        <v>0</v>
      </c>
      <c r="AL31" s="493">
        <v>0</v>
      </c>
      <c r="AM31" s="493">
        <v>0</v>
      </c>
      <c r="AN31" s="493">
        <v>0</v>
      </c>
      <c r="AO31" s="493">
        <f t="shared" si="27"/>
        <v>0</v>
      </c>
      <c r="AP31" s="493">
        <f t="shared" si="28"/>
        <v>0</v>
      </c>
      <c r="AQ31" s="495">
        <f t="shared" si="8"/>
        <v>0</v>
      </c>
      <c r="AR31" s="501">
        <f t="shared" si="29"/>
        <v>54432</v>
      </c>
      <c r="AS31" s="492">
        <f t="shared" si="30"/>
        <v>38492</v>
      </c>
      <c r="AT31" s="492">
        <f t="shared" si="31"/>
        <v>0</v>
      </c>
      <c r="AU31" s="492">
        <f t="shared" si="32"/>
        <v>13010</v>
      </c>
      <c r="AV31" s="492">
        <f t="shared" si="32"/>
        <v>770</v>
      </c>
      <c r="AW31" s="492">
        <f t="shared" si="33"/>
        <v>2160</v>
      </c>
      <c r="AX31" s="493">
        <f t="shared" si="34"/>
        <v>0.15</v>
      </c>
      <c r="AY31" s="493">
        <f t="shared" si="35"/>
        <v>0</v>
      </c>
      <c r="AZ31" s="495">
        <f t="shared" si="35"/>
        <v>0.15</v>
      </c>
    </row>
    <row r="32" spans="1:52" ht="12.95" customHeight="1" x14ac:dyDescent="0.25">
      <c r="A32" s="357">
        <v>5</v>
      </c>
      <c r="B32" s="358">
        <v>5444</v>
      </c>
      <c r="C32" s="359">
        <v>600099296</v>
      </c>
      <c r="D32" s="358">
        <v>854824</v>
      </c>
      <c r="E32" s="360" t="s">
        <v>380</v>
      </c>
      <c r="F32" s="324"/>
      <c r="G32" s="362"/>
      <c r="H32" s="325"/>
      <c r="I32" s="606">
        <v>28832997</v>
      </c>
      <c r="J32" s="602">
        <v>20355510</v>
      </c>
      <c r="K32" s="602">
        <v>551780</v>
      </c>
      <c r="L32" s="602">
        <v>7066664</v>
      </c>
      <c r="M32" s="602">
        <v>407111</v>
      </c>
      <c r="N32" s="602">
        <v>451932</v>
      </c>
      <c r="O32" s="603">
        <v>37.946899999999992</v>
      </c>
      <c r="P32" s="603">
        <v>29.116099999999999</v>
      </c>
      <c r="Q32" s="608">
        <v>8.8308</v>
      </c>
      <c r="R32" s="606">
        <f t="shared" ref="R32:AZ32" si="36">SUM(R26:R31)</f>
        <v>0</v>
      </c>
      <c r="S32" s="602">
        <f t="shared" si="36"/>
        <v>0</v>
      </c>
      <c r="T32" s="602">
        <f t="shared" si="36"/>
        <v>0</v>
      </c>
      <c r="U32" s="602">
        <f t="shared" si="36"/>
        <v>0</v>
      </c>
      <c r="V32" s="602">
        <f t="shared" si="36"/>
        <v>0</v>
      </c>
      <c r="W32" s="602">
        <f t="shared" si="36"/>
        <v>0</v>
      </c>
      <c r="X32" s="602">
        <f t="shared" si="36"/>
        <v>0</v>
      </c>
      <c r="Y32" s="602">
        <f t="shared" si="36"/>
        <v>0</v>
      </c>
      <c r="Z32" s="602">
        <f t="shared" si="36"/>
        <v>0</v>
      </c>
      <c r="AA32" s="602">
        <f t="shared" si="36"/>
        <v>0</v>
      </c>
      <c r="AB32" s="602">
        <f t="shared" si="36"/>
        <v>0</v>
      </c>
      <c r="AC32" s="602">
        <f t="shared" si="36"/>
        <v>0</v>
      </c>
      <c r="AD32" s="602">
        <f t="shared" si="36"/>
        <v>0</v>
      </c>
      <c r="AE32" s="602">
        <f t="shared" si="36"/>
        <v>0</v>
      </c>
      <c r="AF32" s="602">
        <f t="shared" si="36"/>
        <v>0</v>
      </c>
      <c r="AG32" s="602">
        <f t="shared" si="36"/>
        <v>0</v>
      </c>
      <c r="AH32" s="603">
        <f t="shared" si="36"/>
        <v>0</v>
      </c>
      <c r="AI32" s="603">
        <f t="shared" si="36"/>
        <v>0</v>
      </c>
      <c r="AJ32" s="603">
        <f t="shared" si="36"/>
        <v>0</v>
      </c>
      <c r="AK32" s="603">
        <f t="shared" si="36"/>
        <v>0</v>
      </c>
      <c r="AL32" s="603">
        <f t="shared" si="36"/>
        <v>0</v>
      </c>
      <c r="AM32" s="603">
        <f t="shared" si="36"/>
        <v>0</v>
      </c>
      <c r="AN32" s="603">
        <f t="shared" si="36"/>
        <v>0</v>
      </c>
      <c r="AO32" s="603">
        <f t="shared" si="36"/>
        <v>0</v>
      </c>
      <c r="AP32" s="603">
        <f t="shared" si="36"/>
        <v>0</v>
      </c>
      <c r="AQ32" s="361">
        <f t="shared" si="36"/>
        <v>0</v>
      </c>
      <c r="AR32" s="610">
        <f t="shared" si="36"/>
        <v>28832997</v>
      </c>
      <c r="AS32" s="602">
        <f t="shared" si="36"/>
        <v>20355510</v>
      </c>
      <c r="AT32" s="602">
        <f t="shared" si="36"/>
        <v>551780</v>
      </c>
      <c r="AU32" s="602">
        <f t="shared" si="36"/>
        <v>7066664</v>
      </c>
      <c r="AV32" s="602">
        <f t="shared" si="36"/>
        <v>407111</v>
      </c>
      <c r="AW32" s="602">
        <f t="shared" si="36"/>
        <v>451932</v>
      </c>
      <c r="AX32" s="603">
        <f t="shared" si="36"/>
        <v>37.946899999999992</v>
      </c>
      <c r="AY32" s="603">
        <f t="shared" si="36"/>
        <v>29.116099999999999</v>
      </c>
      <c r="AZ32" s="361">
        <f t="shared" si="36"/>
        <v>8.8308</v>
      </c>
    </row>
    <row r="33" spans="1:52" ht="12.95" customHeight="1" x14ac:dyDescent="0.25">
      <c r="A33" s="313">
        <v>6</v>
      </c>
      <c r="B33" s="354">
        <v>5449</v>
      </c>
      <c r="C33" s="355">
        <v>600099458</v>
      </c>
      <c r="D33" s="314">
        <v>70188408</v>
      </c>
      <c r="E33" s="356" t="s">
        <v>381</v>
      </c>
      <c r="F33" s="314">
        <v>3114</v>
      </c>
      <c r="G33" s="364" t="s">
        <v>559</v>
      </c>
      <c r="H33" s="317" t="s">
        <v>278</v>
      </c>
      <c r="I33" s="494">
        <v>10630468</v>
      </c>
      <c r="J33" s="489">
        <v>7713025</v>
      </c>
      <c r="K33" s="489">
        <v>45500</v>
      </c>
      <c r="L33" s="489">
        <v>2622382</v>
      </c>
      <c r="M33" s="489">
        <v>154261</v>
      </c>
      <c r="N33" s="489">
        <v>95300</v>
      </c>
      <c r="O33" s="490">
        <v>12.6327</v>
      </c>
      <c r="P33" s="491">
        <v>9</v>
      </c>
      <c r="Q33" s="500">
        <v>3.6326999999999994</v>
      </c>
      <c r="R33" s="502">
        <f t="shared" si="2"/>
        <v>0</v>
      </c>
      <c r="S33" s="492">
        <v>0</v>
      </c>
      <c r="T33" s="492">
        <v>0</v>
      </c>
      <c r="U33" s="492">
        <v>0</v>
      </c>
      <c r="V33" s="492">
        <f t="shared" si="3"/>
        <v>0</v>
      </c>
      <c r="W33" s="713">
        <v>0</v>
      </c>
      <c r="X33" s="492">
        <v>0</v>
      </c>
      <c r="Y33" s="492">
        <v>0</v>
      </c>
      <c r="Z33" s="492">
        <f>SUM(W33:Y33)</f>
        <v>0</v>
      </c>
      <c r="AA33" s="492">
        <f>V33+Z33</f>
        <v>0</v>
      </c>
      <c r="AB33" s="74">
        <f>ROUND((V33+W33+X33)*33.8%,0)</f>
        <v>0</v>
      </c>
      <c r="AC33" s="74">
        <f>ROUND(V33*2%,0)</f>
        <v>0</v>
      </c>
      <c r="AD33" s="492">
        <v>0</v>
      </c>
      <c r="AE33" s="492">
        <v>0</v>
      </c>
      <c r="AF33" s="492">
        <f t="shared" si="4"/>
        <v>0</v>
      </c>
      <c r="AG33" s="492">
        <f t="shared" si="5"/>
        <v>0</v>
      </c>
      <c r="AH33" s="493">
        <v>0</v>
      </c>
      <c r="AI33" s="493">
        <v>0</v>
      </c>
      <c r="AJ33" s="493">
        <v>0</v>
      </c>
      <c r="AK33" s="493">
        <v>0</v>
      </c>
      <c r="AL33" s="493">
        <v>0</v>
      </c>
      <c r="AM33" s="493">
        <v>0</v>
      </c>
      <c r="AN33" s="493">
        <v>0</v>
      </c>
      <c r="AO33" s="493">
        <f t="shared" ref="AO33:AO37" si="37">AH33+AJ33+AK33+AM33</f>
        <v>0</v>
      </c>
      <c r="AP33" s="493">
        <f t="shared" ref="AP33:AP37" si="38">AI33+AN33+AL33</f>
        <v>0</v>
      </c>
      <c r="AQ33" s="495">
        <f t="shared" si="8"/>
        <v>0</v>
      </c>
      <c r="AR33" s="501">
        <f>I33+AG33</f>
        <v>10630468</v>
      </c>
      <c r="AS33" s="492">
        <f>J33+V33</f>
        <v>7713025</v>
      </c>
      <c r="AT33" s="492">
        <f t="shared" ref="AT33:AT37" si="39">K33+Z33</f>
        <v>45500</v>
      </c>
      <c r="AU33" s="492">
        <f t="shared" ref="AU33:AV37" si="40">L33+AB33</f>
        <v>2622382</v>
      </c>
      <c r="AV33" s="492">
        <f t="shared" si="40"/>
        <v>154261</v>
      </c>
      <c r="AW33" s="492">
        <f>N33+AF33</f>
        <v>95300</v>
      </c>
      <c r="AX33" s="493">
        <f>O33+AQ33</f>
        <v>12.6327</v>
      </c>
      <c r="AY33" s="493">
        <f t="shared" ref="AY33:AZ37" si="41">P33+AO33</f>
        <v>9</v>
      </c>
      <c r="AZ33" s="495">
        <f t="shared" si="41"/>
        <v>3.6326999999999994</v>
      </c>
    </row>
    <row r="34" spans="1:52" ht="12.95" customHeight="1" x14ac:dyDescent="0.25">
      <c r="A34" s="313">
        <v>6</v>
      </c>
      <c r="B34" s="354">
        <v>5449</v>
      </c>
      <c r="C34" s="355">
        <v>600099458</v>
      </c>
      <c r="D34" s="314">
        <v>70188408</v>
      </c>
      <c r="E34" s="356" t="s">
        <v>381</v>
      </c>
      <c r="F34" s="314">
        <v>3114</v>
      </c>
      <c r="G34" s="364" t="s">
        <v>314</v>
      </c>
      <c r="H34" s="317" t="s">
        <v>278</v>
      </c>
      <c r="I34" s="494">
        <v>1817957</v>
      </c>
      <c r="J34" s="489">
        <v>1338702</v>
      </c>
      <c r="K34" s="489">
        <v>0</v>
      </c>
      <c r="L34" s="489">
        <v>452481</v>
      </c>
      <c r="M34" s="489">
        <v>26774</v>
      </c>
      <c r="N34" s="489">
        <v>0</v>
      </c>
      <c r="O34" s="490">
        <v>3.2799</v>
      </c>
      <c r="P34" s="491">
        <v>3.2799</v>
      </c>
      <c r="Q34" s="500">
        <v>0</v>
      </c>
      <c r="R34" s="502">
        <f t="shared" si="2"/>
        <v>0</v>
      </c>
      <c r="S34" s="492">
        <v>0</v>
      </c>
      <c r="T34" s="492">
        <v>0</v>
      </c>
      <c r="U34" s="492">
        <v>0</v>
      </c>
      <c r="V34" s="492">
        <f t="shared" si="3"/>
        <v>0</v>
      </c>
      <c r="W34" s="713">
        <v>0</v>
      </c>
      <c r="X34" s="492">
        <v>0</v>
      </c>
      <c r="Y34" s="492">
        <v>0</v>
      </c>
      <c r="Z34" s="492">
        <f>SUM(W34:Y34)</f>
        <v>0</v>
      </c>
      <c r="AA34" s="492">
        <f>V34+Z34</f>
        <v>0</v>
      </c>
      <c r="AB34" s="74">
        <f>ROUND((V34+W34+X34)*33.8%,0)</f>
        <v>0</v>
      </c>
      <c r="AC34" s="74">
        <f>ROUND(V34*2%,0)</f>
        <v>0</v>
      </c>
      <c r="AD34" s="492">
        <v>0</v>
      </c>
      <c r="AE34" s="492">
        <v>0</v>
      </c>
      <c r="AF34" s="492">
        <f t="shared" si="4"/>
        <v>0</v>
      </c>
      <c r="AG34" s="492">
        <f t="shared" si="5"/>
        <v>0</v>
      </c>
      <c r="AH34" s="493">
        <v>0</v>
      </c>
      <c r="AI34" s="493">
        <v>0</v>
      </c>
      <c r="AJ34" s="493">
        <v>0</v>
      </c>
      <c r="AK34" s="493">
        <v>0</v>
      </c>
      <c r="AL34" s="493">
        <v>0</v>
      </c>
      <c r="AM34" s="493">
        <v>0</v>
      </c>
      <c r="AN34" s="493">
        <v>0</v>
      </c>
      <c r="AO34" s="493">
        <f t="shared" si="37"/>
        <v>0</v>
      </c>
      <c r="AP34" s="493">
        <f t="shared" si="38"/>
        <v>0</v>
      </c>
      <c r="AQ34" s="495">
        <f t="shared" si="8"/>
        <v>0</v>
      </c>
      <c r="AR34" s="501">
        <f>I34+AG34</f>
        <v>1817957</v>
      </c>
      <c r="AS34" s="492">
        <f>J34+V34</f>
        <v>1338702</v>
      </c>
      <c r="AT34" s="492">
        <f t="shared" si="39"/>
        <v>0</v>
      </c>
      <c r="AU34" s="492">
        <f t="shared" si="40"/>
        <v>452481</v>
      </c>
      <c r="AV34" s="492">
        <f t="shared" si="40"/>
        <v>26774</v>
      </c>
      <c r="AW34" s="492">
        <f>N34+AF34</f>
        <v>0</v>
      </c>
      <c r="AX34" s="493">
        <f>O34+AQ34</f>
        <v>3.2799</v>
      </c>
      <c r="AY34" s="493">
        <f t="shared" si="41"/>
        <v>3.2799</v>
      </c>
      <c r="AZ34" s="495">
        <f t="shared" si="41"/>
        <v>0</v>
      </c>
    </row>
    <row r="35" spans="1:52" ht="12.95" customHeight="1" x14ac:dyDescent="0.25">
      <c r="A35" s="313">
        <v>6</v>
      </c>
      <c r="B35" s="354">
        <v>5449</v>
      </c>
      <c r="C35" s="355">
        <v>600099458</v>
      </c>
      <c r="D35" s="314">
        <v>70188408</v>
      </c>
      <c r="E35" s="356" t="s">
        <v>381</v>
      </c>
      <c r="F35" s="314">
        <v>3143</v>
      </c>
      <c r="G35" s="356" t="s">
        <v>629</v>
      </c>
      <c r="H35" s="317" t="s">
        <v>278</v>
      </c>
      <c r="I35" s="494">
        <v>459352</v>
      </c>
      <c r="J35" s="489">
        <v>338256</v>
      </c>
      <c r="K35" s="489">
        <v>0</v>
      </c>
      <c r="L35" s="489">
        <v>114331</v>
      </c>
      <c r="M35" s="489">
        <v>6765</v>
      </c>
      <c r="N35" s="489">
        <v>0</v>
      </c>
      <c r="O35" s="490">
        <v>0.71419999999999995</v>
      </c>
      <c r="P35" s="491">
        <v>0.71419999999999995</v>
      </c>
      <c r="Q35" s="500">
        <v>0</v>
      </c>
      <c r="R35" s="502">
        <f t="shared" si="2"/>
        <v>0</v>
      </c>
      <c r="S35" s="492">
        <v>0</v>
      </c>
      <c r="T35" s="492">
        <v>0</v>
      </c>
      <c r="U35" s="492">
        <v>0</v>
      </c>
      <c r="V35" s="492">
        <f t="shared" si="3"/>
        <v>0</v>
      </c>
      <c r="W35" s="713">
        <v>0</v>
      </c>
      <c r="X35" s="492">
        <v>0</v>
      </c>
      <c r="Y35" s="492">
        <v>0</v>
      </c>
      <c r="Z35" s="492">
        <f>SUM(W35:Y35)</f>
        <v>0</v>
      </c>
      <c r="AA35" s="492">
        <f>V35+Z35</f>
        <v>0</v>
      </c>
      <c r="AB35" s="74">
        <f>ROUND((V35+W35+X35)*33.8%,0)</f>
        <v>0</v>
      </c>
      <c r="AC35" s="74">
        <f>ROUND(V35*2%,0)</f>
        <v>0</v>
      </c>
      <c r="AD35" s="492">
        <v>0</v>
      </c>
      <c r="AE35" s="492">
        <v>0</v>
      </c>
      <c r="AF35" s="492">
        <f t="shared" si="4"/>
        <v>0</v>
      </c>
      <c r="AG35" s="492">
        <f t="shared" si="5"/>
        <v>0</v>
      </c>
      <c r="AH35" s="493">
        <v>0</v>
      </c>
      <c r="AI35" s="493">
        <v>0</v>
      </c>
      <c r="AJ35" s="493">
        <v>0</v>
      </c>
      <c r="AK35" s="493">
        <v>0</v>
      </c>
      <c r="AL35" s="493">
        <v>0</v>
      </c>
      <c r="AM35" s="493">
        <v>0</v>
      </c>
      <c r="AN35" s="493">
        <v>0</v>
      </c>
      <c r="AO35" s="493">
        <f t="shared" si="37"/>
        <v>0</v>
      </c>
      <c r="AP35" s="493">
        <f t="shared" si="38"/>
        <v>0</v>
      </c>
      <c r="AQ35" s="495">
        <f t="shared" si="8"/>
        <v>0</v>
      </c>
      <c r="AR35" s="501">
        <f>I35+AG35</f>
        <v>459352</v>
      </c>
      <c r="AS35" s="492">
        <f>J35+V35</f>
        <v>338256</v>
      </c>
      <c r="AT35" s="492">
        <f t="shared" si="39"/>
        <v>0</v>
      </c>
      <c r="AU35" s="492">
        <f t="shared" si="40"/>
        <v>114331</v>
      </c>
      <c r="AV35" s="492">
        <f t="shared" si="40"/>
        <v>6765</v>
      </c>
      <c r="AW35" s="492">
        <f>N35+AF35</f>
        <v>0</v>
      </c>
      <c r="AX35" s="493">
        <f>O35+AQ35</f>
        <v>0.71419999999999995</v>
      </c>
      <c r="AY35" s="493">
        <f t="shared" si="41"/>
        <v>0.71419999999999995</v>
      </c>
      <c r="AZ35" s="495">
        <f t="shared" si="41"/>
        <v>0</v>
      </c>
    </row>
    <row r="36" spans="1:52" ht="12.95" customHeight="1" x14ac:dyDescent="0.25">
      <c r="A36" s="313">
        <v>6</v>
      </c>
      <c r="B36" s="354">
        <v>5449</v>
      </c>
      <c r="C36" s="355">
        <v>600099458</v>
      </c>
      <c r="D36" s="314">
        <v>70188408</v>
      </c>
      <c r="E36" s="356" t="s">
        <v>381</v>
      </c>
      <c r="F36" s="314">
        <v>3143</v>
      </c>
      <c r="G36" s="356" t="s">
        <v>807</v>
      </c>
      <c r="H36" s="317" t="s">
        <v>278</v>
      </c>
      <c r="I36" s="494">
        <v>203444</v>
      </c>
      <c r="J36" s="489">
        <v>149812</v>
      </c>
      <c r="K36" s="489">
        <v>0</v>
      </c>
      <c r="L36" s="489">
        <v>50636</v>
      </c>
      <c r="M36" s="489">
        <v>2996</v>
      </c>
      <c r="N36" s="489">
        <v>0</v>
      </c>
      <c r="O36" s="490">
        <v>0.41670000000000001</v>
      </c>
      <c r="P36" s="491">
        <v>0.41670000000000001</v>
      </c>
      <c r="Q36" s="500">
        <v>0</v>
      </c>
      <c r="R36" s="502">
        <f t="shared" si="2"/>
        <v>0</v>
      </c>
      <c r="S36" s="492">
        <v>0</v>
      </c>
      <c r="T36" s="492">
        <v>0</v>
      </c>
      <c r="U36" s="492">
        <v>-13224</v>
      </c>
      <c r="V36" s="492">
        <f t="shared" si="3"/>
        <v>-13224</v>
      </c>
      <c r="W36" s="713">
        <v>0</v>
      </c>
      <c r="X36" s="492">
        <v>0</v>
      </c>
      <c r="Y36" s="492">
        <v>0</v>
      </c>
      <c r="Z36" s="492">
        <f>SUM(W36:Y36)</f>
        <v>0</v>
      </c>
      <c r="AA36" s="492">
        <f>V36+Z36</f>
        <v>-13224</v>
      </c>
      <c r="AB36" s="74">
        <f>ROUND((V36+W36+X36)*33.8%,0)</f>
        <v>-4470</v>
      </c>
      <c r="AC36" s="74">
        <f>ROUND(V36*2%,0)</f>
        <v>-264</v>
      </c>
      <c r="AD36" s="492">
        <v>0</v>
      </c>
      <c r="AE36" s="492">
        <v>0</v>
      </c>
      <c r="AF36" s="492">
        <f t="shared" si="4"/>
        <v>0</v>
      </c>
      <c r="AG36" s="492">
        <f t="shared" si="5"/>
        <v>-17958</v>
      </c>
      <c r="AH36" s="493">
        <v>0</v>
      </c>
      <c r="AI36" s="493">
        <v>0</v>
      </c>
      <c r="AJ36" s="493">
        <v>0</v>
      </c>
      <c r="AK36" s="493">
        <v>0</v>
      </c>
      <c r="AL36" s="493">
        <v>0</v>
      </c>
      <c r="AM36" s="493">
        <v>-0.04</v>
      </c>
      <c r="AN36" s="493">
        <v>0</v>
      </c>
      <c r="AO36" s="493">
        <f t="shared" si="37"/>
        <v>-0.04</v>
      </c>
      <c r="AP36" s="493">
        <f t="shared" si="38"/>
        <v>0</v>
      </c>
      <c r="AQ36" s="495">
        <f t="shared" si="8"/>
        <v>-0.04</v>
      </c>
      <c r="AR36" s="501">
        <f>I36+AG36</f>
        <v>185486</v>
      </c>
      <c r="AS36" s="492">
        <f>J36+V36</f>
        <v>136588</v>
      </c>
      <c r="AT36" s="492">
        <f t="shared" si="39"/>
        <v>0</v>
      </c>
      <c r="AU36" s="492">
        <f t="shared" si="40"/>
        <v>46166</v>
      </c>
      <c r="AV36" s="492">
        <f t="shared" si="40"/>
        <v>2732</v>
      </c>
      <c r="AW36" s="492">
        <f>N36+AF36</f>
        <v>0</v>
      </c>
      <c r="AX36" s="493">
        <f>O36+AQ36</f>
        <v>0.37670000000000003</v>
      </c>
      <c r="AY36" s="493">
        <f t="shared" si="41"/>
        <v>0.37670000000000003</v>
      </c>
      <c r="AZ36" s="495">
        <f t="shared" si="41"/>
        <v>0</v>
      </c>
    </row>
    <row r="37" spans="1:52" ht="12.95" customHeight="1" x14ac:dyDescent="0.25">
      <c r="A37" s="313">
        <v>6</v>
      </c>
      <c r="B37" s="354">
        <v>5449</v>
      </c>
      <c r="C37" s="355">
        <v>600099458</v>
      </c>
      <c r="D37" s="314">
        <v>70188408</v>
      </c>
      <c r="E37" s="356" t="s">
        <v>381</v>
      </c>
      <c r="F37" s="314">
        <v>3143</v>
      </c>
      <c r="G37" s="356" t="s">
        <v>630</v>
      </c>
      <c r="H37" s="317" t="s">
        <v>279</v>
      </c>
      <c r="I37" s="494">
        <v>3024</v>
      </c>
      <c r="J37" s="489">
        <v>2138</v>
      </c>
      <c r="K37" s="489">
        <v>0</v>
      </c>
      <c r="L37" s="489">
        <v>723</v>
      </c>
      <c r="M37" s="489">
        <v>43</v>
      </c>
      <c r="N37" s="489">
        <v>120</v>
      </c>
      <c r="O37" s="490">
        <v>0.01</v>
      </c>
      <c r="P37" s="491">
        <v>0</v>
      </c>
      <c r="Q37" s="500">
        <v>0.01</v>
      </c>
      <c r="R37" s="502">
        <f t="shared" si="2"/>
        <v>0</v>
      </c>
      <c r="S37" s="492">
        <v>0</v>
      </c>
      <c r="T37" s="492">
        <v>0</v>
      </c>
      <c r="U37" s="492">
        <v>0</v>
      </c>
      <c r="V37" s="492">
        <f t="shared" si="3"/>
        <v>0</v>
      </c>
      <c r="W37" s="713">
        <v>0</v>
      </c>
      <c r="X37" s="492">
        <v>0</v>
      </c>
      <c r="Y37" s="492">
        <v>0</v>
      </c>
      <c r="Z37" s="492">
        <f>SUM(W37:Y37)</f>
        <v>0</v>
      </c>
      <c r="AA37" s="492">
        <f>V37+Z37</f>
        <v>0</v>
      </c>
      <c r="AB37" s="74">
        <f>ROUND((V37+W37+X37)*33.8%,0)</f>
        <v>0</v>
      </c>
      <c r="AC37" s="74">
        <f>ROUND(V37*2%,0)</f>
        <v>0</v>
      </c>
      <c r="AD37" s="492">
        <v>0</v>
      </c>
      <c r="AE37" s="492">
        <v>0</v>
      </c>
      <c r="AF37" s="492">
        <f t="shared" si="4"/>
        <v>0</v>
      </c>
      <c r="AG37" s="492">
        <f t="shared" si="5"/>
        <v>0</v>
      </c>
      <c r="AH37" s="493">
        <v>0</v>
      </c>
      <c r="AI37" s="493">
        <v>0</v>
      </c>
      <c r="AJ37" s="493">
        <v>0</v>
      </c>
      <c r="AK37" s="493">
        <v>0</v>
      </c>
      <c r="AL37" s="493">
        <v>0</v>
      </c>
      <c r="AM37" s="493">
        <v>0</v>
      </c>
      <c r="AN37" s="493">
        <v>0</v>
      </c>
      <c r="AO37" s="493">
        <f t="shared" si="37"/>
        <v>0</v>
      </c>
      <c r="AP37" s="493">
        <f t="shared" si="38"/>
        <v>0</v>
      </c>
      <c r="AQ37" s="495">
        <f t="shared" si="8"/>
        <v>0</v>
      </c>
      <c r="AR37" s="501">
        <f>I37+AG37</f>
        <v>3024</v>
      </c>
      <c r="AS37" s="492">
        <f>J37+V37</f>
        <v>2138</v>
      </c>
      <c r="AT37" s="492">
        <f t="shared" si="39"/>
        <v>0</v>
      </c>
      <c r="AU37" s="492">
        <f t="shared" si="40"/>
        <v>723</v>
      </c>
      <c r="AV37" s="492">
        <f t="shared" si="40"/>
        <v>43</v>
      </c>
      <c r="AW37" s="492">
        <f>N37+AF37</f>
        <v>120</v>
      </c>
      <c r="AX37" s="493">
        <f>O37+AQ37</f>
        <v>0.01</v>
      </c>
      <c r="AY37" s="493">
        <f t="shared" si="41"/>
        <v>0</v>
      </c>
      <c r="AZ37" s="495">
        <f t="shared" si="41"/>
        <v>0.01</v>
      </c>
    </row>
    <row r="38" spans="1:52" ht="12.95" customHeight="1" x14ac:dyDescent="0.25">
      <c r="A38" s="357">
        <v>6</v>
      </c>
      <c r="B38" s="358">
        <v>5449</v>
      </c>
      <c r="C38" s="359">
        <v>600099458</v>
      </c>
      <c r="D38" s="358">
        <v>70188408</v>
      </c>
      <c r="E38" s="360" t="s">
        <v>382</v>
      </c>
      <c r="F38" s="324"/>
      <c r="G38" s="362"/>
      <c r="H38" s="325"/>
      <c r="I38" s="606">
        <v>13114245</v>
      </c>
      <c r="J38" s="602">
        <v>9541933</v>
      </c>
      <c r="K38" s="602">
        <v>45500</v>
      </c>
      <c r="L38" s="602">
        <v>3240553</v>
      </c>
      <c r="M38" s="602">
        <v>190839</v>
      </c>
      <c r="N38" s="602">
        <v>95420</v>
      </c>
      <c r="O38" s="603">
        <v>17.0535</v>
      </c>
      <c r="P38" s="603">
        <v>13.4108</v>
      </c>
      <c r="Q38" s="608">
        <v>3.6426999999999992</v>
      </c>
      <c r="R38" s="606">
        <f t="shared" ref="R38:AZ38" si="42">SUM(R33:R37)</f>
        <v>0</v>
      </c>
      <c r="S38" s="602">
        <f t="shared" si="42"/>
        <v>0</v>
      </c>
      <c r="T38" s="602">
        <f t="shared" si="42"/>
        <v>0</v>
      </c>
      <c r="U38" s="602">
        <f t="shared" si="42"/>
        <v>-13224</v>
      </c>
      <c r="V38" s="602">
        <f t="shared" si="42"/>
        <v>-13224</v>
      </c>
      <c r="W38" s="602">
        <f t="shared" si="42"/>
        <v>0</v>
      </c>
      <c r="X38" s="602">
        <f t="shared" si="42"/>
        <v>0</v>
      </c>
      <c r="Y38" s="602">
        <f t="shared" si="42"/>
        <v>0</v>
      </c>
      <c r="Z38" s="602">
        <f t="shared" si="42"/>
        <v>0</v>
      </c>
      <c r="AA38" s="602">
        <f t="shared" si="42"/>
        <v>-13224</v>
      </c>
      <c r="AB38" s="602">
        <f t="shared" si="42"/>
        <v>-4470</v>
      </c>
      <c r="AC38" s="602">
        <f t="shared" si="42"/>
        <v>-264</v>
      </c>
      <c r="AD38" s="602">
        <f t="shared" si="42"/>
        <v>0</v>
      </c>
      <c r="AE38" s="602">
        <f t="shared" si="42"/>
        <v>0</v>
      </c>
      <c r="AF38" s="602">
        <f t="shared" si="42"/>
        <v>0</v>
      </c>
      <c r="AG38" s="602">
        <f t="shared" si="42"/>
        <v>-17958</v>
      </c>
      <c r="AH38" s="603">
        <f t="shared" si="42"/>
        <v>0</v>
      </c>
      <c r="AI38" s="603">
        <f t="shared" si="42"/>
        <v>0</v>
      </c>
      <c r="AJ38" s="603">
        <f t="shared" si="42"/>
        <v>0</v>
      </c>
      <c r="AK38" s="603">
        <f t="shared" si="42"/>
        <v>0</v>
      </c>
      <c r="AL38" s="603">
        <f t="shared" si="42"/>
        <v>0</v>
      </c>
      <c r="AM38" s="603">
        <f t="shared" si="42"/>
        <v>-0.04</v>
      </c>
      <c r="AN38" s="603">
        <f t="shared" si="42"/>
        <v>0</v>
      </c>
      <c r="AO38" s="603">
        <f t="shared" si="42"/>
        <v>-0.04</v>
      </c>
      <c r="AP38" s="603">
        <f t="shared" si="42"/>
        <v>0</v>
      </c>
      <c r="AQ38" s="361">
        <f t="shared" si="42"/>
        <v>-0.04</v>
      </c>
      <c r="AR38" s="610">
        <f t="shared" si="42"/>
        <v>13096287</v>
      </c>
      <c r="AS38" s="602">
        <f t="shared" si="42"/>
        <v>9528709</v>
      </c>
      <c r="AT38" s="602">
        <f t="shared" si="42"/>
        <v>45500</v>
      </c>
      <c r="AU38" s="602">
        <f t="shared" si="42"/>
        <v>3236083</v>
      </c>
      <c r="AV38" s="602">
        <f t="shared" si="42"/>
        <v>190575</v>
      </c>
      <c r="AW38" s="602">
        <f t="shared" si="42"/>
        <v>95420</v>
      </c>
      <c r="AX38" s="603">
        <f t="shared" si="42"/>
        <v>17.013500000000001</v>
      </c>
      <c r="AY38" s="603">
        <f t="shared" si="42"/>
        <v>13.370799999999999</v>
      </c>
      <c r="AZ38" s="361">
        <f t="shared" si="42"/>
        <v>3.6426999999999992</v>
      </c>
    </row>
    <row r="39" spans="1:52" ht="12.95" customHeight="1" x14ac:dyDescent="0.25">
      <c r="A39" s="313">
        <v>7</v>
      </c>
      <c r="B39" s="354">
        <v>5443</v>
      </c>
      <c r="C39" s="355">
        <v>600099237</v>
      </c>
      <c r="D39" s="314">
        <v>854841</v>
      </c>
      <c r="E39" s="356" t="s">
        <v>383</v>
      </c>
      <c r="F39" s="314">
        <v>3113</v>
      </c>
      <c r="G39" s="356" t="s">
        <v>330</v>
      </c>
      <c r="H39" s="317" t="s">
        <v>278</v>
      </c>
      <c r="I39" s="494">
        <v>21915942</v>
      </c>
      <c r="J39" s="489">
        <v>15740449</v>
      </c>
      <c r="K39" s="489">
        <v>61750</v>
      </c>
      <c r="L39" s="489">
        <v>5341144</v>
      </c>
      <c r="M39" s="489">
        <v>314809</v>
      </c>
      <c r="N39" s="489">
        <v>457790</v>
      </c>
      <c r="O39" s="490">
        <v>29.670799999999996</v>
      </c>
      <c r="P39" s="491">
        <v>22.408999999999999</v>
      </c>
      <c r="Q39" s="500">
        <v>7.2618</v>
      </c>
      <c r="R39" s="502">
        <f t="shared" si="2"/>
        <v>0</v>
      </c>
      <c r="S39" s="492">
        <v>0</v>
      </c>
      <c r="T39" s="492">
        <v>0</v>
      </c>
      <c r="U39" s="492">
        <v>0</v>
      </c>
      <c r="V39" s="492">
        <f t="shared" si="3"/>
        <v>0</v>
      </c>
      <c r="W39" s="713">
        <v>0</v>
      </c>
      <c r="X39" s="492">
        <v>0</v>
      </c>
      <c r="Y39" s="492">
        <v>0</v>
      </c>
      <c r="Z39" s="492">
        <f>SUM(W39:Y39)</f>
        <v>0</v>
      </c>
      <c r="AA39" s="492">
        <f>V39+Z39</f>
        <v>0</v>
      </c>
      <c r="AB39" s="74">
        <f>ROUND((V39+W39+X39)*33.8%,0)</f>
        <v>0</v>
      </c>
      <c r="AC39" s="74">
        <f>ROUND(V39*2%,0)</f>
        <v>0</v>
      </c>
      <c r="AD39" s="492">
        <v>0</v>
      </c>
      <c r="AE39" s="492">
        <v>0</v>
      </c>
      <c r="AF39" s="492">
        <f t="shared" si="4"/>
        <v>0</v>
      </c>
      <c r="AG39" s="492">
        <f t="shared" si="5"/>
        <v>0</v>
      </c>
      <c r="AH39" s="493">
        <v>0</v>
      </c>
      <c r="AI39" s="493">
        <v>0</v>
      </c>
      <c r="AJ39" s="493">
        <v>0</v>
      </c>
      <c r="AK39" s="493">
        <v>0</v>
      </c>
      <c r="AL39" s="493">
        <v>0</v>
      </c>
      <c r="AM39" s="493">
        <v>0</v>
      </c>
      <c r="AN39" s="493">
        <v>0</v>
      </c>
      <c r="AO39" s="493">
        <f t="shared" ref="AO39:AO43" si="43">AH39+AJ39+AK39+AM39</f>
        <v>0</v>
      </c>
      <c r="AP39" s="493">
        <f t="shared" ref="AP39:AP43" si="44">AI39+AN39+AL39</f>
        <v>0</v>
      </c>
      <c r="AQ39" s="495">
        <f t="shared" si="8"/>
        <v>0</v>
      </c>
      <c r="AR39" s="501">
        <f>I39+AG39</f>
        <v>21915942</v>
      </c>
      <c r="AS39" s="492">
        <f>J39+V39</f>
        <v>15740449</v>
      </c>
      <c r="AT39" s="492">
        <f t="shared" ref="AT39:AT43" si="45">K39+Z39</f>
        <v>61750</v>
      </c>
      <c r="AU39" s="492">
        <f t="shared" ref="AU39:AV43" si="46">L39+AB39</f>
        <v>5341144</v>
      </c>
      <c r="AV39" s="492">
        <f t="shared" si="46"/>
        <v>314809</v>
      </c>
      <c r="AW39" s="492">
        <f>N39+AF39</f>
        <v>457790</v>
      </c>
      <c r="AX39" s="493">
        <f>O39+AQ39</f>
        <v>29.670799999999996</v>
      </c>
      <c r="AY39" s="493">
        <f t="shared" ref="AY39:AZ43" si="47">P39+AO39</f>
        <v>22.408999999999999</v>
      </c>
      <c r="AZ39" s="495">
        <f t="shared" si="47"/>
        <v>7.2618</v>
      </c>
    </row>
    <row r="40" spans="1:52" ht="12.95" customHeight="1" x14ac:dyDescent="0.25">
      <c r="A40" s="313">
        <v>7</v>
      </c>
      <c r="B40" s="354">
        <v>5443</v>
      </c>
      <c r="C40" s="355">
        <v>600099237</v>
      </c>
      <c r="D40" s="314">
        <v>854841</v>
      </c>
      <c r="E40" s="356" t="s">
        <v>383</v>
      </c>
      <c r="F40" s="314">
        <v>3113</v>
      </c>
      <c r="G40" s="356" t="s">
        <v>320</v>
      </c>
      <c r="H40" s="317" t="s">
        <v>279</v>
      </c>
      <c r="I40" s="494">
        <v>1741813</v>
      </c>
      <c r="J40" s="489">
        <v>1282631</v>
      </c>
      <c r="K40" s="489">
        <v>0</v>
      </c>
      <c r="L40" s="489">
        <v>433529</v>
      </c>
      <c r="M40" s="489">
        <v>25653</v>
      </c>
      <c r="N40" s="489">
        <v>0</v>
      </c>
      <c r="O40" s="490">
        <v>3.5</v>
      </c>
      <c r="P40" s="491">
        <v>3.5</v>
      </c>
      <c r="Q40" s="500">
        <v>0</v>
      </c>
      <c r="R40" s="502">
        <f t="shared" si="2"/>
        <v>0</v>
      </c>
      <c r="S40" s="492">
        <v>17352</v>
      </c>
      <c r="T40" s="492">
        <v>0</v>
      </c>
      <c r="U40" s="492">
        <v>0</v>
      </c>
      <c r="V40" s="492">
        <f t="shared" si="3"/>
        <v>17352</v>
      </c>
      <c r="W40" s="713">
        <v>0</v>
      </c>
      <c r="X40" s="492">
        <v>0</v>
      </c>
      <c r="Y40" s="492">
        <v>0</v>
      </c>
      <c r="Z40" s="492">
        <f>SUM(W40:Y40)</f>
        <v>0</v>
      </c>
      <c r="AA40" s="492">
        <f>V40+Z40</f>
        <v>17352</v>
      </c>
      <c r="AB40" s="74">
        <f>ROUND((V40+W40+X40)*33.8%,0)</f>
        <v>5865</v>
      </c>
      <c r="AC40" s="74">
        <f>ROUND(V40*2%,0)</f>
        <v>347</v>
      </c>
      <c r="AD40" s="492">
        <v>3900</v>
      </c>
      <c r="AE40" s="492">
        <v>0</v>
      </c>
      <c r="AF40" s="492">
        <f t="shared" si="4"/>
        <v>3900</v>
      </c>
      <c r="AG40" s="492">
        <f t="shared" si="5"/>
        <v>27464</v>
      </c>
      <c r="AH40" s="493">
        <v>0</v>
      </c>
      <c r="AI40" s="493">
        <v>0</v>
      </c>
      <c r="AJ40" s="493">
        <v>0.04</v>
      </c>
      <c r="AK40" s="493">
        <v>0</v>
      </c>
      <c r="AL40" s="493">
        <v>0</v>
      </c>
      <c r="AM40" s="493">
        <v>0</v>
      </c>
      <c r="AN40" s="493">
        <v>0</v>
      </c>
      <c r="AO40" s="493">
        <f t="shared" si="43"/>
        <v>0.04</v>
      </c>
      <c r="AP40" s="493">
        <f t="shared" si="44"/>
        <v>0</v>
      </c>
      <c r="AQ40" s="495">
        <f t="shared" si="8"/>
        <v>0.04</v>
      </c>
      <c r="AR40" s="501">
        <f>I40+AG40</f>
        <v>1769277</v>
      </c>
      <c r="AS40" s="492">
        <f>J40+V40</f>
        <v>1299983</v>
      </c>
      <c r="AT40" s="492">
        <f t="shared" si="45"/>
        <v>0</v>
      </c>
      <c r="AU40" s="492">
        <f t="shared" si="46"/>
        <v>439394</v>
      </c>
      <c r="AV40" s="492">
        <f t="shared" si="46"/>
        <v>26000</v>
      </c>
      <c r="AW40" s="492">
        <f>N40+AF40</f>
        <v>3900</v>
      </c>
      <c r="AX40" s="493">
        <f>O40+AQ40</f>
        <v>3.54</v>
      </c>
      <c r="AY40" s="493">
        <f t="shared" si="47"/>
        <v>3.54</v>
      </c>
      <c r="AZ40" s="495">
        <f t="shared" si="47"/>
        <v>0</v>
      </c>
    </row>
    <row r="41" spans="1:52" ht="12.95" customHeight="1" x14ac:dyDescent="0.25">
      <c r="A41" s="313">
        <v>7</v>
      </c>
      <c r="B41" s="354">
        <v>5443</v>
      </c>
      <c r="C41" s="355">
        <v>600099237</v>
      </c>
      <c r="D41" s="314">
        <v>854841</v>
      </c>
      <c r="E41" s="356" t="s">
        <v>383</v>
      </c>
      <c r="F41" s="314">
        <v>3141</v>
      </c>
      <c r="G41" s="356" t="s">
        <v>316</v>
      </c>
      <c r="H41" s="317" t="s">
        <v>279</v>
      </c>
      <c r="I41" s="494">
        <v>3571954</v>
      </c>
      <c r="J41" s="489">
        <v>2597735</v>
      </c>
      <c r="K41" s="489">
        <v>9750</v>
      </c>
      <c r="L41" s="489">
        <v>881330</v>
      </c>
      <c r="M41" s="489">
        <v>51955</v>
      </c>
      <c r="N41" s="489">
        <v>31184</v>
      </c>
      <c r="O41" s="490">
        <v>8.2100000000000009</v>
      </c>
      <c r="P41" s="491">
        <v>0</v>
      </c>
      <c r="Q41" s="500">
        <v>8.2100000000000009</v>
      </c>
      <c r="R41" s="502">
        <f t="shared" si="2"/>
        <v>0</v>
      </c>
      <c r="S41" s="492">
        <v>0</v>
      </c>
      <c r="T41" s="492">
        <v>0</v>
      </c>
      <c r="U41" s="492">
        <v>0</v>
      </c>
      <c r="V41" s="492">
        <f t="shared" si="3"/>
        <v>0</v>
      </c>
      <c r="W41" s="713">
        <v>0</v>
      </c>
      <c r="X41" s="492">
        <v>0</v>
      </c>
      <c r="Y41" s="492">
        <v>0</v>
      </c>
      <c r="Z41" s="492">
        <f>SUM(W41:Y41)</f>
        <v>0</v>
      </c>
      <c r="AA41" s="492">
        <f>V41+Z41</f>
        <v>0</v>
      </c>
      <c r="AB41" s="74">
        <f>ROUND((V41+W41+X41)*33.8%,0)</f>
        <v>0</v>
      </c>
      <c r="AC41" s="74">
        <f>ROUND(V41*2%,0)</f>
        <v>0</v>
      </c>
      <c r="AD41" s="492">
        <v>0</v>
      </c>
      <c r="AE41" s="492">
        <v>0</v>
      </c>
      <c r="AF41" s="492">
        <f t="shared" si="4"/>
        <v>0</v>
      </c>
      <c r="AG41" s="492">
        <f t="shared" si="5"/>
        <v>0</v>
      </c>
      <c r="AH41" s="493">
        <v>0</v>
      </c>
      <c r="AI41" s="493">
        <v>0</v>
      </c>
      <c r="AJ41" s="493">
        <v>0</v>
      </c>
      <c r="AK41" s="493">
        <v>0</v>
      </c>
      <c r="AL41" s="493">
        <v>0</v>
      </c>
      <c r="AM41" s="493">
        <v>0</v>
      </c>
      <c r="AN41" s="493">
        <v>0</v>
      </c>
      <c r="AO41" s="493">
        <f t="shared" si="43"/>
        <v>0</v>
      </c>
      <c r="AP41" s="493">
        <f t="shared" si="44"/>
        <v>0</v>
      </c>
      <c r="AQ41" s="495">
        <f t="shared" si="8"/>
        <v>0</v>
      </c>
      <c r="AR41" s="501">
        <f>I41+AG41</f>
        <v>3571954</v>
      </c>
      <c r="AS41" s="492">
        <f>J41+V41</f>
        <v>2597735</v>
      </c>
      <c r="AT41" s="492">
        <f t="shared" si="45"/>
        <v>9750</v>
      </c>
      <c r="AU41" s="492">
        <f t="shared" si="46"/>
        <v>881330</v>
      </c>
      <c r="AV41" s="492">
        <f t="shared" si="46"/>
        <v>51955</v>
      </c>
      <c r="AW41" s="492">
        <f>N41+AF41</f>
        <v>31184</v>
      </c>
      <c r="AX41" s="493">
        <f>O41+AQ41</f>
        <v>8.2100000000000009</v>
      </c>
      <c r="AY41" s="493">
        <f t="shared" si="47"/>
        <v>0</v>
      </c>
      <c r="AZ41" s="495">
        <f t="shared" si="47"/>
        <v>8.2100000000000009</v>
      </c>
    </row>
    <row r="42" spans="1:52" ht="12.95" customHeight="1" x14ac:dyDescent="0.25">
      <c r="A42" s="313">
        <v>7</v>
      </c>
      <c r="B42" s="354">
        <v>5443</v>
      </c>
      <c r="C42" s="355">
        <v>600099237</v>
      </c>
      <c r="D42" s="314">
        <v>854841</v>
      </c>
      <c r="E42" s="356" t="s">
        <v>383</v>
      </c>
      <c r="F42" s="314">
        <v>3143</v>
      </c>
      <c r="G42" s="356" t="s">
        <v>629</v>
      </c>
      <c r="H42" s="317" t="s">
        <v>278</v>
      </c>
      <c r="I42" s="494">
        <v>1400509</v>
      </c>
      <c r="J42" s="489">
        <v>1031303</v>
      </c>
      <c r="K42" s="489">
        <v>0</v>
      </c>
      <c r="L42" s="489">
        <v>348580</v>
      </c>
      <c r="M42" s="489">
        <v>20626</v>
      </c>
      <c r="N42" s="489">
        <v>0</v>
      </c>
      <c r="O42" s="490">
        <v>2.11</v>
      </c>
      <c r="P42" s="491">
        <v>2.11</v>
      </c>
      <c r="Q42" s="500">
        <v>0</v>
      </c>
      <c r="R42" s="502">
        <f t="shared" si="2"/>
        <v>0</v>
      </c>
      <c r="S42" s="492">
        <v>0</v>
      </c>
      <c r="T42" s="492">
        <v>0</v>
      </c>
      <c r="U42" s="492">
        <v>0</v>
      </c>
      <c r="V42" s="492">
        <f t="shared" si="3"/>
        <v>0</v>
      </c>
      <c r="W42" s="713">
        <v>0</v>
      </c>
      <c r="X42" s="492">
        <v>0</v>
      </c>
      <c r="Y42" s="492">
        <v>0</v>
      </c>
      <c r="Z42" s="492">
        <f>SUM(W42:Y42)</f>
        <v>0</v>
      </c>
      <c r="AA42" s="492">
        <f>V42+Z42</f>
        <v>0</v>
      </c>
      <c r="AB42" s="74">
        <f>ROUND((V42+W42+X42)*33.8%,0)</f>
        <v>0</v>
      </c>
      <c r="AC42" s="74">
        <f>ROUND(V42*2%,0)</f>
        <v>0</v>
      </c>
      <c r="AD42" s="492">
        <v>0</v>
      </c>
      <c r="AE42" s="492">
        <v>0</v>
      </c>
      <c r="AF42" s="492">
        <f t="shared" si="4"/>
        <v>0</v>
      </c>
      <c r="AG42" s="492">
        <f t="shared" si="5"/>
        <v>0</v>
      </c>
      <c r="AH42" s="493">
        <v>0</v>
      </c>
      <c r="AI42" s="493">
        <v>0</v>
      </c>
      <c r="AJ42" s="493">
        <v>0</v>
      </c>
      <c r="AK42" s="493">
        <v>0</v>
      </c>
      <c r="AL42" s="493">
        <v>0</v>
      </c>
      <c r="AM42" s="493">
        <v>0</v>
      </c>
      <c r="AN42" s="493">
        <v>0</v>
      </c>
      <c r="AO42" s="493">
        <f t="shared" si="43"/>
        <v>0</v>
      </c>
      <c r="AP42" s="493">
        <f t="shared" si="44"/>
        <v>0</v>
      </c>
      <c r="AQ42" s="495">
        <f t="shared" si="8"/>
        <v>0</v>
      </c>
      <c r="AR42" s="501">
        <f>I42+AG42</f>
        <v>1400509</v>
      </c>
      <c r="AS42" s="492">
        <f>J42+V42</f>
        <v>1031303</v>
      </c>
      <c r="AT42" s="492">
        <f t="shared" si="45"/>
        <v>0</v>
      </c>
      <c r="AU42" s="492">
        <f t="shared" si="46"/>
        <v>348580</v>
      </c>
      <c r="AV42" s="492">
        <f t="shared" si="46"/>
        <v>20626</v>
      </c>
      <c r="AW42" s="492">
        <f>N42+AF42</f>
        <v>0</v>
      </c>
      <c r="AX42" s="493">
        <f>O42+AQ42</f>
        <v>2.11</v>
      </c>
      <c r="AY42" s="493">
        <f t="shared" si="47"/>
        <v>2.11</v>
      </c>
      <c r="AZ42" s="495">
        <f t="shared" si="47"/>
        <v>0</v>
      </c>
    </row>
    <row r="43" spans="1:52" ht="12.95" customHeight="1" x14ac:dyDescent="0.25">
      <c r="A43" s="313">
        <v>7</v>
      </c>
      <c r="B43" s="354">
        <v>5443</v>
      </c>
      <c r="C43" s="355">
        <v>600099237</v>
      </c>
      <c r="D43" s="314">
        <v>854841</v>
      </c>
      <c r="E43" s="356" t="s">
        <v>383</v>
      </c>
      <c r="F43" s="314">
        <v>3143</v>
      </c>
      <c r="G43" s="356" t="s">
        <v>630</v>
      </c>
      <c r="H43" s="317" t="s">
        <v>279</v>
      </c>
      <c r="I43" s="494">
        <v>51904</v>
      </c>
      <c r="J43" s="489">
        <v>23888</v>
      </c>
      <c r="K43" s="489">
        <v>13000</v>
      </c>
      <c r="L43" s="489">
        <v>12468</v>
      </c>
      <c r="M43" s="489">
        <v>478</v>
      </c>
      <c r="N43" s="489">
        <v>2070</v>
      </c>
      <c r="O43" s="490">
        <v>0.1</v>
      </c>
      <c r="P43" s="491">
        <v>0</v>
      </c>
      <c r="Q43" s="500">
        <v>0.1</v>
      </c>
      <c r="R43" s="502">
        <f t="shared" si="2"/>
        <v>0</v>
      </c>
      <c r="S43" s="492">
        <v>0</v>
      </c>
      <c r="T43" s="492">
        <v>0</v>
      </c>
      <c r="U43" s="492">
        <v>0</v>
      </c>
      <c r="V43" s="492">
        <f t="shared" si="3"/>
        <v>0</v>
      </c>
      <c r="W43" s="713">
        <v>0</v>
      </c>
      <c r="X43" s="492">
        <v>0</v>
      </c>
      <c r="Y43" s="492">
        <v>0</v>
      </c>
      <c r="Z43" s="492">
        <f>SUM(W43:Y43)</f>
        <v>0</v>
      </c>
      <c r="AA43" s="492">
        <f>V43+Z43</f>
        <v>0</v>
      </c>
      <c r="AB43" s="74">
        <f>ROUND((V43+W43+X43)*33.8%,0)</f>
        <v>0</v>
      </c>
      <c r="AC43" s="74">
        <f>ROUND(V43*2%,0)</f>
        <v>0</v>
      </c>
      <c r="AD43" s="492">
        <v>0</v>
      </c>
      <c r="AE43" s="492">
        <v>0</v>
      </c>
      <c r="AF43" s="492">
        <f t="shared" si="4"/>
        <v>0</v>
      </c>
      <c r="AG43" s="492">
        <f t="shared" si="5"/>
        <v>0</v>
      </c>
      <c r="AH43" s="493">
        <v>0</v>
      </c>
      <c r="AI43" s="493">
        <v>0</v>
      </c>
      <c r="AJ43" s="493">
        <v>0</v>
      </c>
      <c r="AK43" s="493">
        <v>0</v>
      </c>
      <c r="AL43" s="493">
        <v>0</v>
      </c>
      <c r="AM43" s="493">
        <v>0</v>
      </c>
      <c r="AN43" s="493">
        <v>0</v>
      </c>
      <c r="AO43" s="493">
        <f t="shared" si="43"/>
        <v>0</v>
      </c>
      <c r="AP43" s="493">
        <f t="shared" si="44"/>
        <v>0</v>
      </c>
      <c r="AQ43" s="495">
        <f t="shared" si="8"/>
        <v>0</v>
      </c>
      <c r="AR43" s="501">
        <f>I43+AG43</f>
        <v>51904</v>
      </c>
      <c r="AS43" s="492">
        <f>J43+V43</f>
        <v>23888</v>
      </c>
      <c r="AT43" s="492">
        <f t="shared" si="45"/>
        <v>13000</v>
      </c>
      <c r="AU43" s="492">
        <f t="shared" si="46"/>
        <v>12468</v>
      </c>
      <c r="AV43" s="492">
        <f t="shared" si="46"/>
        <v>478</v>
      </c>
      <c r="AW43" s="492">
        <f>N43+AF43</f>
        <v>2070</v>
      </c>
      <c r="AX43" s="493">
        <f>O43+AQ43</f>
        <v>0.1</v>
      </c>
      <c r="AY43" s="493">
        <f t="shared" si="47"/>
        <v>0</v>
      </c>
      <c r="AZ43" s="495">
        <f t="shared" si="47"/>
        <v>0.1</v>
      </c>
    </row>
    <row r="44" spans="1:52" ht="12.95" customHeight="1" x14ac:dyDescent="0.25">
      <c r="A44" s="357">
        <v>7</v>
      </c>
      <c r="B44" s="358">
        <v>5443</v>
      </c>
      <c r="C44" s="365">
        <v>600099237</v>
      </c>
      <c r="D44" s="358">
        <v>854841</v>
      </c>
      <c r="E44" s="360" t="s">
        <v>384</v>
      </c>
      <c r="F44" s="324"/>
      <c r="G44" s="362"/>
      <c r="H44" s="325"/>
      <c r="I44" s="607">
        <v>28682122</v>
      </c>
      <c r="J44" s="604">
        <v>20676006</v>
      </c>
      <c r="K44" s="604">
        <v>84500</v>
      </c>
      <c r="L44" s="604">
        <v>7017051</v>
      </c>
      <c r="M44" s="604">
        <v>413521</v>
      </c>
      <c r="N44" s="604">
        <v>491044</v>
      </c>
      <c r="O44" s="605">
        <v>43.590800000000002</v>
      </c>
      <c r="P44" s="605">
        <v>28.018999999999998</v>
      </c>
      <c r="Q44" s="609">
        <v>15.571800000000001</v>
      </c>
      <c r="R44" s="607">
        <f t="shared" ref="R44:AZ44" si="48">SUM(R39:R43)</f>
        <v>0</v>
      </c>
      <c r="S44" s="604">
        <f t="shared" si="48"/>
        <v>17352</v>
      </c>
      <c r="T44" s="604">
        <f t="shared" si="48"/>
        <v>0</v>
      </c>
      <c r="U44" s="604">
        <f t="shared" si="48"/>
        <v>0</v>
      </c>
      <c r="V44" s="604">
        <f t="shared" si="48"/>
        <v>17352</v>
      </c>
      <c r="W44" s="604">
        <f t="shared" si="48"/>
        <v>0</v>
      </c>
      <c r="X44" s="604">
        <f t="shared" si="48"/>
        <v>0</v>
      </c>
      <c r="Y44" s="604">
        <f t="shared" si="48"/>
        <v>0</v>
      </c>
      <c r="Z44" s="604">
        <f t="shared" si="48"/>
        <v>0</v>
      </c>
      <c r="AA44" s="604">
        <f t="shared" si="48"/>
        <v>17352</v>
      </c>
      <c r="AB44" s="604">
        <f t="shared" si="48"/>
        <v>5865</v>
      </c>
      <c r="AC44" s="604">
        <f t="shared" si="48"/>
        <v>347</v>
      </c>
      <c r="AD44" s="604">
        <f t="shared" si="48"/>
        <v>3900</v>
      </c>
      <c r="AE44" s="604">
        <f t="shared" si="48"/>
        <v>0</v>
      </c>
      <c r="AF44" s="604">
        <f t="shared" si="48"/>
        <v>3900</v>
      </c>
      <c r="AG44" s="604">
        <f t="shared" si="48"/>
        <v>27464</v>
      </c>
      <c r="AH44" s="605">
        <f t="shared" si="48"/>
        <v>0</v>
      </c>
      <c r="AI44" s="605">
        <f t="shared" si="48"/>
        <v>0</v>
      </c>
      <c r="AJ44" s="605">
        <f t="shared" si="48"/>
        <v>0.04</v>
      </c>
      <c r="AK44" s="605">
        <f t="shared" si="48"/>
        <v>0</v>
      </c>
      <c r="AL44" s="605">
        <f t="shared" si="48"/>
        <v>0</v>
      </c>
      <c r="AM44" s="605">
        <f t="shared" si="48"/>
        <v>0</v>
      </c>
      <c r="AN44" s="605">
        <f t="shared" si="48"/>
        <v>0</v>
      </c>
      <c r="AO44" s="605">
        <f t="shared" si="48"/>
        <v>0.04</v>
      </c>
      <c r="AP44" s="605">
        <f t="shared" si="48"/>
        <v>0</v>
      </c>
      <c r="AQ44" s="366">
        <f t="shared" si="48"/>
        <v>0.04</v>
      </c>
      <c r="AR44" s="611">
        <f t="shared" si="48"/>
        <v>28709586</v>
      </c>
      <c r="AS44" s="604">
        <f t="shared" si="48"/>
        <v>20693358</v>
      </c>
      <c r="AT44" s="604">
        <f t="shared" si="48"/>
        <v>84500</v>
      </c>
      <c r="AU44" s="604">
        <f t="shared" si="48"/>
        <v>7022916</v>
      </c>
      <c r="AV44" s="604">
        <f t="shared" si="48"/>
        <v>413868</v>
      </c>
      <c r="AW44" s="604">
        <f t="shared" si="48"/>
        <v>494944</v>
      </c>
      <c r="AX44" s="605">
        <f t="shared" si="48"/>
        <v>43.630800000000001</v>
      </c>
      <c r="AY44" s="605">
        <f t="shared" si="48"/>
        <v>28.058999999999997</v>
      </c>
      <c r="AZ44" s="366">
        <f t="shared" si="48"/>
        <v>15.571800000000001</v>
      </c>
    </row>
    <row r="45" spans="1:52" ht="12.95" customHeight="1" x14ac:dyDescent="0.25">
      <c r="A45" s="313">
        <v>8</v>
      </c>
      <c r="B45" s="354">
        <v>5445</v>
      </c>
      <c r="C45" s="355">
        <v>600099351</v>
      </c>
      <c r="D45" s="314">
        <v>70155771</v>
      </c>
      <c r="E45" s="356" t="s">
        <v>385</v>
      </c>
      <c r="F45" s="314">
        <v>3113</v>
      </c>
      <c r="G45" s="356" t="s">
        <v>330</v>
      </c>
      <c r="H45" s="317" t="s">
        <v>278</v>
      </c>
      <c r="I45" s="494">
        <v>25680570</v>
      </c>
      <c r="J45" s="489">
        <v>18236405</v>
      </c>
      <c r="K45" s="489">
        <v>225830</v>
      </c>
      <c r="L45" s="489">
        <v>6240236</v>
      </c>
      <c r="M45" s="489">
        <v>364729</v>
      </c>
      <c r="N45" s="489">
        <v>613370</v>
      </c>
      <c r="O45" s="490">
        <v>32.534199999999998</v>
      </c>
      <c r="P45" s="491">
        <v>23.791599999999999</v>
      </c>
      <c r="Q45" s="500">
        <v>8.7425999999999995</v>
      </c>
      <c r="R45" s="502">
        <f t="shared" si="2"/>
        <v>0</v>
      </c>
      <c r="S45" s="492">
        <v>0</v>
      </c>
      <c r="T45" s="492">
        <v>0</v>
      </c>
      <c r="U45" s="492">
        <v>0</v>
      </c>
      <c r="V45" s="492">
        <f t="shared" si="3"/>
        <v>0</v>
      </c>
      <c r="W45" s="713">
        <v>0</v>
      </c>
      <c r="X45" s="492">
        <v>0</v>
      </c>
      <c r="Y45" s="492">
        <v>0</v>
      </c>
      <c r="Z45" s="492">
        <f t="shared" ref="Z45:Z50" si="49">SUM(W45:Y45)</f>
        <v>0</v>
      </c>
      <c r="AA45" s="492">
        <f t="shared" ref="AA45:AA50" si="50">V45+Z45</f>
        <v>0</v>
      </c>
      <c r="AB45" s="74">
        <f t="shared" ref="AB45:AB50" si="51">ROUND((V45+W45+X45)*33.8%,0)</f>
        <v>0</v>
      </c>
      <c r="AC45" s="74">
        <f t="shared" ref="AC45:AC50" si="52">ROUND(V45*2%,0)</f>
        <v>0</v>
      </c>
      <c r="AD45" s="492">
        <v>0</v>
      </c>
      <c r="AE45" s="492">
        <v>0</v>
      </c>
      <c r="AF45" s="492">
        <f t="shared" si="4"/>
        <v>0</v>
      </c>
      <c r="AG45" s="492">
        <f t="shared" si="5"/>
        <v>0</v>
      </c>
      <c r="AH45" s="493">
        <v>0</v>
      </c>
      <c r="AI45" s="493">
        <v>0</v>
      </c>
      <c r="AJ45" s="493">
        <v>0</v>
      </c>
      <c r="AK45" s="493">
        <v>0</v>
      </c>
      <c r="AL45" s="493">
        <v>0</v>
      </c>
      <c r="AM45" s="493">
        <v>0</v>
      </c>
      <c r="AN45" s="493">
        <v>0</v>
      </c>
      <c r="AO45" s="493">
        <f t="shared" ref="AO45:AO50" si="53">AH45+AJ45+AK45+AM45</f>
        <v>0</v>
      </c>
      <c r="AP45" s="493">
        <f t="shared" ref="AP45:AP50" si="54">AI45+AN45+AL45</f>
        <v>0</v>
      </c>
      <c r="AQ45" s="495">
        <f t="shared" si="8"/>
        <v>0</v>
      </c>
      <c r="AR45" s="501">
        <f t="shared" ref="AR45:AR50" si="55">I45+AG45</f>
        <v>25680570</v>
      </c>
      <c r="AS45" s="492">
        <f t="shared" ref="AS45:AS50" si="56">J45+V45</f>
        <v>18236405</v>
      </c>
      <c r="AT45" s="492">
        <f t="shared" ref="AT45:AT50" si="57">K45+Z45</f>
        <v>225830</v>
      </c>
      <c r="AU45" s="492">
        <f t="shared" ref="AU45:AV50" si="58">L45+AB45</f>
        <v>6240236</v>
      </c>
      <c r="AV45" s="492">
        <f t="shared" si="58"/>
        <v>364729</v>
      </c>
      <c r="AW45" s="492">
        <f t="shared" ref="AW45:AW50" si="59">N45+AF45</f>
        <v>613370</v>
      </c>
      <c r="AX45" s="493">
        <f t="shared" ref="AX45:AX50" si="60">O45+AQ45</f>
        <v>32.534199999999998</v>
      </c>
      <c r="AY45" s="493">
        <f t="shared" ref="AY45:AZ50" si="61">P45+AO45</f>
        <v>23.791599999999999</v>
      </c>
      <c r="AZ45" s="495">
        <f t="shared" si="61"/>
        <v>8.7425999999999995</v>
      </c>
    </row>
    <row r="46" spans="1:52" ht="12.95" customHeight="1" x14ac:dyDescent="0.25">
      <c r="A46" s="313">
        <v>8</v>
      </c>
      <c r="B46" s="354">
        <v>5445</v>
      </c>
      <c r="C46" s="355">
        <v>600099351</v>
      </c>
      <c r="D46" s="314">
        <v>70155771</v>
      </c>
      <c r="E46" s="356" t="s">
        <v>385</v>
      </c>
      <c r="F46" s="314">
        <v>3113</v>
      </c>
      <c r="G46" s="356" t="s">
        <v>320</v>
      </c>
      <c r="H46" s="317" t="s">
        <v>279</v>
      </c>
      <c r="I46" s="494">
        <v>897427</v>
      </c>
      <c r="J46" s="489">
        <v>660329</v>
      </c>
      <c r="K46" s="489">
        <v>0</v>
      </c>
      <c r="L46" s="489">
        <v>223191</v>
      </c>
      <c r="M46" s="489">
        <v>13207</v>
      </c>
      <c r="N46" s="489">
        <v>700</v>
      </c>
      <c r="O46" s="490">
        <v>1.84</v>
      </c>
      <c r="P46" s="491">
        <v>1.84</v>
      </c>
      <c r="Q46" s="500">
        <v>0</v>
      </c>
      <c r="R46" s="502">
        <f t="shared" si="2"/>
        <v>0</v>
      </c>
      <c r="S46" s="492">
        <v>52056</v>
      </c>
      <c r="T46" s="492">
        <v>0</v>
      </c>
      <c r="U46" s="492">
        <v>0</v>
      </c>
      <c r="V46" s="492">
        <f t="shared" si="3"/>
        <v>52056</v>
      </c>
      <c r="W46" s="713">
        <v>0</v>
      </c>
      <c r="X46" s="492">
        <v>0</v>
      </c>
      <c r="Y46" s="492">
        <v>0</v>
      </c>
      <c r="Z46" s="492">
        <f t="shared" si="49"/>
        <v>0</v>
      </c>
      <c r="AA46" s="492">
        <f t="shared" si="50"/>
        <v>52056</v>
      </c>
      <c r="AB46" s="74">
        <f t="shared" si="51"/>
        <v>17595</v>
      </c>
      <c r="AC46" s="74">
        <f t="shared" si="52"/>
        <v>1041</v>
      </c>
      <c r="AD46" s="492">
        <v>0</v>
      </c>
      <c r="AE46" s="492">
        <v>0</v>
      </c>
      <c r="AF46" s="492">
        <f t="shared" si="4"/>
        <v>0</v>
      </c>
      <c r="AG46" s="492">
        <f t="shared" si="5"/>
        <v>70692</v>
      </c>
      <c r="AH46" s="493">
        <v>0</v>
      </c>
      <c r="AI46" s="493">
        <v>0</v>
      </c>
      <c r="AJ46" s="493">
        <v>0.12</v>
      </c>
      <c r="AK46" s="493">
        <v>0</v>
      </c>
      <c r="AL46" s="493">
        <v>0</v>
      </c>
      <c r="AM46" s="493">
        <v>0</v>
      </c>
      <c r="AN46" s="493">
        <v>0</v>
      </c>
      <c r="AO46" s="493">
        <f t="shared" si="53"/>
        <v>0.12</v>
      </c>
      <c r="AP46" s="493">
        <f t="shared" si="54"/>
        <v>0</v>
      </c>
      <c r="AQ46" s="495">
        <f t="shared" si="8"/>
        <v>0.12</v>
      </c>
      <c r="AR46" s="501">
        <f t="shared" si="55"/>
        <v>968119</v>
      </c>
      <c r="AS46" s="492">
        <f t="shared" si="56"/>
        <v>712385</v>
      </c>
      <c r="AT46" s="492">
        <f t="shared" si="57"/>
        <v>0</v>
      </c>
      <c r="AU46" s="492">
        <f t="shared" si="58"/>
        <v>240786</v>
      </c>
      <c r="AV46" s="492">
        <f t="shared" si="58"/>
        <v>14248</v>
      </c>
      <c r="AW46" s="492">
        <f t="shared" si="59"/>
        <v>700</v>
      </c>
      <c r="AX46" s="493">
        <f t="shared" si="60"/>
        <v>1.96</v>
      </c>
      <c r="AY46" s="493">
        <f t="shared" si="61"/>
        <v>1.96</v>
      </c>
      <c r="AZ46" s="495">
        <f t="shared" si="61"/>
        <v>0</v>
      </c>
    </row>
    <row r="47" spans="1:52" ht="12.95" customHeight="1" x14ac:dyDescent="0.25">
      <c r="A47" s="313">
        <v>8</v>
      </c>
      <c r="B47" s="354">
        <v>5445</v>
      </c>
      <c r="C47" s="355">
        <v>600099351</v>
      </c>
      <c r="D47" s="314">
        <v>70155771</v>
      </c>
      <c r="E47" s="356" t="s">
        <v>385</v>
      </c>
      <c r="F47" s="314">
        <v>3141</v>
      </c>
      <c r="G47" s="356" t="s">
        <v>316</v>
      </c>
      <c r="H47" s="317" t="s">
        <v>279</v>
      </c>
      <c r="I47" s="494">
        <v>1345037</v>
      </c>
      <c r="J47" s="489">
        <v>983108</v>
      </c>
      <c r="K47" s="489">
        <v>0</v>
      </c>
      <c r="L47" s="489">
        <v>332291</v>
      </c>
      <c r="M47" s="489">
        <v>19662</v>
      </c>
      <c r="N47" s="489">
        <v>9976</v>
      </c>
      <c r="O47" s="490">
        <v>3.1</v>
      </c>
      <c r="P47" s="491">
        <v>0</v>
      </c>
      <c r="Q47" s="500">
        <v>3.1</v>
      </c>
      <c r="R47" s="502">
        <f t="shared" si="2"/>
        <v>0</v>
      </c>
      <c r="S47" s="492">
        <v>0</v>
      </c>
      <c r="T47" s="492">
        <v>0</v>
      </c>
      <c r="U47" s="492">
        <v>0</v>
      </c>
      <c r="V47" s="492">
        <f t="shared" si="3"/>
        <v>0</v>
      </c>
      <c r="W47" s="713">
        <v>0</v>
      </c>
      <c r="X47" s="492">
        <v>0</v>
      </c>
      <c r="Y47" s="492">
        <v>0</v>
      </c>
      <c r="Z47" s="492">
        <f t="shared" si="49"/>
        <v>0</v>
      </c>
      <c r="AA47" s="492">
        <f t="shared" si="50"/>
        <v>0</v>
      </c>
      <c r="AB47" s="74">
        <f t="shared" si="51"/>
        <v>0</v>
      </c>
      <c r="AC47" s="74">
        <f t="shared" si="52"/>
        <v>0</v>
      </c>
      <c r="AD47" s="492">
        <v>0</v>
      </c>
      <c r="AE47" s="492">
        <v>0</v>
      </c>
      <c r="AF47" s="492">
        <f t="shared" si="4"/>
        <v>0</v>
      </c>
      <c r="AG47" s="492">
        <f t="shared" si="5"/>
        <v>0</v>
      </c>
      <c r="AH47" s="493">
        <v>0</v>
      </c>
      <c r="AI47" s="493">
        <v>0</v>
      </c>
      <c r="AJ47" s="493">
        <v>0</v>
      </c>
      <c r="AK47" s="493">
        <v>0</v>
      </c>
      <c r="AL47" s="493">
        <v>0</v>
      </c>
      <c r="AM47" s="493">
        <v>0</v>
      </c>
      <c r="AN47" s="493">
        <v>0</v>
      </c>
      <c r="AO47" s="493">
        <f t="shared" si="53"/>
        <v>0</v>
      </c>
      <c r="AP47" s="493">
        <f t="shared" si="54"/>
        <v>0</v>
      </c>
      <c r="AQ47" s="495">
        <f t="shared" si="8"/>
        <v>0</v>
      </c>
      <c r="AR47" s="501">
        <f t="shared" si="55"/>
        <v>1345037</v>
      </c>
      <c r="AS47" s="492">
        <f t="shared" si="56"/>
        <v>983108</v>
      </c>
      <c r="AT47" s="492">
        <f t="shared" si="57"/>
        <v>0</v>
      </c>
      <c r="AU47" s="492">
        <f t="shared" si="58"/>
        <v>332291</v>
      </c>
      <c r="AV47" s="492">
        <f t="shared" si="58"/>
        <v>19662</v>
      </c>
      <c r="AW47" s="492">
        <f t="shared" si="59"/>
        <v>9976</v>
      </c>
      <c r="AX47" s="493">
        <f t="shared" si="60"/>
        <v>3.1</v>
      </c>
      <c r="AY47" s="493">
        <f t="shared" si="61"/>
        <v>0</v>
      </c>
      <c r="AZ47" s="495">
        <f t="shared" si="61"/>
        <v>3.1</v>
      </c>
    </row>
    <row r="48" spans="1:52" ht="12.95" customHeight="1" x14ac:dyDescent="0.25">
      <c r="A48" s="313">
        <v>8</v>
      </c>
      <c r="B48" s="354">
        <v>5445</v>
      </c>
      <c r="C48" s="355">
        <v>600099351</v>
      </c>
      <c r="D48" s="314">
        <v>70155771</v>
      </c>
      <c r="E48" s="356" t="s">
        <v>385</v>
      </c>
      <c r="F48" s="314">
        <v>3143</v>
      </c>
      <c r="G48" s="356" t="s">
        <v>629</v>
      </c>
      <c r="H48" s="317" t="s">
        <v>278</v>
      </c>
      <c r="I48" s="494">
        <v>1769692</v>
      </c>
      <c r="J48" s="489">
        <v>1303161</v>
      </c>
      <c r="K48" s="489">
        <v>0</v>
      </c>
      <c r="L48" s="489">
        <v>440468</v>
      </c>
      <c r="M48" s="489">
        <v>26063</v>
      </c>
      <c r="N48" s="489">
        <v>0</v>
      </c>
      <c r="O48" s="490">
        <v>2.7585999999999999</v>
      </c>
      <c r="P48" s="491">
        <v>2.7585999999999999</v>
      </c>
      <c r="Q48" s="500">
        <v>0</v>
      </c>
      <c r="R48" s="502">
        <f t="shared" si="2"/>
        <v>0</v>
      </c>
      <c r="S48" s="492">
        <v>0</v>
      </c>
      <c r="T48" s="492">
        <v>0</v>
      </c>
      <c r="U48" s="492">
        <v>0</v>
      </c>
      <c r="V48" s="492">
        <f t="shared" si="3"/>
        <v>0</v>
      </c>
      <c r="W48" s="713">
        <v>0</v>
      </c>
      <c r="X48" s="492">
        <v>0</v>
      </c>
      <c r="Y48" s="492">
        <v>0</v>
      </c>
      <c r="Z48" s="492">
        <f t="shared" si="49"/>
        <v>0</v>
      </c>
      <c r="AA48" s="492">
        <f t="shared" si="50"/>
        <v>0</v>
      </c>
      <c r="AB48" s="74">
        <f t="shared" si="51"/>
        <v>0</v>
      </c>
      <c r="AC48" s="74">
        <f t="shared" si="52"/>
        <v>0</v>
      </c>
      <c r="AD48" s="492">
        <v>0</v>
      </c>
      <c r="AE48" s="492">
        <v>0</v>
      </c>
      <c r="AF48" s="492">
        <f t="shared" si="4"/>
        <v>0</v>
      </c>
      <c r="AG48" s="492">
        <f t="shared" si="5"/>
        <v>0</v>
      </c>
      <c r="AH48" s="493">
        <v>0</v>
      </c>
      <c r="AI48" s="493">
        <v>0</v>
      </c>
      <c r="AJ48" s="493">
        <v>0</v>
      </c>
      <c r="AK48" s="493">
        <v>0</v>
      </c>
      <c r="AL48" s="493">
        <v>0</v>
      </c>
      <c r="AM48" s="493">
        <v>0</v>
      </c>
      <c r="AN48" s="493">
        <v>0</v>
      </c>
      <c r="AO48" s="493">
        <f t="shared" si="53"/>
        <v>0</v>
      </c>
      <c r="AP48" s="493">
        <f t="shared" si="54"/>
        <v>0</v>
      </c>
      <c r="AQ48" s="495">
        <f t="shared" si="8"/>
        <v>0</v>
      </c>
      <c r="AR48" s="501">
        <f t="shared" si="55"/>
        <v>1769692</v>
      </c>
      <c r="AS48" s="492">
        <f t="shared" si="56"/>
        <v>1303161</v>
      </c>
      <c r="AT48" s="492">
        <f t="shared" si="57"/>
        <v>0</v>
      </c>
      <c r="AU48" s="492">
        <f t="shared" si="58"/>
        <v>440468</v>
      </c>
      <c r="AV48" s="492">
        <f t="shared" si="58"/>
        <v>26063</v>
      </c>
      <c r="AW48" s="492">
        <f t="shared" si="59"/>
        <v>0</v>
      </c>
      <c r="AX48" s="493">
        <f t="shared" si="60"/>
        <v>2.7585999999999999</v>
      </c>
      <c r="AY48" s="493">
        <f t="shared" si="61"/>
        <v>2.7585999999999999</v>
      </c>
      <c r="AZ48" s="495">
        <f t="shared" si="61"/>
        <v>0</v>
      </c>
    </row>
    <row r="49" spans="1:52" ht="12.95" customHeight="1" x14ac:dyDescent="0.25">
      <c r="A49" s="313">
        <v>8</v>
      </c>
      <c r="B49" s="354">
        <v>5445</v>
      </c>
      <c r="C49" s="355">
        <v>600099351</v>
      </c>
      <c r="D49" s="314">
        <v>70155771</v>
      </c>
      <c r="E49" s="356" t="s">
        <v>385</v>
      </c>
      <c r="F49" s="314">
        <v>3143</v>
      </c>
      <c r="G49" s="356" t="s">
        <v>630</v>
      </c>
      <c r="H49" s="317" t="s">
        <v>279</v>
      </c>
      <c r="I49" s="494">
        <v>53675</v>
      </c>
      <c r="J49" s="489">
        <v>37957</v>
      </c>
      <c r="K49" s="489">
        <v>0</v>
      </c>
      <c r="L49" s="489">
        <v>12829</v>
      </c>
      <c r="M49" s="489">
        <v>759</v>
      </c>
      <c r="N49" s="489">
        <v>2130</v>
      </c>
      <c r="O49" s="490">
        <v>0.15</v>
      </c>
      <c r="P49" s="491">
        <v>0</v>
      </c>
      <c r="Q49" s="500">
        <v>0.15</v>
      </c>
      <c r="R49" s="502">
        <f t="shared" si="2"/>
        <v>0</v>
      </c>
      <c r="S49" s="492">
        <v>0</v>
      </c>
      <c r="T49" s="492">
        <v>0</v>
      </c>
      <c r="U49" s="492">
        <v>0</v>
      </c>
      <c r="V49" s="492">
        <f t="shared" si="3"/>
        <v>0</v>
      </c>
      <c r="W49" s="713">
        <v>0</v>
      </c>
      <c r="X49" s="492">
        <v>0</v>
      </c>
      <c r="Y49" s="492">
        <v>0</v>
      </c>
      <c r="Z49" s="492">
        <f t="shared" si="49"/>
        <v>0</v>
      </c>
      <c r="AA49" s="492">
        <f t="shared" si="50"/>
        <v>0</v>
      </c>
      <c r="AB49" s="74">
        <f t="shared" si="51"/>
        <v>0</v>
      </c>
      <c r="AC49" s="74">
        <f t="shared" si="52"/>
        <v>0</v>
      </c>
      <c r="AD49" s="492">
        <v>0</v>
      </c>
      <c r="AE49" s="492">
        <v>0</v>
      </c>
      <c r="AF49" s="492">
        <f t="shared" si="4"/>
        <v>0</v>
      </c>
      <c r="AG49" s="492">
        <f t="shared" si="5"/>
        <v>0</v>
      </c>
      <c r="AH49" s="493">
        <v>0</v>
      </c>
      <c r="AI49" s="493">
        <v>0</v>
      </c>
      <c r="AJ49" s="493">
        <v>0</v>
      </c>
      <c r="AK49" s="493">
        <v>0</v>
      </c>
      <c r="AL49" s="493">
        <v>0</v>
      </c>
      <c r="AM49" s="493">
        <v>0</v>
      </c>
      <c r="AN49" s="493">
        <v>0</v>
      </c>
      <c r="AO49" s="493">
        <f t="shared" si="53"/>
        <v>0</v>
      </c>
      <c r="AP49" s="493">
        <f t="shared" si="54"/>
        <v>0</v>
      </c>
      <c r="AQ49" s="495">
        <f t="shared" si="8"/>
        <v>0</v>
      </c>
      <c r="AR49" s="501">
        <f t="shared" si="55"/>
        <v>53675</v>
      </c>
      <c r="AS49" s="492">
        <f t="shared" si="56"/>
        <v>37957</v>
      </c>
      <c r="AT49" s="492">
        <f t="shared" si="57"/>
        <v>0</v>
      </c>
      <c r="AU49" s="492">
        <f t="shared" si="58"/>
        <v>12829</v>
      </c>
      <c r="AV49" s="492">
        <f t="shared" si="58"/>
        <v>759</v>
      </c>
      <c r="AW49" s="492">
        <f t="shared" si="59"/>
        <v>2130</v>
      </c>
      <c r="AX49" s="493">
        <f t="shared" si="60"/>
        <v>0.15</v>
      </c>
      <c r="AY49" s="493">
        <f t="shared" si="61"/>
        <v>0</v>
      </c>
      <c r="AZ49" s="495">
        <f t="shared" si="61"/>
        <v>0.15</v>
      </c>
    </row>
    <row r="50" spans="1:52" ht="12.95" customHeight="1" x14ac:dyDescent="0.25">
      <c r="A50" s="313">
        <v>8</v>
      </c>
      <c r="B50" s="354">
        <v>5445</v>
      </c>
      <c r="C50" s="355">
        <v>600099351</v>
      </c>
      <c r="D50" s="314">
        <v>70155771</v>
      </c>
      <c r="E50" s="356" t="s">
        <v>385</v>
      </c>
      <c r="F50" s="314">
        <v>3143</v>
      </c>
      <c r="G50" s="356" t="s">
        <v>318</v>
      </c>
      <c r="H50" s="317" t="s">
        <v>279</v>
      </c>
      <c r="I50" s="494">
        <v>278336</v>
      </c>
      <c r="J50" s="489">
        <v>169000</v>
      </c>
      <c r="K50" s="489">
        <v>35750</v>
      </c>
      <c r="L50" s="489">
        <v>69206</v>
      </c>
      <c r="M50" s="489">
        <v>3380</v>
      </c>
      <c r="N50" s="489">
        <v>1000</v>
      </c>
      <c r="O50" s="490">
        <v>0.38999999999999996</v>
      </c>
      <c r="P50" s="710">
        <v>0.28999999999999998</v>
      </c>
      <c r="Q50" s="500">
        <v>0.1</v>
      </c>
      <c r="R50" s="502">
        <f t="shared" si="2"/>
        <v>0</v>
      </c>
      <c r="S50" s="492">
        <v>0</v>
      </c>
      <c r="T50" s="492">
        <v>0</v>
      </c>
      <c r="U50" s="492">
        <v>0</v>
      </c>
      <c r="V50" s="492">
        <f t="shared" si="3"/>
        <v>0</v>
      </c>
      <c r="W50" s="713">
        <v>0</v>
      </c>
      <c r="X50" s="492">
        <v>0</v>
      </c>
      <c r="Y50" s="492">
        <v>0</v>
      </c>
      <c r="Z50" s="492">
        <f t="shared" si="49"/>
        <v>0</v>
      </c>
      <c r="AA50" s="492">
        <f t="shared" si="50"/>
        <v>0</v>
      </c>
      <c r="AB50" s="74">
        <f t="shared" si="51"/>
        <v>0</v>
      </c>
      <c r="AC50" s="74">
        <f t="shared" si="52"/>
        <v>0</v>
      </c>
      <c r="AD50" s="492">
        <v>0</v>
      </c>
      <c r="AE50" s="492">
        <v>0</v>
      </c>
      <c r="AF50" s="492">
        <f t="shared" si="4"/>
        <v>0</v>
      </c>
      <c r="AG50" s="492">
        <f t="shared" si="5"/>
        <v>0</v>
      </c>
      <c r="AH50" s="493">
        <v>0</v>
      </c>
      <c r="AI50" s="493">
        <v>0</v>
      </c>
      <c r="AJ50" s="493">
        <v>0</v>
      </c>
      <c r="AK50" s="493">
        <v>0</v>
      </c>
      <c r="AL50" s="493">
        <v>0</v>
      </c>
      <c r="AM50" s="493">
        <v>0</v>
      </c>
      <c r="AN50" s="493">
        <v>0</v>
      </c>
      <c r="AO50" s="493">
        <f t="shared" si="53"/>
        <v>0</v>
      </c>
      <c r="AP50" s="493">
        <f t="shared" si="54"/>
        <v>0</v>
      </c>
      <c r="AQ50" s="495">
        <f t="shared" si="8"/>
        <v>0</v>
      </c>
      <c r="AR50" s="501">
        <f t="shared" si="55"/>
        <v>278336</v>
      </c>
      <c r="AS50" s="492">
        <f t="shared" si="56"/>
        <v>169000</v>
      </c>
      <c r="AT50" s="492">
        <f t="shared" si="57"/>
        <v>35750</v>
      </c>
      <c r="AU50" s="492">
        <f t="shared" si="58"/>
        <v>69206</v>
      </c>
      <c r="AV50" s="492">
        <f t="shared" si="58"/>
        <v>3380</v>
      </c>
      <c r="AW50" s="492">
        <f t="shared" si="59"/>
        <v>1000</v>
      </c>
      <c r="AX50" s="493">
        <f t="shared" si="60"/>
        <v>0.38999999999999996</v>
      </c>
      <c r="AY50" s="493">
        <f t="shared" si="61"/>
        <v>0.28999999999999998</v>
      </c>
      <c r="AZ50" s="495">
        <f t="shared" si="61"/>
        <v>0.1</v>
      </c>
    </row>
    <row r="51" spans="1:52" ht="12.95" customHeight="1" x14ac:dyDescent="0.25">
      <c r="A51" s="357">
        <v>8</v>
      </c>
      <c r="B51" s="358">
        <v>5445</v>
      </c>
      <c r="C51" s="359">
        <v>600099351</v>
      </c>
      <c r="D51" s="358">
        <v>70155771</v>
      </c>
      <c r="E51" s="360" t="s">
        <v>386</v>
      </c>
      <c r="F51" s="324"/>
      <c r="G51" s="362"/>
      <c r="H51" s="325"/>
      <c r="I51" s="606">
        <v>30024737</v>
      </c>
      <c r="J51" s="602">
        <v>21389960</v>
      </c>
      <c r="K51" s="602">
        <v>261580</v>
      </c>
      <c r="L51" s="602">
        <v>7318221</v>
      </c>
      <c r="M51" s="602">
        <v>427800</v>
      </c>
      <c r="N51" s="602">
        <v>627176</v>
      </c>
      <c r="O51" s="603">
        <v>40.772800000000004</v>
      </c>
      <c r="P51" s="603">
        <v>28.680199999999999</v>
      </c>
      <c r="Q51" s="608">
        <v>12.092599999999999</v>
      </c>
      <c r="R51" s="606">
        <f t="shared" ref="R51:AZ51" si="62">SUM(R45:R50)</f>
        <v>0</v>
      </c>
      <c r="S51" s="602">
        <f t="shared" si="62"/>
        <v>52056</v>
      </c>
      <c r="T51" s="602">
        <f t="shared" si="62"/>
        <v>0</v>
      </c>
      <c r="U51" s="602">
        <f t="shared" si="62"/>
        <v>0</v>
      </c>
      <c r="V51" s="602">
        <f t="shared" si="62"/>
        <v>52056</v>
      </c>
      <c r="W51" s="602">
        <f t="shared" si="62"/>
        <v>0</v>
      </c>
      <c r="X51" s="602">
        <f t="shared" si="62"/>
        <v>0</v>
      </c>
      <c r="Y51" s="602">
        <f t="shared" si="62"/>
        <v>0</v>
      </c>
      <c r="Z51" s="602">
        <f t="shared" si="62"/>
        <v>0</v>
      </c>
      <c r="AA51" s="602">
        <f t="shared" si="62"/>
        <v>52056</v>
      </c>
      <c r="AB51" s="602">
        <f t="shared" si="62"/>
        <v>17595</v>
      </c>
      <c r="AC51" s="602">
        <f t="shared" si="62"/>
        <v>1041</v>
      </c>
      <c r="AD51" s="602">
        <f t="shared" si="62"/>
        <v>0</v>
      </c>
      <c r="AE51" s="602">
        <f t="shared" si="62"/>
        <v>0</v>
      </c>
      <c r="AF51" s="602">
        <f t="shared" si="62"/>
        <v>0</v>
      </c>
      <c r="AG51" s="602">
        <f t="shared" si="62"/>
        <v>70692</v>
      </c>
      <c r="AH51" s="603">
        <f t="shared" si="62"/>
        <v>0</v>
      </c>
      <c r="AI51" s="603">
        <f t="shared" si="62"/>
        <v>0</v>
      </c>
      <c r="AJ51" s="603">
        <f t="shared" si="62"/>
        <v>0.12</v>
      </c>
      <c r="AK51" s="603">
        <f t="shared" si="62"/>
        <v>0</v>
      </c>
      <c r="AL51" s="603">
        <f t="shared" si="62"/>
        <v>0</v>
      </c>
      <c r="AM51" s="603">
        <f t="shared" si="62"/>
        <v>0</v>
      </c>
      <c r="AN51" s="603">
        <f t="shared" si="62"/>
        <v>0</v>
      </c>
      <c r="AO51" s="603">
        <f t="shared" si="62"/>
        <v>0.12</v>
      </c>
      <c r="AP51" s="603">
        <f t="shared" si="62"/>
        <v>0</v>
      </c>
      <c r="AQ51" s="361">
        <f t="shared" si="62"/>
        <v>0.12</v>
      </c>
      <c r="AR51" s="610">
        <f t="shared" si="62"/>
        <v>30095429</v>
      </c>
      <c r="AS51" s="602">
        <f t="shared" si="62"/>
        <v>21442016</v>
      </c>
      <c r="AT51" s="602">
        <f t="shared" si="62"/>
        <v>261580</v>
      </c>
      <c r="AU51" s="602">
        <f t="shared" si="62"/>
        <v>7335816</v>
      </c>
      <c r="AV51" s="602">
        <f t="shared" si="62"/>
        <v>428841</v>
      </c>
      <c r="AW51" s="602">
        <f t="shared" si="62"/>
        <v>627176</v>
      </c>
      <c r="AX51" s="603">
        <f t="shared" si="62"/>
        <v>40.892800000000001</v>
      </c>
      <c r="AY51" s="603">
        <f t="shared" si="62"/>
        <v>28.8002</v>
      </c>
      <c r="AZ51" s="361">
        <f t="shared" si="62"/>
        <v>12.092599999999999</v>
      </c>
    </row>
    <row r="52" spans="1:52" ht="12.95" customHeight="1" x14ac:dyDescent="0.25">
      <c r="A52" s="313">
        <v>9</v>
      </c>
      <c r="B52" s="354">
        <v>5446</v>
      </c>
      <c r="C52" s="367">
        <v>600099393</v>
      </c>
      <c r="D52" s="314">
        <v>856096</v>
      </c>
      <c r="E52" s="356" t="s">
        <v>387</v>
      </c>
      <c r="F52" s="314">
        <v>3231</v>
      </c>
      <c r="G52" s="356" t="s">
        <v>317</v>
      </c>
      <c r="H52" s="317" t="s">
        <v>278</v>
      </c>
      <c r="I52" s="494">
        <v>21262725</v>
      </c>
      <c r="J52" s="489">
        <v>15555438</v>
      </c>
      <c r="K52" s="489">
        <v>49530</v>
      </c>
      <c r="L52" s="489">
        <v>5274479</v>
      </c>
      <c r="M52" s="489">
        <v>311108</v>
      </c>
      <c r="N52" s="489">
        <v>72170</v>
      </c>
      <c r="O52" s="490">
        <v>28.935500000000001</v>
      </c>
      <c r="P52" s="491">
        <v>25.631799999999998</v>
      </c>
      <c r="Q52" s="500">
        <v>3.3037000000000001</v>
      </c>
      <c r="R52" s="502">
        <f t="shared" si="2"/>
        <v>0</v>
      </c>
      <c r="S52" s="492">
        <v>0</v>
      </c>
      <c r="T52" s="492">
        <v>0</v>
      </c>
      <c r="U52" s="492">
        <v>0</v>
      </c>
      <c r="V52" s="492">
        <f t="shared" si="3"/>
        <v>0</v>
      </c>
      <c r="W52" s="713">
        <v>0</v>
      </c>
      <c r="X52" s="492">
        <v>0</v>
      </c>
      <c r="Y52" s="492">
        <v>0</v>
      </c>
      <c r="Z52" s="492">
        <f>SUM(W52:Y52)</f>
        <v>0</v>
      </c>
      <c r="AA52" s="492">
        <f>V52+Z52</f>
        <v>0</v>
      </c>
      <c r="AB52" s="74">
        <f>ROUND((V52+W52+X52)*33.8%,0)</f>
        <v>0</v>
      </c>
      <c r="AC52" s="74">
        <f>ROUND(V52*2%,0)</f>
        <v>0</v>
      </c>
      <c r="AD52" s="492">
        <v>0</v>
      </c>
      <c r="AE52" s="492">
        <v>0</v>
      </c>
      <c r="AF52" s="492">
        <f t="shared" si="4"/>
        <v>0</v>
      </c>
      <c r="AG52" s="492">
        <f t="shared" si="5"/>
        <v>0</v>
      </c>
      <c r="AH52" s="493">
        <v>0</v>
      </c>
      <c r="AI52" s="493">
        <v>0</v>
      </c>
      <c r="AJ52" s="493">
        <v>0</v>
      </c>
      <c r="AK52" s="493">
        <v>0</v>
      </c>
      <c r="AL52" s="493">
        <v>0</v>
      </c>
      <c r="AM52" s="493">
        <v>0</v>
      </c>
      <c r="AN52" s="493">
        <v>0</v>
      </c>
      <c r="AO52" s="493">
        <f>AH52+AJ52+AK52+AM52</f>
        <v>0</v>
      </c>
      <c r="AP52" s="493">
        <f>AI52+AN52+AL52</f>
        <v>0</v>
      </c>
      <c r="AQ52" s="495">
        <f t="shared" si="8"/>
        <v>0</v>
      </c>
      <c r="AR52" s="501">
        <f>I52+AG52</f>
        <v>21262725</v>
      </c>
      <c r="AS52" s="492">
        <f>J52+V52</f>
        <v>15555438</v>
      </c>
      <c r="AT52" s="492">
        <f>K52+Z52</f>
        <v>49530</v>
      </c>
      <c r="AU52" s="492">
        <f>L52+AB52</f>
        <v>5274479</v>
      </c>
      <c r="AV52" s="492">
        <f>M52+AC52</f>
        <v>311108</v>
      </c>
      <c r="AW52" s="492">
        <f>N52+AF52</f>
        <v>72170</v>
      </c>
      <c r="AX52" s="493">
        <f>O52+AQ52</f>
        <v>28.935500000000001</v>
      </c>
      <c r="AY52" s="493">
        <f>P52+AO52</f>
        <v>25.631799999999998</v>
      </c>
      <c r="AZ52" s="495">
        <f>Q52+AP52</f>
        <v>3.3037000000000001</v>
      </c>
    </row>
    <row r="53" spans="1:52" ht="12.95" customHeight="1" x14ac:dyDescent="0.25">
      <c r="A53" s="357">
        <v>9</v>
      </c>
      <c r="B53" s="358">
        <v>5446</v>
      </c>
      <c r="C53" s="359">
        <v>600099393</v>
      </c>
      <c r="D53" s="358">
        <v>856096</v>
      </c>
      <c r="E53" s="360" t="s">
        <v>388</v>
      </c>
      <c r="F53" s="324"/>
      <c r="G53" s="362"/>
      <c r="H53" s="325"/>
      <c r="I53" s="606">
        <v>21262725</v>
      </c>
      <c r="J53" s="602">
        <v>15555438</v>
      </c>
      <c r="K53" s="602">
        <v>49530</v>
      </c>
      <c r="L53" s="602">
        <v>5274479</v>
      </c>
      <c r="M53" s="602">
        <v>311108</v>
      </c>
      <c r="N53" s="602">
        <v>72170</v>
      </c>
      <c r="O53" s="603">
        <v>28.935500000000001</v>
      </c>
      <c r="P53" s="603">
        <v>25.631799999999998</v>
      </c>
      <c r="Q53" s="608">
        <v>3.3037000000000001</v>
      </c>
      <c r="R53" s="606">
        <f t="shared" ref="R53:AZ53" si="63">SUM(R52)</f>
        <v>0</v>
      </c>
      <c r="S53" s="602">
        <f t="shared" si="63"/>
        <v>0</v>
      </c>
      <c r="T53" s="602">
        <f t="shared" si="63"/>
        <v>0</v>
      </c>
      <c r="U53" s="602">
        <f t="shared" si="63"/>
        <v>0</v>
      </c>
      <c r="V53" s="602">
        <f t="shared" si="63"/>
        <v>0</v>
      </c>
      <c r="W53" s="602">
        <f t="shared" si="63"/>
        <v>0</v>
      </c>
      <c r="X53" s="602">
        <f t="shared" si="63"/>
        <v>0</v>
      </c>
      <c r="Y53" s="602">
        <f t="shared" si="63"/>
        <v>0</v>
      </c>
      <c r="Z53" s="602">
        <f t="shared" si="63"/>
        <v>0</v>
      </c>
      <c r="AA53" s="602">
        <f t="shared" si="63"/>
        <v>0</v>
      </c>
      <c r="AB53" s="602">
        <f t="shared" si="63"/>
        <v>0</v>
      </c>
      <c r="AC53" s="602">
        <f t="shared" si="63"/>
        <v>0</v>
      </c>
      <c r="AD53" s="602">
        <f t="shared" si="63"/>
        <v>0</v>
      </c>
      <c r="AE53" s="602">
        <f t="shared" si="63"/>
        <v>0</v>
      </c>
      <c r="AF53" s="602">
        <f t="shared" si="63"/>
        <v>0</v>
      </c>
      <c r="AG53" s="602">
        <f t="shared" si="63"/>
        <v>0</v>
      </c>
      <c r="AH53" s="603">
        <f t="shared" si="63"/>
        <v>0</v>
      </c>
      <c r="AI53" s="603">
        <f t="shared" si="63"/>
        <v>0</v>
      </c>
      <c r="AJ53" s="603">
        <f t="shared" si="63"/>
        <v>0</v>
      </c>
      <c r="AK53" s="603">
        <f t="shared" si="63"/>
        <v>0</v>
      </c>
      <c r="AL53" s="603">
        <f t="shared" si="63"/>
        <v>0</v>
      </c>
      <c r="AM53" s="603">
        <f t="shared" si="63"/>
        <v>0</v>
      </c>
      <c r="AN53" s="603">
        <f t="shared" si="63"/>
        <v>0</v>
      </c>
      <c r="AO53" s="603">
        <f t="shared" si="63"/>
        <v>0</v>
      </c>
      <c r="AP53" s="603">
        <f t="shared" si="63"/>
        <v>0</v>
      </c>
      <c r="AQ53" s="361">
        <f t="shared" si="63"/>
        <v>0</v>
      </c>
      <c r="AR53" s="610">
        <f t="shared" si="63"/>
        <v>21262725</v>
      </c>
      <c r="AS53" s="602">
        <f t="shared" si="63"/>
        <v>15555438</v>
      </c>
      <c r="AT53" s="602">
        <f t="shared" si="63"/>
        <v>49530</v>
      </c>
      <c r="AU53" s="602">
        <f t="shared" si="63"/>
        <v>5274479</v>
      </c>
      <c r="AV53" s="602">
        <f t="shared" si="63"/>
        <v>311108</v>
      </c>
      <c r="AW53" s="602">
        <f t="shared" si="63"/>
        <v>72170</v>
      </c>
      <c r="AX53" s="603">
        <f t="shared" si="63"/>
        <v>28.935500000000001</v>
      </c>
      <c r="AY53" s="603">
        <f t="shared" si="63"/>
        <v>25.631799999999998</v>
      </c>
      <c r="AZ53" s="361">
        <f t="shared" si="63"/>
        <v>3.3037000000000001</v>
      </c>
    </row>
    <row r="54" spans="1:52" ht="12.95" customHeight="1" x14ac:dyDescent="0.25">
      <c r="A54" s="313">
        <v>10</v>
      </c>
      <c r="B54" s="354">
        <v>5403</v>
      </c>
      <c r="C54" s="355">
        <v>600098966</v>
      </c>
      <c r="D54" s="314">
        <v>75016931</v>
      </c>
      <c r="E54" s="356" t="s">
        <v>389</v>
      </c>
      <c r="F54" s="314">
        <v>3111</v>
      </c>
      <c r="G54" s="356" t="s">
        <v>326</v>
      </c>
      <c r="H54" s="317" t="s">
        <v>278</v>
      </c>
      <c r="I54" s="494">
        <v>1596610</v>
      </c>
      <c r="J54" s="489">
        <v>1160356</v>
      </c>
      <c r="K54" s="489">
        <v>6500</v>
      </c>
      <c r="L54" s="489">
        <v>394397</v>
      </c>
      <c r="M54" s="489">
        <v>23207</v>
      </c>
      <c r="N54" s="489">
        <v>12150</v>
      </c>
      <c r="O54" s="490">
        <v>2.4164000000000003</v>
      </c>
      <c r="P54" s="491">
        <v>1.9355</v>
      </c>
      <c r="Q54" s="500">
        <v>0.48089999999999999</v>
      </c>
      <c r="R54" s="502">
        <f t="shared" si="2"/>
        <v>0</v>
      </c>
      <c r="S54" s="492">
        <v>0</v>
      </c>
      <c r="T54" s="492">
        <v>0</v>
      </c>
      <c r="U54" s="492">
        <v>0</v>
      </c>
      <c r="V54" s="492">
        <f t="shared" si="3"/>
        <v>0</v>
      </c>
      <c r="W54" s="713">
        <v>0</v>
      </c>
      <c r="X54" s="492">
        <v>0</v>
      </c>
      <c r="Y54" s="492">
        <v>0</v>
      </c>
      <c r="Z54" s="492">
        <f t="shared" ref="Z54:Z59" si="64">SUM(W54:Y54)</f>
        <v>0</v>
      </c>
      <c r="AA54" s="492">
        <f t="shared" ref="AA54:AA59" si="65">V54+Z54</f>
        <v>0</v>
      </c>
      <c r="AB54" s="74">
        <f t="shared" ref="AB54:AB59" si="66">ROUND((V54+W54+X54)*33.8%,0)</f>
        <v>0</v>
      </c>
      <c r="AC54" s="74">
        <f t="shared" ref="AC54:AC59" si="67">ROUND(V54*2%,0)</f>
        <v>0</v>
      </c>
      <c r="AD54" s="492">
        <v>0</v>
      </c>
      <c r="AE54" s="492">
        <v>0</v>
      </c>
      <c r="AF54" s="492">
        <f t="shared" si="4"/>
        <v>0</v>
      </c>
      <c r="AG54" s="492">
        <f t="shared" si="5"/>
        <v>0</v>
      </c>
      <c r="AH54" s="493">
        <v>0</v>
      </c>
      <c r="AI54" s="493">
        <v>0</v>
      </c>
      <c r="AJ54" s="493">
        <v>0</v>
      </c>
      <c r="AK54" s="493">
        <v>0</v>
      </c>
      <c r="AL54" s="493">
        <v>0</v>
      </c>
      <c r="AM54" s="493">
        <v>0</v>
      </c>
      <c r="AN54" s="493">
        <v>0</v>
      </c>
      <c r="AO54" s="493">
        <f t="shared" ref="AO54:AO59" si="68">AH54+AJ54+AK54+AM54</f>
        <v>0</v>
      </c>
      <c r="AP54" s="493">
        <f t="shared" ref="AP54:AP59" si="69">AI54+AN54+AL54</f>
        <v>0</v>
      </c>
      <c r="AQ54" s="495">
        <f t="shared" si="8"/>
        <v>0</v>
      </c>
      <c r="AR54" s="501">
        <f t="shared" ref="AR54:AR59" si="70">I54+AG54</f>
        <v>1596610</v>
      </c>
      <c r="AS54" s="492">
        <f t="shared" ref="AS54:AS59" si="71">J54+V54</f>
        <v>1160356</v>
      </c>
      <c r="AT54" s="492">
        <f t="shared" ref="AT54:AT59" si="72">K54+Z54</f>
        <v>6500</v>
      </c>
      <c r="AU54" s="492">
        <f t="shared" ref="AU54:AV59" si="73">L54+AB54</f>
        <v>394397</v>
      </c>
      <c r="AV54" s="492">
        <f t="shared" si="73"/>
        <v>23207</v>
      </c>
      <c r="AW54" s="492">
        <f t="shared" ref="AW54:AW59" si="74">N54+AF54</f>
        <v>12150</v>
      </c>
      <c r="AX54" s="493">
        <f t="shared" ref="AX54:AX59" si="75">O54+AQ54</f>
        <v>2.4164000000000003</v>
      </c>
      <c r="AY54" s="493">
        <f t="shared" ref="AY54:AZ59" si="76">P54+AO54</f>
        <v>1.9355</v>
      </c>
      <c r="AZ54" s="495">
        <f t="shared" si="76"/>
        <v>0.48089999999999999</v>
      </c>
    </row>
    <row r="55" spans="1:52" ht="12.95" customHeight="1" x14ac:dyDescent="0.25">
      <c r="A55" s="313">
        <v>10</v>
      </c>
      <c r="B55" s="354">
        <v>5403</v>
      </c>
      <c r="C55" s="355">
        <v>600098966</v>
      </c>
      <c r="D55" s="314">
        <v>75016931</v>
      </c>
      <c r="E55" s="356" t="s">
        <v>389</v>
      </c>
      <c r="F55" s="314">
        <v>3117</v>
      </c>
      <c r="G55" s="356" t="s">
        <v>315</v>
      </c>
      <c r="H55" s="317" t="s">
        <v>278</v>
      </c>
      <c r="I55" s="494">
        <v>3031466</v>
      </c>
      <c r="J55" s="489">
        <v>2160669</v>
      </c>
      <c r="K55" s="489">
        <v>29250</v>
      </c>
      <c r="L55" s="489">
        <v>740193</v>
      </c>
      <c r="M55" s="489">
        <v>43214</v>
      </c>
      <c r="N55" s="489">
        <v>58140</v>
      </c>
      <c r="O55" s="490">
        <v>4.2373000000000003</v>
      </c>
      <c r="P55" s="491">
        <v>2.8929</v>
      </c>
      <c r="Q55" s="500">
        <v>1.3444</v>
      </c>
      <c r="R55" s="502">
        <f t="shared" si="2"/>
        <v>0</v>
      </c>
      <c r="S55" s="492">
        <v>0</v>
      </c>
      <c r="T55" s="492">
        <v>0</v>
      </c>
      <c r="U55" s="492">
        <v>0</v>
      </c>
      <c r="V55" s="492">
        <f t="shared" si="3"/>
        <v>0</v>
      </c>
      <c r="W55" s="713">
        <v>0</v>
      </c>
      <c r="X55" s="492">
        <v>0</v>
      </c>
      <c r="Y55" s="492">
        <v>0</v>
      </c>
      <c r="Z55" s="492">
        <f t="shared" si="64"/>
        <v>0</v>
      </c>
      <c r="AA55" s="492">
        <f t="shared" si="65"/>
        <v>0</v>
      </c>
      <c r="AB55" s="74">
        <f t="shared" si="66"/>
        <v>0</v>
      </c>
      <c r="AC55" s="74">
        <f t="shared" si="67"/>
        <v>0</v>
      </c>
      <c r="AD55" s="492">
        <v>0</v>
      </c>
      <c r="AE55" s="492">
        <v>0</v>
      </c>
      <c r="AF55" s="492">
        <f t="shared" si="4"/>
        <v>0</v>
      </c>
      <c r="AG55" s="492">
        <f t="shared" si="5"/>
        <v>0</v>
      </c>
      <c r="AH55" s="493">
        <v>0</v>
      </c>
      <c r="AI55" s="493">
        <v>0</v>
      </c>
      <c r="AJ55" s="493">
        <v>0</v>
      </c>
      <c r="AK55" s="493">
        <v>0</v>
      </c>
      <c r="AL55" s="493">
        <v>0</v>
      </c>
      <c r="AM55" s="493">
        <v>0</v>
      </c>
      <c r="AN55" s="493">
        <v>0</v>
      </c>
      <c r="AO55" s="493">
        <f t="shared" si="68"/>
        <v>0</v>
      </c>
      <c r="AP55" s="493">
        <f t="shared" si="69"/>
        <v>0</v>
      </c>
      <c r="AQ55" s="495">
        <f t="shared" si="8"/>
        <v>0</v>
      </c>
      <c r="AR55" s="501">
        <f t="shared" si="70"/>
        <v>3031466</v>
      </c>
      <c r="AS55" s="492">
        <f t="shared" si="71"/>
        <v>2160669</v>
      </c>
      <c r="AT55" s="492">
        <f t="shared" si="72"/>
        <v>29250</v>
      </c>
      <c r="AU55" s="492">
        <f t="shared" si="73"/>
        <v>740193</v>
      </c>
      <c r="AV55" s="492">
        <f t="shared" si="73"/>
        <v>43214</v>
      </c>
      <c r="AW55" s="492">
        <f t="shared" si="74"/>
        <v>58140</v>
      </c>
      <c r="AX55" s="493">
        <f t="shared" si="75"/>
        <v>4.2373000000000003</v>
      </c>
      <c r="AY55" s="493">
        <f t="shared" si="76"/>
        <v>2.8929</v>
      </c>
      <c r="AZ55" s="495">
        <f t="shared" si="76"/>
        <v>1.3444</v>
      </c>
    </row>
    <row r="56" spans="1:52" ht="12.95" customHeight="1" x14ac:dyDescent="0.25">
      <c r="A56" s="313">
        <v>10</v>
      </c>
      <c r="B56" s="354">
        <v>5403</v>
      </c>
      <c r="C56" s="355">
        <v>600098966</v>
      </c>
      <c r="D56" s="314">
        <v>75016931</v>
      </c>
      <c r="E56" s="356" t="s">
        <v>389</v>
      </c>
      <c r="F56" s="314">
        <v>3117</v>
      </c>
      <c r="G56" s="356" t="s">
        <v>320</v>
      </c>
      <c r="H56" s="317" t="s">
        <v>279</v>
      </c>
      <c r="I56" s="494">
        <v>63337</v>
      </c>
      <c r="J56" s="489">
        <v>46272</v>
      </c>
      <c r="K56" s="489">
        <v>0</v>
      </c>
      <c r="L56" s="489">
        <v>15640</v>
      </c>
      <c r="M56" s="489">
        <v>925</v>
      </c>
      <c r="N56" s="489">
        <v>500</v>
      </c>
      <c r="O56" s="490">
        <v>0.1</v>
      </c>
      <c r="P56" s="491">
        <v>0.1</v>
      </c>
      <c r="Q56" s="500">
        <v>0</v>
      </c>
      <c r="R56" s="502">
        <f t="shared" si="2"/>
        <v>0</v>
      </c>
      <c r="S56" s="492">
        <v>0</v>
      </c>
      <c r="T56" s="492">
        <v>0</v>
      </c>
      <c r="U56" s="492">
        <v>0</v>
      </c>
      <c r="V56" s="492">
        <f t="shared" si="3"/>
        <v>0</v>
      </c>
      <c r="W56" s="713">
        <v>0</v>
      </c>
      <c r="X56" s="492">
        <v>0</v>
      </c>
      <c r="Y56" s="492">
        <v>0</v>
      </c>
      <c r="Z56" s="492">
        <f t="shared" si="64"/>
        <v>0</v>
      </c>
      <c r="AA56" s="492">
        <f t="shared" si="65"/>
        <v>0</v>
      </c>
      <c r="AB56" s="74">
        <f t="shared" si="66"/>
        <v>0</v>
      </c>
      <c r="AC56" s="74">
        <f t="shared" si="67"/>
        <v>0</v>
      </c>
      <c r="AD56" s="492">
        <v>0</v>
      </c>
      <c r="AE56" s="492">
        <v>0</v>
      </c>
      <c r="AF56" s="492">
        <f t="shared" si="4"/>
        <v>0</v>
      </c>
      <c r="AG56" s="492">
        <f t="shared" si="5"/>
        <v>0</v>
      </c>
      <c r="AH56" s="493">
        <v>0</v>
      </c>
      <c r="AI56" s="493">
        <v>0</v>
      </c>
      <c r="AJ56" s="493">
        <v>0</v>
      </c>
      <c r="AK56" s="493">
        <v>0</v>
      </c>
      <c r="AL56" s="493">
        <v>0</v>
      </c>
      <c r="AM56" s="493">
        <v>0</v>
      </c>
      <c r="AN56" s="493">
        <v>0</v>
      </c>
      <c r="AO56" s="493">
        <f t="shared" si="68"/>
        <v>0</v>
      </c>
      <c r="AP56" s="493">
        <f t="shared" si="69"/>
        <v>0</v>
      </c>
      <c r="AQ56" s="495">
        <f t="shared" si="8"/>
        <v>0</v>
      </c>
      <c r="AR56" s="501">
        <f t="shared" si="70"/>
        <v>63337</v>
      </c>
      <c r="AS56" s="492">
        <f t="shared" si="71"/>
        <v>46272</v>
      </c>
      <c r="AT56" s="492">
        <f t="shared" si="72"/>
        <v>0</v>
      </c>
      <c r="AU56" s="492">
        <f t="shared" si="73"/>
        <v>15640</v>
      </c>
      <c r="AV56" s="492">
        <f t="shared" si="73"/>
        <v>925</v>
      </c>
      <c r="AW56" s="492">
        <f t="shared" si="74"/>
        <v>500</v>
      </c>
      <c r="AX56" s="493">
        <f t="shared" si="75"/>
        <v>0.1</v>
      </c>
      <c r="AY56" s="493">
        <f t="shared" si="76"/>
        <v>0.1</v>
      </c>
      <c r="AZ56" s="495">
        <f t="shared" si="76"/>
        <v>0</v>
      </c>
    </row>
    <row r="57" spans="1:52" ht="12.95" customHeight="1" x14ac:dyDescent="0.25">
      <c r="A57" s="313">
        <v>10</v>
      </c>
      <c r="B57" s="354">
        <v>5403</v>
      </c>
      <c r="C57" s="355">
        <v>600098966</v>
      </c>
      <c r="D57" s="314">
        <v>75016931</v>
      </c>
      <c r="E57" s="356" t="s">
        <v>389</v>
      </c>
      <c r="F57" s="314">
        <v>3141</v>
      </c>
      <c r="G57" s="356" t="s">
        <v>316</v>
      </c>
      <c r="H57" s="317" t="s">
        <v>279</v>
      </c>
      <c r="I57" s="494">
        <v>842582</v>
      </c>
      <c r="J57" s="489">
        <v>608246</v>
      </c>
      <c r="K57" s="489">
        <v>9750</v>
      </c>
      <c r="L57" s="489">
        <v>208883</v>
      </c>
      <c r="M57" s="489">
        <v>12165</v>
      </c>
      <c r="N57" s="489">
        <v>3538</v>
      </c>
      <c r="O57" s="490">
        <v>1.95</v>
      </c>
      <c r="P57" s="491">
        <v>0</v>
      </c>
      <c r="Q57" s="500">
        <v>1.95</v>
      </c>
      <c r="R57" s="502">
        <f t="shared" si="2"/>
        <v>0</v>
      </c>
      <c r="S57" s="492">
        <v>0</v>
      </c>
      <c r="T57" s="492">
        <v>0</v>
      </c>
      <c r="U57" s="492">
        <v>0</v>
      </c>
      <c r="V57" s="492">
        <f t="shared" si="3"/>
        <v>0</v>
      </c>
      <c r="W57" s="713">
        <v>0</v>
      </c>
      <c r="X57" s="492">
        <v>0</v>
      </c>
      <c r="Y57" s="492">
        <v>0</v>
      </c>
      <c r="Z57" s="492">
        <f t="shared" si="64"/>
        <v>0</v>
      </c>
      <c r="AA57" s="492">
        <f t="shared" si="65"/>
        <v>0</v>
      </c>
      <c r="AB57" s="74">
        <f t="shared" si="66"/>
        <v>0</v>
      </c>
      <c r="AC57" s="74">
        <f t="shared" si="67"/>
        <v>0</v>
      </c>
      <c r="AD57" s="492">
        <v>0</v>
      </c>
      <c r="AE57" s="492">
        <v>0</v>
      </c>
      <c r="AF57" s="492">
        <f t="shared" si="4"/>
        <v>0</v>
      </c>
      <c r="AG57" s="492">
        <f t="shared" si="5"/>
        <v>0</v>
      </c>
      <c r="AH57" s="493">
        <v>0</v>
      </c>
      <c r="AI57" s="493">
        <v>0</v>
      </c>
      <c r="AJ57" s="493">
        <v>0</v>
      </c>
      <c r="AK57" s="493">
        <v>0</v>
      </c>
      <c r="AL57" s="493">
        <v>0</v>
      </c>
      <c r="AM57" s="493">
        <v>0</v>
      </c>
      <c r="AN57" s="493">
        <v>0</v>
      </c>
      <c r="AO57" s="493">
        <f t="shared" si="68"/>
        <v>0</v>
      </c>
      <c r="AP57" s="493">
        <f t="shared" si="69"/>
        <v>0</v>
      </c>
      <c r="AQ57" s="495">
        <f t="shared" si="8"/>
        <v>0</v>
      </c>
      <c r="AR57" s="501">
        <f t="shared" si="70"/>
        <v>842582</v>
      </c>
      <c r="AS57" s="492">
        <f t="shared" si="71"/>
        <v>608246</v>
      </c>
      <c r="AT57" s="492">
        <f t="shared" si="72"/>
        <v>9750</v>
      </c>
      <c r="AU57" s="492">
        <f t="shared" si="73"/>
        <v>208883</v>
      </c>
      <c r="AV57" s="492">
        <f t="shared" si="73"/>
        <v>12165</v>
      </c>
      <c r="AW57" s="492">
        <f t="shared" si="74"/>
        <v>3538</v>
      </c>
      <c r="AX57" s="493">
        <f t="shared" si="75"/>
        <v>1.95</v>
      </c>
      <c r="AY57" s="493">
        <f t="shared" si="76"/>
        <v>0</v>
      </c>
      <c r="AZ57" s="495">
        <f t="shared" si="76"/>
        <v>1.95</v>
      </c>
    </row>
    <row r="58" spans="1:52" ht="12.95" customHeight="1" x14ac:dyDescent="0.25">
      <c r="A58" s="313">
        <v>10</v>
      </c>
      <c r="B58" s="354">
        <v>5403</v>
      </c>
      <c r="C58" s="355">
        <v>600098966</v>
      </c>
      <c r="D58" s="314">
        <v>75016931</v>
      </c>
      <c r="E58" s="356" t="s">
        <v>389</v>
      </c>
      <c r="F58" s="314">
        <v>3143</v>
      </c>
      <c r="G58" s="356" t="s">
        <v>629</v>
      </c>
      <c r="H58" s="317" t="s">
        <v>278</v>
      </c>
      <c r="I58" s="494">
        <v>572063</v>
      </c>
      <c r="J58" s="489">
        <v>421254</v>
      </c>
      <c r="K58" s="489">
        <v>0</v>
      </c>
      <c r="L58" s="489">
        <v>142384</v>
      </c>
      <c r="M58" s="489">
        <v>8425</v>
      </c>
      <c r="N58" s="489">
        <v>0</v>
      </c>
      <c r="O58" s="490">
        <v>0.89280000000000004</v>
      </c>
      <c r="P58" s="491">
        <v>0.89280000000000004</v>
      </c>
      <c r="Q58" s="500">
        <v>0</v>
      </c>
      <c r="R58" s="502">
        <f t="shared" si="2"/>
        <v>0</v>
      </c>
      <c r="S58" s="492">
        <v>0</v>
      </c>
      <c r="T58" s="492">
        <v>0</v>
      </c>
      <c r="U58" s="492">
        <v>0</v>
      </c>
      <c r="V58" s="492">
        <f t="shared" si="3"/>
        <v>0</v>
      </c>
      <c r="W58" s="713">
        <v>0</v>
      </c>
      <c r="X58" s="492">
        <v>0</v>
      </c>
      <c r="Y58" s="492">
        <v>0</v>
      </c>
      <c r="Z58" s="492">
        <f t="shared" si="64"/>
        <v>0</v>
      </c>
      <c r="AA58" s="492">
        <f t="shared" si="65"/>
        <v>0</v>
      </c>
      <c r="AB58" s="74">
        <f t="shared" si="66"/>
        <v>0</v>
      </c>
      <c r="AC58" s="74">
        <f t="shared" si="67"/>
        <v>0</v>
      </c>
      <c r="AD58" s="492">
        <v>0</v>
      </c>
      <c r="AE58" s="492">
        <v>0</v>
      </c>
      <c r="AF58" s="492">
        <f t="shared" si="4"/>
        <v>0</v>
      </c>
      <c r="AG58" s="492">
        <f t="shared" si="5"/>
        <v>0</v>
      </c>
      <c r="AH58" s="493">
        <v>0</v>
      </c>
      <c r="AI58" s="493">
        <v>0</v>
      </c>
      <c r="AJ58" s="493">
        <v>0</v>
      </c>
      <c r="AK58" s="493">
        <v>0</v>
      </c>
      <c r="AL58" s="493">
        <v>0</v>
      </c>
      <c r="AM58" s="493">
        <v>0</v>
      </c>
      <c r="AN58" s="493">
        <v>0</v>
      </c>
      <c r="AO58" s="493">
        <f t="shared" si="68"/>
        <v>0</v>
      </c>
      <c r="AP58" s="493">
        <f t="shared" si="69"/>
        <v>0</v>
      </c>
      <c r="AQ58" s="495">
        <f t="shared" si="8"/>
        <v>0</v>
      </c>
      <c r="AR58" s="501">
        <f t="shared" si="70"/>
        <v>572063</v>
      </c>
      <c r="AS58" s="492">
        <f t="shared" si="71"/>
        <v>421254</v>
      </c>
      <c r="AT58" s="492">
        <f t="shared" si="72"/>
        <v>0</v>
      </c>
      <c r="AU58" s="492">
        <f t="shared" si="73"/>
        <v>142384</v>
      </c>
      <c r="AV58" s="492">
        <f t="shared" si="73"/>
        <v>8425</v>
      </c>
      <c r="AW58" s="492">
        <f t="shared" si="74"/>
        <v>0</v>
      </c>
      <c r="AX58" s="493">
        <f t="shared" si="75"/>
        <v>0.89280000000000004</v>
      </c>
      <c r="AY58" s="493">
        <f t="shared" si="76"/>
        <v>0.89280000000000004</v>
      </c>
      <c r="AZ58" s="495">
        <f t="shared" si="76"/>
        <v>0</v>
      </c>
    </row>
    <row r="59" spans="1:52" ht="12.95" customHeight="1" x14ac:dyDescent="0.25">
      <c r="A59" s="313">
        <v>10</v>
      </c>
      <c r="B59" s="354">
        <v>5403</v>
      </c>
      <c r="C59" s="355">
        <v>600098966</v>
      </c>
      <c r="D59" s="314">
        <v>75016931</v>
      </c>
      <c r="E59" s="356" t="s">
        <v>389</v>
      </c>
      <c r="F59" s="314">
        <v>3143</v>
      </c>
      <c r="G59" s="356" t="s">
        <v>630</v>
      </c>
      <c r="H59" s="317" t="s">
        <v>279</v>
      </c>
      <c r="I59" s="494">
        <v>19656</v>
      </c>
      <c r="J59" s="489">
        <v>13900</v>
      </c>
      <c r="K59" s="489">
        <v>0</v>
      </c>
      <c r="L59" s="489">
        <v>4698</v>
      </c>
      <c r="M59" s="489">
        <v>278</v>
      </c>
      <c r="N59" s="489">
        <v>780</v>
      </c>
      <c r="O59" s="490">
        <v>0.05</v>
      </c>
      <c r="P59" s="491">
        <v>0</v>
      </c>
      <c r="Q59" s="500">
        <v>0.05</v>
      </c>
      <c r="R59" s="502">
        <f t="shared" si="2"/>
        <v>0</v>
      </c>
      <c r="S59" s="492">
        <v>0</v>
      </c>
      <c r="T59" s="492">
        <v>0</v>
      </c>
      <c r="U59" s="492">
        <v>0</v>
      </c>
      <c r="V59" s="492">
        <f t="shared" si="3"/>
        <v>0</v>
      </c>
      <c r="W59" s="713">
        <v>0</v>
      </c>
      <c r="X59" s="492">
        <v>0</v>
      </c>
      <c r="Y59" s="492">
        <v>0</v>
      </c>
      <c r="Z59" s="492">
        <f t="shared" si="64"/>
        <v>0</v>
      </c>
      <c r="AA59" s="492">
        <f t="shared" si="65"/>
        <v>0</v>
      </c>
      <c r="AB59" s="74">
        <f t="shared" si="66"/>
        <v>0</v>
      </c>
      <c r="AC59" s="74">
        <f t="shared" si="67"/>
        <v>0</v>
      </c>
      <c r="AD59" s="492">
        <v>0</v>
      </c>
      <c r="AE59" s="492">
        <v>0</v>
      </c>
      <c r="AF59" s="492">
        <f t="shared" si="4"/>
        <v>0</v>
      </c>
      <c r="AG59" s="492">
        <f t="shared" si="5"/>
        <v>0</v>
      </c>
      <c r="AH59" s="493">
        <v>0</v>
      </c>
      <c r="AI59" s="493">
        <v>0</v>
      </c>
      <c r="AJ59" s="493">
        <v>0</v>
      </c>
      <c r="AK59" s="493">
        <v>0</v>
      </c>
      <c r="AL59" s="493">
        <v>0</v>
      </c>
      <c r="AM59" s="493">
        <v>0</v>
      </c>
      <c r="AN59" s="493">
        <v>0</v>
      </c>
      <c r="AO59" s="493">
        <f t="shared" si="68"/>
        <v>0</v>
      </c>
      <c r="AP59" s="493">
        <f t="shared" si="69"/>
        <v>0</v>
      </c>
      <c r="AQ59" s="495">
        <f t="shared" si="8"/>
        <v>0</v>
      </c>
      <c r="AR59" s="501">
        <f t="shared" si="70"/>
        <v>19656</v>
      </c>
      <c r="AS59" s="492">
        <f t="shared" si="71"/>
        <v>13900</v>
      </c>
      <c r="AT59" s="492">
        <f t="shared" si="72"/>
        <v>0</v>
      </c>
      <c r="AU59" s="492">
        <f t="shared" si="73"/>
        <v>4698</v>
      </c>
      <c r="AV59" s="492">
        <f t="shared" si="73"/>
        <v>278</v>
      </c>
      <c r="AW59" s="492">
        <f t="shared" si="74"/>
        <v>780</v>
      </c>
      <c r="AX59" s="493">
        <f t="shared" si="75"/>
        <v>0.05</v>
      </c>
      <c r="AY59" s="493">
        <f t="shared" si="76"/>
        <v>0</v>
      </c>
      <c r="AZ59" s="495">
        <f t="shared" si="76"/>
        <v>0.05</v>
      </c>
    </row>
    <row r="60" spans="1:52" ht="12.95" customHeight="1" x14ac:dyDescent="0.25">
      <c r="A60" s="357">
        <v>10</v>
      </c>
      <c r="B60" s="358">
        <v>5403</v>
      </c>
      <c r="C60" s="359">
        <v>600098966</v>
      </c>
      <c r="D60" s="358">
        <v>75016931</v>
      </c>
      <c r="E60" s="360" t="s">
        <v>390</v>
      </c>
      <c r="F60" s="324"/>
      <c r="G60" s="362"/>
      <c r="H60" s="325"/>
      <c r="I60" s="606">
        <v>6125714</v>
      </c>
      <c r="J60" s="602">
        <v>4410697</v>
      </c>
      <c r="K60" s="602">
        <v>45500</v>
      </c>
      <c r="L60" s="602">
        <v>1506195</v>
      </c>
      <c r="M60" s="602">
        <v>88214</v>
      </c>
      <c r="N60" s="602">
        <v>75108</v>
      </c>
      <c r="O60" s="603">
        <v>9.6464999999999996</v>
      </c>
      <c r="P60" s="603">
        <v>5.8212000000000002</v>
      </c>
      <c r="Q60" s="608">
        <v>3.8252999999999995</v>
      </c>
      <c r="R60" s="606">
        <f t="shared" ref="R60:AZ60" si="77">SUM(R54:R59)</f>
        <v>0</v>
      </c>
      <c r="S60" s="602">
        <f t="shared" si="77"/>
        <v>0</v>
      </c>
      <c r="T60" s="602">
        <f t="shared" si="77"/>
        <v>0</v>
      </c>
      <c r="U60" s="602">
        <f t="shared" si="77"/>
        <v>0</v>
      </c>
      <c r="V60" s="602">
        <f t="shared" si="77"/>
        <v>0</v>
      </c>
      <c r="W60" s="602">
        <f t="shared" si="77"/>
        <v>0</v>
      </c>
      <c r="X60" s="602">
        <f t="shared" si="77"/>
        <v>0</v>
      </c>
      <c r="Y60" s="602">
        <f t="shared" si="77"/>
        <v>0</v>
      </c>
      <c r="Z60" s="602">
        <f t="shared" si="77"/>
        <v>0</v>
      </c>
      <c r="AA60" s="602">
        <f t="shared" si="77"/>
        <v>0</v>
      </c>
      <c r="AB60" s="602">
        <f t="shared" si="77"/>
        <v>0</v>
      </c>
      <c r="AC60" s="602">
        <f t="shared" si="77"/>
        <v>0</v>
      </c>
      <c r="AD60" s="602">
        <f t="shared" si="77"/>
        <v>0</v>
      </c>
      <c r="AE60" s="602">
        <f t="shared" si="77"/>
        <v>0</v>
      </c>
      <c r="AF60" s="602">
        <f t="shared" si="77"/>
        <v>0</v>
      </c>
      <c r="AG60" s="602">
        <f t="shared" si="77"/>
        <v>0</v>
      </c>
      <c r="AH60" s="603">
        <f t="shared" si="77"/>
        <v>0</v>
      </c>
      <c r="AI60" s="603">
        <f t="shared" si="77"/>
        <v>0</v>
      </c>
      <c r="AJ60" s="603">
        <f t="shared" si="77"/>
        <v>0</v>
      </c>
      <c r="AK60" s="603">
        <f t="shared" si="77"/>
        <v>0</v>
      </c>
      <c r="AL60" s="603">
        <f t="shared" si="77"/>
        <v>0</v>
      </c>
      <c r="AM60" s="603">
        <f t="shared" si="77"/>
        <v>0</v>
      </c>
      <c r="AN60" s="603">
        <f t="shared" si="77"/>
        <v>0</v>
      </c>
      <c r="AO60" s="603">
        <f t="shared" si="77"/>
        <v>0</v>
      </c>
      <c r="AP60" s="603">
        <f t="shared" si="77"/>
        <v>0</v>
      </c>
      <c r="AQ60" s="361">
        <f t="shared" si="77"/>
        <v>0</v>
      </c>
      <c r="AR60" s="610">
        <f t="shared" si="77"/>
        <v>6125714</v>
      </c>
      <c r="AS60" s="602">
        <f t="shared" si="77"/>
        <v>4410697</v>
      </c>
      <c r="AT60" s="602">
        <f t="shared" si="77"/>
        <v>45500</v>
      </c>
      <c r="AU60" s="602">
        <f t="shared" si="77"/>
        <v>1506195</v>
      </c>
      <c r="AV60" s="602">
        <f t="shared" si="77"/>
        <v>88214</v>
      </c>
      <c r="AW60" s="602">
        <f t="shared" si="77"/>
        <v>75108</v>
      </c>
      <c r="AX60" s="603">
        <f t="shared" si="77"/>
        <v>9.6464999999999996</v>
      </c>
      <c r="AY60" s="603">
        <f t="shared" si="77"/>
        <v>5.8212000000000002</v>
      </c>
      <c r="AZ60" s="361">
        <f t="shared" si="77"/>
        <v>3.8252999999999995</v>
      </c>
    </row>
    <row r="61" spans="1:52" ht="12.95" customHeight="1" x14ac:dyDescent="0.25">
      <c r="A61" s="313">
        <v>11</v>
      </c>
      <c r="B61" s="354">
        <v>5404</v>
      </c>
      <c r="C61" s="355">
        <v>600098974</v>
      </c>
      <c r="D61" s="314">
        <v>70979812</v>
      </c>
      <c r="E61" s="356" t="s">
        <v>391</v>
      </c>
      <c r="F61" s="314">
        <v>3111</v>
      </c>
      <c r="G61" s="356" t="s">
        <v>326</v>
      </c>
      <c r="H61" s="317" t="s">
        <v>278</v>
      </c>
      <c r="I61" s="494">
        <v>2014279</v>
      </c>
      <c r="J61" s="489">
        <v>1471474</v>
      </c>
      <c r="K61" s="489">
        <v>3900</v>
      </c>
      <c r="L61" s="489">
        <v>498676</v>
      </c>
      <c r="M61" s="489">
        <v>29429</v>
      </c>
      <c r="N61" s="489">
        <v>10800</v>
      </c>
      <c r="O61" s="490">
        <v>2.7974000000000001</v>
      </c>
      <c r="P61" s="491">
        <v>2.3065000000000002</v>
      </c>
      <c r="Q61" s="500">
        <v>0.4909</v>
      </c>
      <c r="R61" s="502">
        <f t="shared" si="2"/>
        <v>0</v>
      </c>
      <c r="S61" s="492">
        <v>0</v>
      </c>
      <c r="T61" s="492">
        <v>0</v>
      </c>
      <c r="U61" s="492">
        <v>0</v>
      </c>
      <c r="V61" s="492">
        <f t="shared" si="3"/>
        <v>0</v>
      </c>
      <c r="W61" s="713">
        <v>0</v>
      </c>
      <c r="X61" s="492">
        <v>0</v>
      </c>
      <c r="Y61" s="492">
        <v>0</v>
      </c>
      <c r="Z61" s="492">
        <f t="shared" ref="Z61:Z66" si="78">SUM(W61:Y61)</f>
        <v>0</v>
      </c>
      <c r="AA61" s="492">
        <f t="shared" ref="AA61:AA66" si="79">V61+Z61</f>
        <v>0</v>
      </c>
      <c r="AB61" s="74">
        <f t="shared" ref="AB61:AB66" si="80">ROUND((V61+W61+X61)*33.8%,0)</f>
        <v>0</v>
      </c>
      <c r="AC61" s="74">
        <f t="shared" ref="AC61:AC66" si="81">ROUND(V61*2%,0)</f>
        <v>0</v>
      </c>
      <c r="AD61" s="492">
        <v>0</v>
      </c>
      <c r="AE61" s="492">
        <v>0</v>
      </c>
      <c r="AF61" s="492">
        <f t="shared" si="4"/>
        <v>0</v>
      </c>
      <c r="AG61" s="492">
        <f t="shared" si="5"/>
        <v>0</v>
      </c>
      <c r="AH61" s="493">
        <v>0</v>
      </c>
      <c r="AI61" s="493">
        <v>0</v>
      </c>
      <c r="AJ61" s="493">
        <v>0</v>
      </c>
      <c r="AK61" s="493">
        <v>0</v>
      </c>
      <c r="AL61" s="493">
        <v>0</v>
      </c>
      <c r="AM61" s="493">
        <v>0</v>
      </c>
      <c r="AN61" s="493">
        <v>0</v>
      </c>
      <c r="AO61" s="493">
        <f t="shared" ref="AO61:AO66" si="82">AH61+AJ61+AK61+AM61</f>
        <v>0</v>
      </c>
      <c r="AP61" s="493">
        <f t="shared" ref="AP61:AP66" si="83">AI61+AN61+AL61</f>
        <v>0</v>
      </c>
      <c r="AQ61" s="495">
        <f t="shared" si="8"/>
        <v>0</v>
      </c>
      <c r="AR61" s="501">
        <f t="shared" ref="AR61:AR66" si="84">I61+AG61</f>
        <v>2014279</v>
      </c>
      <c r="AS61" s="492">
        <f t="shared" ref="AS61:AS66" si="85">J61+V61</f>
        <v>1471474</v>
      </c>
      <c r="AT61" s="492">
        <f t="shared" ref="AT61:AT66" si="86">K61+Z61</f>
        <v>3900</v>
      </c>
      <c r="AU61" s="492">
        <f t="shared" ref="AU61:AV66" si="87">L61+AB61</f>
        <v>498676</v>
      </c>
      <c r="AV61" s="492">
        <f t="shared" si="87"/>
        <v>29429</v>
      </c>
      <c r="AW61" s="492">
        <f t="shared" ref="AW61:AW66" si="88">N61+AF61</f>
        <v>10800</v>
      </c>
      <c r="AX61" s="493">
        <f t="shared" ref="AX61:AX66" si="89">O61+AQ61</f>
        <v>2.7974000000000001</v>
      </c>
      <c r="AY61" s="493">
        <f t="shared" ref="AY61:AZ66" si="90">P61+AO61</f>
        <v>2.3065000000000002</v>
      </c>
      <c r="AZ61" s="495">
        <f t="shared" si="90"/>
        <v>0.4909</v>
      </c>
    </row>
    <row r="62" spans="1:52" ht="12.95" customHeight="1" x14ac:dyDescent="0.25">
      <c r="A62" s="313">
        <v>11</v>
      </c>
      <c r="B62" s="354">
        <v>5404</v>
      </c>
      <c r="C62" s="355">
        <v>600098974</v>
      </c>
      <c r="D62" s="314">
        <v>70979812</v>
      </c>
      <c r="E62" s="356" t="s">
        <v>391</v>
      </c>
      <c r="F62" s="314">
        <v>3117</v>
      </c>
      <c r="G62" s="356" t="s">
        <v>315</v>
      </c>
      <c r="H62" s="317" t="s">
        <v>278</v>
      </c>
      <c r="I62" s="494">
        <v>2698538</v>
      </c>
      <c r="J62" s="489">
        <v>1953142</v>
      </c>
      <c r="K62" s="489">
        <v>0</v>
      </c>
      <c r="L62" s="489">
        <v>660163</v>
      </c>
      <c r="M62" s="489">
        <v>39063</v>
      </c>
      <c r="N62" s="489">
        <v>46170</v>
      </c>
      <c r="O62" s="490">
        <v>3.9723999999999999</v>
      </c>
      <c r="P62" s="491">
        <v>2.5</v>
      </c>
      <c r="Q62" s="500">
        <v>1.4723999999999999</v>
      </c>
      <c r="R62" s="502">
        <f t="shared" si="2"/>
        <v>0</v>
      </c>
      <c r="S62" s="492">
        <v>0</v>
      </c>
      <c r="T62" s="492">
        <v>0</v>
      </c>
      <c r="U62" s="492">
        <v>0</v>
      </c>
      <c r="V62" s="492">
        <f t="shared" si="3"/>
        <v>0</v>
      </c>
      <c r="W62" s="713">
        <v>0</v>
      </c>
      <c r="X62" s="492">
        <v>0</v>
      </c>
      <c r="Y62" s="492">
        <v>0</v>
      </c>
      <c r="Z62" s="492">
        <f t="shared" si="78"/>
        <v>0</v>
      </c>
      <c r="AA62" s="492">
        <f t="shared" si="79"/>
        <v>0</v>
      </c>
      <c r="AB62" s="74">
        <f t="shared" si="80"/>
        <v>0</v>
      </c>
      <c r="AC62" s="74">
        <f t="shared" si="81"/>
        <v>0</v>
      </c>
      <c r="AD62" s="492">
        <v>0</v>
      </c>
      <c r="AE62" s="492">
        <v>0</v>
      </c>
      <c r="AF62" s="492">
        <f t="shared" si="4"/>
        <v>0</v>
      </c>
      <c r="AG62" s="492">
        <f t="shared" si="5"/>
        <v>0</v>
      </c>
      <c r="AH62" s="493">
        <v>0</v>
      </c>
      <c r="AI62" s="493">
        <v>0</v>
      </c>
      <c r="AJ62" s="493">
        <v>0</v>
      </c>
      <c r="AK62" s="493">
        <v>0</v>
      </c>
      <c r="AL62" s="493">
        <v>0</v>
      </c>
      <c r="AM62" s="493">
        <v>0</v>
      </c>
      <c r="AN62" s="493">
        <v>0</v>
      </c>
      <c r="AO62" s="493">
        <f t="shared" si="82"/>
        <v>0</v>
      </c>
      <c r="AP62" s="493">
        <f t="shared" si="83"/>
        <v>0</v>
      </c>
      <c r="AQ62" s="495">
        <f t="shared" si="8"/>
        <v>0</v>
      </c>
      <c r="AR62" s="501">
        <f t="shared" si="84"/>
        <v>2698538</v>
      </c>
      <c r="AS62" s="492">
        <f t="shared" si="85"/>
        <v>1953142</v>
      </c>
      <c r="AT62" s="492">
        <f t="shared" si="86"/>
        <v>0</v>
      </c>
      <c r="AU62" s="492">
        <f t="shared" si="87"/>
        <v>660163</v>
      </c>
      <c r="AV62" s="492">
        <f t="shared" si="87"/>
        <v>39063</v>
      </c>
      <c r="AW62" s="492">
        <f t="shared" si="88"/>
        <v>46170</v>
      </c>
      <c r="AX62" s="493">
        <f t="shared" si="89"/>
        <v>3.9723999999999999</v>
      </c>
      <c r="AY62" s="493">
        <f t="shared" si="90"/>
        <v>2.5</v>
      </c>
      <c r="AZ62" s="495">
        <f t="shared" si="90"/>
        <v>1.4723999999999999</v>
      </c>
    </row>
    <row r="63" spans="1:52" ht="12.95" customHeight="1" x14ac:dyDescent="0.25">
      <c r="A63" s="313">
        <v>11</v>
      </c>
      <c r="B63" s="354">
        <v>5404</v>
      </c>
      <c r="C63" s="355">
        <v>600098974</v>
      </c>
      <c r="D63" s="314">
        <v>70979812</v>
      </c>
      <c r="E63" s="356" t="s">
        <v>391</v>
      </c>
      <c r="F63" s="314">
        <v>3117</v>
      </c>
      <c r="G63" s="356" t="s">
        <v>320</v>
      </c>
      <c r="H63" s="317" t="s">
        <v>279</v>
      </c>
      <c r="I63" s="494">
        <v>483548</v>
      </c>
      <c r="J63" s="489">
        <v>356074</v>
      </c>
      <c r="K63" s="489">
        <v>0</v>
      </c>
      <c r="L63" s="489">
        <v>120353</v>
      </c>
      <c r="M63" s="489">
        <v>7121</v>
      </c>
      <c r="N63" s="489">
        <v>0</v>
      </c>
      <c r="O63" s="490">
        <v>1.03</v>
      </c>
      <c r="P63" s="491">
        <v>1.03</v>
      </c>
      <c r="Q63" s="500">
        <v>0</v>
      </c>
      <c r="R63" s="502">
        <f t="shared" si="2"/>
        <v>0</v>
      </c>
      <c r="S63" s="492">
        <v>0</v>
      </c>
      <c r="T63" s="492">
        <v>0</v>
      </c>
      <c r="U63" s="492">
        <v>0</v>
      </c>
      <c r="V63" s="492">
        <f t="shared" si="3"/>
        <v>0</v>
      </c>
      <c r="W63" s="713">
        <v>0</v>
      </c>
      <c r="X63" s="492">
        <v>0</v>
      </c>
      <c r="Y63" s="492">
        <v>0</v>
      </c>
      <c r="Z63" s="492">
        <f t="shared" si="78"/>
        <v>0</v>
      </c>
      <c r="AA63" s="492">
        <f t="shared" si="79"/>
        <v>0</v>
      </c>
      <c r="AB63" s="74">
        <f t="shared" si="80"/>
        <v>0</v>
      </c>
      <c r="AC63" s="74">
        <f t="shared" si="81"/>
        <v>0</v>
      </c>
      <c r="AD63" s="492">
        <v>0</v>
      </c>
      <c r="AE63" s="492">
        <v>0</v>
      </c>
      <c r="AF63" s="492">
        <f t="shared" si="4"/>
        <v>0</v>
      </c>
      <c r="AG63" s="492">
        <f t="shared" si="5"/>
        <v>0</v>
      </c>
      <c r="AH63" s="493">
        <v>0</v>
      </c>
      <c r="AI63" s="493">
        <v>0</v>
      </c>
      <c r="AJ63" s="493">
        <v>0</v>
      </c>
      <c r="AK63" s="493">
        <v>0</v>
      </c>
      <c r="AL63" s="493">
        <v>0</v>
      </c>
      <c r="AM63" s="493">
        <v>0</v>
      </c>
      <c r="AN63" s="493">
        <v>0</v>
      </c>
      <c r="AO63" s="493">
        <f t="shared" si="82"/>
        <v>0</v>
      </c>
      <c r="AP63" s="493">
        <f t="shared" si="83"/>
        <v>0</v>
      </c>
      <c r="AQ63" s="495">
        <f t="shared" si="8"/>
        <v>0</v>
      </c>
      <c r="AR63" s="501">
        <f t="shared" si="84"/>
        <v>483548</v>
      </c>
      <c r="AS63" s="492">
        <f t="shared" si="85"/>
        <v>356074</v>
      </c>
      <c r="AT63" s="492">
        <f t="shared" si="86"/>
        <v>0</v>
      </c>
      <c r="AU63" s="492">
        <f t="shared" si="87"/>
        <v>120353</v>
      </c>
      <c r="AV63" s="492">
        <f t="shared" si="87"/>
        <v>7121</v>
      </c>
      <c r="AW63" s="492">
        <f t="shared" si="88"/>
        <v>0</v>
      </c>
      <c r="AX63" s="493">
        <f t="shared" si="89"/>
        <v>1.03</v>
      </c>
      <c r="AY63" s="493">
        <f t="shared" si="90"/>
        <v>1.03</v>
      </c>
      <c r="AZ63" s="495">
        <f t="shared" si="90"/>
        <v>0</v>
      </c>
    </row>
    <row r="64" spans="1:52" ht="12.95" customHeight="1" x14ac:dyDescent="0.25">
      <c r="A64" s="313">
        <v>11</v>
      </c>
      <c r="B64" s="354">
        <v>5404</v>
      </c>
      <c r="C64" s="355">
        <v>600098974</v>
      </c>
      <c r="D64" s="314">
        <v>70979812</v>
      </c>
      <c r="E64" s="356" t="s">
        <v>391</v>
      </c>
      <c r="F64" s="314">
        <v>3141</v>
      </c>
      <c r="G64" s="356" t="s">
        <v>316</v>
      </c>
      <c r="H64" s="317" t="s">
        <v>279</v>
      </c>
      <c r="I64" s="494">
        <v>707270</v>
      </c>
      <c r="J64" s="489">
        <v>509759</v>
      </c>
      <c r="K64" s="489">
        <v>9100</v>
      </c>
      <c r="L64" s="489">
        <v>175374</v>
      </c>
      <c r="M64" s="489">
        <v>10195</v>
      </c>
      <c r="N64" s="489">
        <v>2842</v>
      </c>
      <c r="O64" s="490">
        <v>1.63</v>
      </c>
      <c r="P64" s="491">
        <v>0</v>
      </c>
      <c r="Q64" s="500">
        <v>1.63</v>
      </c>
      <c r="R64" s="502">
        <f t="shared" si="2"/>
        <v>0</v>
      </c>
      <c r="S64" s="492">
        <v>0</v>
      </c>
      <c r="T64" s="492">
        <v>0</v>
      </c>
      <c r="U64" s="492">
        <v>0</v>
      </c>
      <c r="V64" s="492">
        <f t="shared" si="3"/>
        <v>0</v>
      </c>
      <c r="W64" s="713">
        <v>0</v>
      </c>
      <c r="X64" s="492">
        <v>0</v>
      </c>
      <c r="Y64" s="492">
        <v>0</v>
      </c>
      <c r="Z64" s="492">
        <f t="shared" si="78"/>
        <v>0</v>
      </c>
      <c r="AA64" s="492">
        <f t="shared" si="79"/>
        <v>0</v>
      </c>
      <c r="AB64" s="74">
        <f t="shared" si="80"/>
        <v>0</v>
      </c>
      <c r="AC64" s="74">
        <f t="shared" si="81"/>
        <v>0</v>
      </c>
      <c r="AD64" s="492">
        <v>0</v>
      </c>
      <c r="AE64" s="492">
        <v>0</v>
      </c>
      <c r="AF64" s="492">
        <f t="shared" si="4"/>
        <v>0</v>
      </c>
      <c r="AG64" s="492">
        <f t="shared" si="5"/>
        <v>0</v>
      </c>
      <c r="AH64" s="493">
        <v>0</v>
      </c>
      <c r="AI64" s="493">
        <v>0</v>
      </c>
      <c r="AJ64" s="493">
        <v>0</v>
      </c>
      <c r="AK64" s="493">
        <v>0</v>
      </c>
      <c r="AL64" s="493">
        <v>0</v>
      </c>
      <c r="AM64" s="493">
        <v>0</v>
      </c>
      <c r="AN64" s="493">
        <v>0</v>
      </c>
      <c r="AO64" s="493">
        <f t="shared" si="82"/>
        <v>0</v>
      </c>
      <c r="AP64" s="493">
        <f t="shared" si="83"/>
        <v>0</v>
      </c>
      <c r="AQ64" s="495">
        <f t="shared" si="8"/>
        <v>0</v>
      </c>
      <c r="AR64" s="501">
        <f t="shared" si="84"/>
        <v>707270</v>
      </c>
      <c r="AS64" s="492">
        <f t="shared" si="85"/>
        <v>509759</v>
      </c>
      <c r="AT64" s="492">
        <f t="shared" si="86"/>
        <v>9100</v>
      </c>
      <c r="AU64" s="492">
        <f t="shared" si="87"/>
        <v>175374</v>
      </c>
      <c r="AV64" s="492">
        <f t="shared" si="87"/>
        <v>10195</v>
      </c>
      <c r="AW64" s="492">
        <f t="shared" si="88"/>
        <v>2842</v>
      </c>
      <c r="AX64" s="493">
        <f t="shared" si="89"/>
        <v>1.63</v>
      </c>
      <c r="AY64" s="493">
        <f t="shared" si="90"/>
        <v>0</v>
      </c>
      <c r="AZ64" s="495">
        <f t="shared" si="90"/>
        <v>1.63</v>
      </c>
    </row>
    <row r="65" spans="1:52" ht="12.95" customHeight="1" x14ac:dyDescent="0.25">
      <c r="A65" s="313">
        <v>11</v>
      </c>
      <c r="B65" s="354">
        <v>5404</v>
      </c>
      <c r="C65" s="355">
        <v>600098974</v>
      </c>
      <c r="D65" s="314">
        <v>70979812</v>
      </c>
      <c r="E65" s="356" t="s">
        <v>391</v>
      </c>
      <c r="F65" s="314">
        <v>3143</v>
      </c>
      <c r="G65" s="356" t="s">
        <v>629</v>
      </c>
      <c r="H65" s="317" t="s">
        <v>278</v>
      </c>
      <c r="I65" s="494">
        <v>458366</v>
      </c>
      <c r="J65" s="489">
        <v>337530</v>
      </c>
      <c r="K65" s="489">
        <v>0</v>
      </c>
      <c r="L65" s="489">
        <v>114085</v>
      </c>
      <c r="M65" s="489">
        <v>6751</v>
      </c>
      <c r="N65" s="489">
        <v>0</v>
      </c>
      <c r="O65" s="490">
        <v>0.70520000000000005</v>
      </c>
      <c r="P65" s="491">
        <v>0.70520000000000005</v>
      </c>
      <c r="Q65" s="500">
        <v>0</v>
      </c>
      <c r="R65" s="502">
        <f t="shared" si="2"/>
        <v>0</v>
      </c>
      <c r="S65" s="492">
        <v>0</v>
      </c>
      <c r="T65" s="492">
        <v>0</v>
      </c>
      <c r="U65" s="492">
        <v>0</v>
      </c>
      <c r="V65" s="492">
        <f t="shared" si="3"/>
        <v>0</v>
      </c>
      <c r="W65" s="713">
        <v>0</v>
      </c>
      <c r="X65" s="492">
        <v>0</v>
      </c>
      <c r="Y65" s="492">
        <v>0</v>
      </c>
      <c r="Z65" s="492">
        <f t="shared" si="78"/>
        <v>0</v>
      </c>
      <c r="AA65" s="492">
        <f t="shared" si="79"/>
        <v>0</v>
      </c>
      <c r="AB65" s="74">
        <f t="shared" si="80"/>
        <v>0</v>
      </c>
      <c r="AC65" s="74">
        <f t="shared" si="81"/>
        <v>0</v>
      </c>
      <c r="AD65" s="492">
        <v>0</v>
      </c>
      <c r="AE65" s="492">
        <v>0</v>
      </c>
      <c r="AF65" s="492">
        <f t="shared" si="4"/>
        <v>0</v>
      </c>
      <c r="AG65" s="492">
        <f t="shared" si="5"/>
        <v>0</v>
      </c>
      <c r="AH65" s="493">
        <v>0</v>
      </c>
      <c r="AI65" s="493">
        <v>0</v>
      </c>
      <c r="AJ65" s="493">
        <v>0</v>
      </c>
      <c r="AK65" s="493">
        <v>0</v>
      </c>
      <c r="AL65" s="493">
        <v>0</v>
      </c>
      <c r="AM65" s="493">
        <v>0</v>
      </c>
      <c r="AN65" s="493">
        <v>0</v>
      </c>
      <c r="AO65" s="493">
        <f t="shared" si="82"/>
        <v>0</v>
      </c>
      <c r="AP65" s="493">
        <f t="shared" si="83"/>
        <v>0</v>
      </c>
      <c r="AQ65" s="495">
        <f t="shared" si="8"/>
        <v>0</v>
      </c>
      <c r="AR65" s="501">
        <f t="shared" si="84"/>
        <v>458366</v>
      </c>
      <c r="AS65" s="492">
        <f t="shared" si="85"/>
        <v>337530</v>
      </c>
      <c r="AT65" s="492">
        <f t="shared" si="86"/>
        <v>0</v>
      </c>
      <c r="AU65" s="492">
        <f t="shared" si="87"/>
        <v>114085</v>
      </c>
      <c r="AV65" s="492">
        <f t="shared" si="87"/>
        <v>6751</v>
      </c>
      <c r="AW65" s="492">
        <f t="shared" si="88"/>
        <v>0</v>
      </c>
      <c r="AX65" s="493">
        <f t="shared" si="89"/>
        <v>0.70520000000000005</v>
      </c>
      <c r="AY65" s="493">
        <f t="shared" si="90"/>
        <v>0.70520000000000005</v>
      </c>
      <c r="AZ65" s="495">
        <f t="shared" si="90"/>
        <v>0</v>
      </c>
    </row>
    <row r="66" spans="1:52" ht="12.95" customHeight="1" x14ac:dyDescent="0.25">
      <c r="A66" s="313">
        <v>11</v>
      </c>
      <c r="B66" s="354">
        <v>5404</v>
      </c>
      <c r="C66" s="355">
        <v>600098974</v>
      </c>
      <c r="D66" s="314">
        <v>70979812</v>
      </c>
      <c r="E66" s="356" t="s">
        <v>391</v>
      </c>
      <c r="F66" s="314">
        <v>3143</v>
      </c>
      <c r="G66" s="356" t="s">
        <v>630</v>
      </c>
      <c r="H66" s="317" t="s">
        <v>279</v>
      </c>
      <c r="I66" s="494">
        <v>11339</v>
      </c>
      <c r="J66" s="489">
        <v>8019</v>
      </c>
      <c r="K66" s="489">
        <v>0</v>
      </c>
      <c r="L66" s="489">
        <v>2710</v>
      </c>
      <c r="M66" s="489">
        <v>160</v>
      </c>
      <c r="N66" s="489">
        <v>450</v>
      </c>
      <c r="O66" s="490">
        <v>0.03</v>
      </c>
      <c r="P66" s="491">
        <v>0</v>
      </c>
      <c r="Q66" s="500">
        <v>0.03</v>
      </c>
      <c r="R66" s="502">
        <f t="shared" si="2"/>
        <v>0</v>
      </c>
      <c r="S66" s="492">
        <v>0</v>
      </c>
      <c r="T66" s="492">
        <v>0</v>
      </c>
      <c r="U66" s="492">
        <v>0</v>
      </c>
      <c r="V66" s="492">
        <f t="shared" si="3"/>
        <v>0</v>
      </c>
      <c r="W66" s="713">
        <v>0</v>
      </c>
      <c r="X66" s="492">
        <v>0</v>
      </c>
      <c r="Y66" s="492">
        <v>0</v>
      </c>
      <c r="Z66" s="492">
        <f t="shared" si="78"/>
        <v>0</v>
      </c>
      <c r="AA66" s="492">
        <f t="shared" si="79"/>
        <v>0</v>
      </c>
      <c r="AB66" s="74">
        <f t="shared" si="80"/>
        <v>0</v>
      </c>
      <c r="AC66" s="74">
        <f t="shared" si="81"/>
        <v>0</v>
      </c>
      <c r="AD66" s="492">
        <v>0</v>
      </c>
      <c r="AE66" s="492">
        <v>0</v>
      </c>
      <c r="AF66" s="492">
        <f t="shared" si="4"/>
        <v>0</v>
      </c>
      <c r="AG66" s="492">
        <f t="shared" si="5"/>
        <v>0</v>
      </c>
      <c r="AH66" s="493">
        <v>0</v>
      </c>
      <c r="AI66" s="493">
        <v>0</v>
      </c>
      <c r="AJ66" s="493">
        <v>0</v>
      </c>
      <c r="AK66" s="493">
        <v>0</v>
      </c>
      <c r="AL66" s="493">
        <v>0</v>
      </c>
      <c r="AM66" s="493">
        <v>0</v>
      </c>
      <c r="AN66" s="493">
        <v>0</v>
      </c>
      <c r="AO66" s="493">
        <f t="shared" si="82"/>
        <v>0</v>
      </c>
      <c r="AP66" s="493">
        <f t="shared" si="83"/>
        <v>0</v>
      </c>
      <c r="AQ66" s="495">
        <f t="shared" si="8"/>
        <v>0</v>
      </c>
      <c r="AR66" s="501">
        <f t="shared" si="84"/>
        <v>11339</v>
      </c>
      <c r="AS66" s="492">
        <f t="shared" si="85"/>
        <v>8019</v>
      </c>
      <c r="AT66" s="492">
        <f t="shared" si="86"/>
        <v>0</v>
      </c>
      <c r="AU66" s="492">
        <f t="shared" si="87"/>
        <v>2710</v>
      </c>
      <c r="AV66" s="492">
        <f t="shared" si="87"/>
        <v>160</v>
      </c>
      <c r="AW66" s="492">
        <f t="shared" si="88"/>
        <v>450</v>
      </c>
      <c r="AX66" s="493">
        <f t="shared" si="89"/>
        <v>0.03</v>
      </c>
      <c r="AY66" s="493">
        <f t="shared" si="90"/>
        <v>0</v>
      </c>
      <c r="AZ66" s="495">
        <f t="shared" si="90"/>
        <v>0.03</v>
      </c>
    </row>
    <row r="67" spans="1:52" ht="12.95" customHeight="1" x14ac:dyDescent="0.25">
      <c r="A67" s="357">
        <v>11</v>
      </c>
      <c r="B67" s="358">
        <v>5404</v>
      </c>
      <c r="C67" s="359">
        <v>600098974</v>
      </c>
      <c r="D67" s="358">
        <v>70979812</v>
      </c>
      <c r="E67" s="360" t="s">
        <v>392</v>
      </c>
      <c r="F67" s="324"/>
      <c r="G67" s="362"/>
      <c r="H67" s="325"/>
      <c r="I67" s="606">
        <v>6373340</v>
      </c>
      <c r="J67" s="602">
        <v>4635998</v>
      </c>
      <c r="K67" s="602">
        <v>13000</v>
      </c>
      <c r="L67" s="602">
        <v>1571361</v>
      </c>
      <c r="M67" s="602">
        <v>92719</v>
      </c>
      <c r="N67" s="602">
        <v>60262</v>
      </c>
      <c r="O67" s="603">
        <v>10.164999999999999</v>
      </c>
      <c r="P67" s="603">
        <v>6.5417000000000005</v>
      </c>
      <c r="Q67" s="608">
        <v>3.6232999999999995</v>
      </c>
      <c r="R67" s="606">
        <f t="shared" ref="R67:AZ67" si="91">SUM(R61:R66)</f>
        <v>0</v>
      </c>
      <c r="S67" s="602">
        <f t="shared" si="91"/>
        <v>0</v>
      </c>
      <c r="T67" s="602">
        <f t="shared" si="91"/>
        <v>0</v>
      </c>
      <c r="U67" s="602">
        <f t="shared" si="91"/>
        <v>0</v>
      </c>
      <c r="V67" s="602">
        <f t="shared" si="91"/>
        <v>0</v>
      </c>
      <c r="W67" s="602">
        <f t="shared" si="91"/>
        <v>0</v>
      </c>
      <c r="X67" s="602">
        <f t="shared" si="91"/>
        <v>0</v>
      </c>
      <c r="Y67" s="602">
        <f t="shared" si="91"/>
        <v>0</v>
      </c>
      <c r="Z67" s="602">
        <f t="shared" si="91"/>
        <v>0</v>
      </c>
      <c r="AA67" s="602">
        <f t="shared" si="91"/>
        <v>0</v>
      </c>
      <c r="AB67" s="602">
        <f t="shared" si="91"/>
        <v>0</v>
      </c>
      <c r="AC67" s="602">
        <f t="shared" si="91"/>
        <v>0</v>
      </c>
      <c r="AD67" s="602">
        <f t="shared" si="91"/>
        <v>0</v>
      </c>
      <c r="AE67" s="602">
        <f t="shared" si="91"/>
        <v>0</v>
      </c>
      <c r="AF67" s="602">
        <f t="shared" si="91"/>
        <v>0</v>
      </c>
      <c r="AG67" s="602">
        <f t="shared" si="91"/>
        <v>0</v>
      </c>
      <c r="AH67" s="603">
        <f t="shared" si="91"/>
        <v>0</v>
      </c>
      <c r="AI67" s="603">
        <f t="shared" si="91"/>
        <v>0</v>
      </c>
      <c r="AJ67" s="603">
        <f t="shared" si="91"/>
        <v>0</v>
      </c>
      <c r="AK67" s="603">
        <f t="shared" si="91"/>
        <v>0</v>
      </c>
      <c r="AL67" s="603">
        <f t="shared" si="91"/>
        <v>0</v>
      </c>
      <c r="AM67" s="603">
        <f t="shared" si="91"/>
        <v>0</v>
      </c>
      <c r="AN67" s="603">
        <f t="shared" si="91"/>
        <v>0</v>
      </c>
      <c r="AO67" s="603">
        <f t="shared" si="91"/>
        <v>0</v>
      </c>
      <c r="AP67" s="603">
        <f t="shared" si="91"/>
        <v>0</v>
      </c>
      <c r="AQ67" s="361">
        <f t="shared" si="91"/>
        <v>0</v>
      </c>
      <c r="AR67" s="610">
        <f t="shared" si="91"/>
        <v>6373340</v>
      </c>
      <c r="AS67" s="602">
        <f t="shared" si="91"/>
        <v>4635998</v>
      </c>
      <c r="AT67" s="602">
        <f t="shared" si="91"/>
        <v>13000</v>
      </c>
      <c r="AU67" s="602">
        <f t="shared" si="91"/>
        <v>1571361</v>
      </c>
      <c r="AV67" s="602">
        <f t="shared" si="91"/>
        <v>92719</v>
      </c>
      <c r="AW67" s="602">
        <f t="shared" si="91"/>
        <v>60262</v>
      </c>
      <c r="AX67" s="603">
        <f t="shared" si="91"/>
        <v>10.164999999999999</v>
      </c>
      <c r="AY67" s="603">
        <f t="shared" si="91"/>
        <v>6.5417000000000005</v>
      </c>
      <c r="AZ67" s="361">
        <f t="shared" si="91"/>
        <v>3.6232999999999995</v>
      </c>
    </row>
    <row r="68" spans="1:52" ht="12.95" customHeight="1" x14ac:dyDescent="0.25">
      <c r="A68" s="313">
        <v>12</v>
      </c>
      <c r="B68" s="354">
        <v>5407</v>
      </c>
      <c r="C68" s="355">
        <v>600099148</v>
      </c>
      <c r="D68" s="314">
        <v>70939403</v>
      </c>
      <c r="E68" s="356" t="s">
        <v>393</v>
      </c>
      <c r="F68" s="314">
        <v>3111</v>
      </c>
      <c r="G68" s="356" t="s">
        <v>326</v>
      </c>
      <c r="H68" s="317" t="s">
        <v>278</v>
      </c>
      <c r="I68" s="494">
        <v>2417031</v>
      </c>
      <c r="J68" s="489">
        <v>1769242</v>
      </c>
      <c r="K68" s="489">
        <v>0</v>
      </c>
      <c r="L68" s="489">
        <v>598004</v>
      </c>
      <c r="M68" s="489">
        <v>35385</v>
      </c>
      <c r="N68" s="489">
        <v>14400</v>
      </c>
      <c r="O68" s="490">
        <v>3.9218000000000002</v>
      </c>
      <c r="P68" s="491">
        <v>3</v>
      </c>
      <c r="Q68" s="500">
        <v>0.92179999999999995</v>
      </c>
      <c r="R68" s="502">
        <f t="shared" si="2"/>
        <v>0</v>
      </c>
      <c r="S68" s="492">
        <v>0</v>
      </c>
      <c r="T68" s="492">
        <v>0</v>
      </c>
      <c r="U68" s="492">
        <v>0</v>
      </c>
      <c r="V68" s="492">
        <f t="shared" si="3"/>
        <v>0</v>
      </c>
      <c r="W68" s="713">
        <v>0</v>
      </c>
      <c r="X68" s="492">
        <v>0</v>
      </c>
      <c r="Y68" s="492">
        <v>0</v>
      </c>
      <c r="Z68" s="492">
        <f t="shared" ref="Z68:Z73" si="92">SUM(W68:Y68)</f>
        <v>0</v>
      </c>
      <c r="AA68" s="492">
        <f t="shared" ref="AA68:AA73" si="93">V68+Z68</f>
        <v>0</v>
      </c>
      <c r="AB68" s="74">
        <f t="shared" ref="AB68:AB73" si="94">ROUND((V68+W68+X68)*33.8%,0)</f>
        <v>0</v>
      </c>
      <c r="AC68" s="74">
        <f t="shared" ref="AC68:AC73" si="95">ROUND(V68*2%,0)</f>
        <v>0</v>
      </c>
      <c r="AD68" s="492">
        <v>0</v>
      </c>
      <c r="AE68" s="492">
        <v>0</v>
      </c>
      <c r="AF68" s="492">
        <f t="shared" si="4"/>
        <v>0</v>
      </c>
      <c r="AG68" s="492">
        <f t="shared" si="5"/>
        <v>0</v>
      </c>
      <c r="AH68" s="493">
        <v>0</v>
      </c>
      <c r="AI68" s="493">
        <v>0</v>
      </c>
      <c r="AJ68" s="493">
        <v>0</v>
      </c>
      <c r="AK68" s="493">
        <v>0</v>
      </c>
      <c r="AL68" s="493">
        <v>0</v>
      </c>
      <c r="AM68" s="493">
        <v>0</v>
      </c>
      <c r="AN68" s="493">
        <v>0</v>
      </c>
      <c r="AO68" s="493">
        <f t="shared" ref="AO68:AO73" si="96">AH68+AJ68+AK68+AM68</f>
        <v>0</v>
      </c>
      <c r="AP68" s="493">
        <f t="shared" ref="AP68:AP73" si="97">AI68+AN68+AL68</f>
        <v>0</v>
      </c>
      <c r="AQ68" s="495">
        <f t="shared" si="8"/>
        <v>0</v>
      </c>
      <c r="AR68" s="501">
        <f t="shared" ref="AR68:AR73" si="98">I68+AG68</f>
        <v>2417031</v>
      </c>
      <c r="AS68" s="492">
        <f t="shared" ref="AS68:AS73" si="99">J68+V68</f>
        <v>1769242</v>
      </c>
      <c r="AT68" s="492">
        <f t="shared" ref="AT68:AT73" si="100">K68+Z68</f>
        <v>0</v>
      </c>
      <c r="AU68" s="492">
        <f t="shared" ref="AU68:AV73" si="101">L68+AB68</f>
        <v>598004</v>
      </c>
      <c r="AV68" s="492">
        <f t="shared" si="101"/>
        <v>35385</v>
      </c>
      <c r="AW68" s="492">
        <f t="shared" ref="AW68:AW73" si="102">N68+AF68</f>
        <v>14400</v>
      </c>
      <c r="AX68" s="493">
        <f t="shared" ref="AX68:AX73" si="103">O68+AQ68</f>
        <v>3.9218000000000002</v>
      </c>
      <c r="AY68" s="493">
        <f t="shared" ref="AY68:AZ73" si="104">P68+AO68</f>
        <v>3</v>
      </c>
      <c r="AZ68" s="495">
        <f t="shared" si="104"/>
        <v>0.92179999999999995</v>
      </c>
    </row>
    <row r="69" spans="1:52" ht="12.95" customHeight="1" x14ac:dyDescent="0.25">
      <c r="A69" s="313">
        <v>12</v>
      </c>
      <c r="B69" s="354">
        <v>5407</v>
      </c>
      <c r="C69" s="355">
        <v>600099148</v>
      </c>
      <c r="D69" s="314">
        <v>70939403</v>
      </c>
      <c r="E69" s="356" t="s">
        <v>393</v>
      </c>
      <c r="F69" s="314">
        <v>3113</v>
      </c>
      <c r="G69" s="356" t="s">
        <v>330</v>
      </c>
      <c r="H69" s="317" t="s">
        <v>278</v>
      </c>
      <c r="I69" s="494">
        <v>9434646</v>
      </c>
      <c r="J69" s="489">
        <v>6832283</v>
      </c>
      <c r="K69" s="489">
        <v>6500</v>
      </c>
      <c r="L69" s="489">
        <v>2311508</v>
      </c>
      <c r="M69" s="489">
        <v>136645</v>
      </c>
      <c r="N69" s="489">
        <v>147710</v>
      </c>
      <c r="O69" s="490">
        <v>12.417800000000002</v>
      </c>
      <c r="P69" s="491">
        <v>9.1363000000000003</v>
      </c>
      <c r="Q69" s="500">
        <v>3.2814999999999999</v>
      </c>
      <c r="R69" s="502">
        <f t="shared" si="2"/>
        <v>0</v>
      </c>
      <c r="S69" s="492">
        <v>0</v>
      </c>
      <c r="T69" s="492">
        <v>0</v>
      </c>
      <c r="U69" s="492">
        <v>0</v>
      </c>
      <c r="V69" s="492">
        <f t="shared" si="3"/>
        <v>0</v>
      </c>
      <c r="W69" s="713">
        <v>0</v>
      </c>
      <c r="X69" s="492">
        <v>0</v>
      </c>
      <c r="Y69" s="492">
        <v>0</v>
      </c>
      <c r="Z69" s="492">
        <f t="shared" si="92"/>
        <v>0</v>
      </c>
      <c r="AA69" s="492">
        <f t="shared" si="93"/>
        <v>0</v>
      </c>
      <c r="AB69" s="74">
        <f t="shared" si="94"/>
        <v>0</v>
      </c>
      <c r="AC69" s="74">
        <f t="shared" si="95"/>
        <v>0</v>
      </c>
      <c r="AD69" s="492">
        <v>0</v>
      </c>
      <c r="AE69" s="492">
        <v>0</v>
      </c>
      <c r="AF69" s="492">
        <f t="shared" si="4"/>
        <v>0</v>
      </c>
      <c r="AG69" s="492">
        <f t="shared" si="5"/>
        <v>0</v>
      </c>
      <c r="AH69" s="493">
        <v>0</v>
      </c>
      <c r="AI69" s="493">
        <v>0</v>
      </c>
      <c r="AJ69" s="493">
        <v>0</v>
      </c>
      <c r="AK69" s="493">
        <v>0</v>
      </c>
      <c r="AL69" s="493">
        <v>0</v>
      </c>
      <c r="AM69" s="493">
        <v>0</v>
      </c>
      <c r="AN69" s="493">
        <v>0</v>
      </c>
      <c r="AO69" s="493">
        <f t="shared" si="96"/>
        <v>0</v>
      </c>
      <c r="AP69" s="493">
        <f t="shared" si="97"/>
        <v>0</v>
      </c>
      <c r="AQ69" s="495">
        <f t="shared" si="8"/>
        <v>0</v>
      </c>
      <c r="AR69" s="501">
        <f t="shared" si="98"/>
        <v>9434646</v>
      </c>
      <c r="AS69" s="492">
        <f t="shared" si="99"/>
        <v>6832283</v>
      </c>
      <c r="AT69" s="492">
        <f t="shared" si="100"/>
        <v>6500</v>
      </c>
      <c r="AU69" s="492">
        <f t="shared" si="101"/>
        <v>2311508</v>
      </c>
      <c r="AV69" s="492">
        <f t="shared" si="101"/>
        <v>136645</v>
      </c>
      <c r="AW69" s="492">
        <f t="shared" si="102"/>
        <v>147710</v>
      </c>
      <c r="AX69" s="493">
        <f t="shared" si="103"/>
        <v>12.417800000000002</v>
      </c>
      <c r="AY69" s="493">
        <f t="shared" si="104"/>
        <v>9.1363000000000003</v>
      </c>
      <c r="AZ69" s="495">
        <f t="shared" si="104"/>
        <v>3.2814999999999999</v>
      </c>
    </row>
    <row r="70" spans="1:52" ht="12.95" customHeight="1" x14ac:dyDescent="0.25">
      <c r="A70" s="313">
        <v>12</v>
      </c>
      <c r="B70" s="354">
        <v>5407</v>
      </c>
      <c r="C70" s="355">
        <v>600099148</v>
      </c>
      <c r="D70" s="314">
        <v>70939403</v>
      </c>
      <c r="E70" s="356" t="s">
        <v>393</v>
      </c>
      <c r="F70" s="314">
        <v>3113</v>
      </c>
      <c r="G70" s="356" t="s">
        <v>320</v>
      </c>
      <c r="H70" s="317" t="s">
        <v>279</v>
      </c>
      <c r="I70" s="494">
        <v>985437</v>
      </c>
      <c r="J70" s="489">
        <v>725653</v>
      </c>
      <c r="K70" s="489">
        <v>0</v>
      </c>
      <c r="L70" s="489">
        <v>245271</v>
      </c>
      <c r="M70" s="489">
        <v>14513</v>
      </c>
      <c r="N70" s="489">
        <v>0</v>
      </c>
      <c r="O70" s="490">
        <v>2.08</v>
      </c>
      <c r="P70" s="491">
        <v>2.08</v>
      </c>
      <c r="Q70" s="500">
        <v>0</v>
      </c>
      <c r="R70" s="502">
        <f t="shared" si="2"/>
        <v>0</v>
      </c>
      <c r="S70" s="492">
        <v>0</v>
      </c>
      <c r="T70" s="492">
        <v>0</v>
      </c>
      <c r="U70" s="492">
        <v>0</v>
      </c>
      <c r="V70" s="492">
        <f t="shared" si="3"/>
        <v>0</v>
      </c>
      <c r="W70" s="713">
        <v>0</v>
      </c>
      <c r="X70" s="492">
        <v>0</v>
      </c>
      <c r="Y70" s="492">
        <v>0</v>
      </c>
      <c r="Z70" s="492">
        <f t="shared" si="92"/>
        <v>0</v>
      </c>
      <c r="AA70" s="492">
        <f t="shared" si="93"/>
        <v>0</v>
      </c>
      <c r="AB70" s="74">
        <f t="shared" si="94"/>
        <v>0</v>
      </c>
      <c r="AC70" s="74">
        <f t="shared" si="95"/>
        <v>0</v>
      </c>
      <c r="AD70" s="492">
        <v>500</v>
      </c>
      <c r="AE70" s="492">
        <v>0</v>
      </c>
      <c r="AF70" s="492">
        <f t="shared" si="4"/>
        <v>500</v>
      </c>
      <c r="AG70" s="492">
        <f t="shared" si="5"/>
        <v>500</v>
      </c>
      <c r="AH70" s="493">
        <v>0</v>
      </c>
      <c r="AI70" s="493">
        <v>0</v>
      </c>
      <c r="AJ70" s="493">
        <v>0</v>
      </c>
      <c r="AK70" s="493">
        <v>0</v>
      </c>
      <c r="AL70" s="493">
        <v>0</v>
      </c>
      <c r="AM70" s="493">
        <v>0</v>
      </c>
      <c r="AN70" s="493">
        <v>0</v>
      </c>
      <c r="AO70" s="493">
        <f t="shared" si="96"/>
        <v>0</v>
      </c>
      <c r="AP70" s="493">
        <f t="shared" si="97"/>
        <v>0</v>
      </c>
      <c r="AQ70" s="495">
        <f t="shared" si="8"/>
        <v>0</v>
      </c>
      <c r="AR70" s="501">
        <f t="shared" si="98"/>
        <v>985937</v>
      </c>
      <c r="AS70" s="492">
        <f t="shared" si="99"/>
        <v>725653</v>
      </c>
      <c r="AT70" s="492">
        <f t="shared" si="100"/>
        <v>0</v>
      </c>
      <c r="AU70" s="492">
        <f t="shared" si="101"/>
        <v>245271</v>
      </c>
      <c r="AV70" s="492">
        <f t="shared" si="101"/>
        <v>14513</v>
      </c>
      <c r="AW70" s="492">
        <f t="shared" si="102"/>
        <v>500</v>
      </c>
      <c r="AX70" s="493">
        <f t="shared" si="103"/>
        <v>2.08</v>
      </c>
      <c r="AY70" s="493">
        <f t="shared" si="104"/>
        <v>2.08</v>
      </c>
      <c r="AZ70" s="495">
        <f t="shared" si="104"/>
        <v>0</v>
      </c>
    </row>
    <row r="71" spans="1:52" ht="12.95" customHeight="1" x14ac:dyDescent="0.25">
      <c r="A71" s="313">
        <v>12</v>
      </c>
      <c r="B71" s="354">
        <v>5407</v>
      </c>
      <c r="C71" s="355">
        <v>600099148</v>
      </c>
      <c r="D71" s="314">
        <v>70939403</v>
      </c>
      <c r="E71" s="356" t="s">
        <v>393</v>
      </c>
      <c r="F71" s="314">
        <v>3141</v>
      </c>
      <c r="G71" s="356" t="s">
        <v>316</v>
      </c>
      <c r="H71" s="317" t="s">
        <v>279</v>
      </c>
      <c r="I71" s="494">
        <v>1432725</v>
      </c>
      <c r="J71" s="489">
        <v>1049294</v>
      </c>
      <c r="K71" s="489">
        <v>0</v>
      </c>
      <c r="L71" s="489">
        <v>354661</v>
      </c>
      <c r="M71" s="489">
        <v>20986</v>
      </c>
      <c r="N71" s="489">
        <v>7784</v>
      </c>
      <c r="O71" s="490">
        <v>3.3</v>
      </c>
      <c r="P71" s="491">
        <v>0</v>
      </c>
      <c r="Q71" s="500">
        <v>3.3</v>
      </c>
      <c r="R71" s="502">
        <f t="shared" si="2"/>
        <v>0</v>
      </c>
      <c r="S71" s="492">
        <v>0</v>
      </c>
      <c r="T71" s="492">
        <v>0</v>
      </c>
      <c r="U71" s="492">
        <v>0</v>
      </c>
      <c r="V71" s="492">
        <f t="shared" si="3"/>
        <v>0</v>
      </c>
      <c r="W71" s="713">
        <v>0</v>
      </c>
      <c r="X71" s="492">
        <v>0</v>
      </c>
      <c r="Y71" s="492">
        <v>0</v>
      </c>
      <c r="Z71" s="492">
        <f t="shared" si="92"/>
        <v>0</v>
      </c>
      <c r="AA71" s="492">
        <f t="shared" si="93"/>
        <v>0</v>
      </c>
      <c r="AB71" s="74">
        <f t="shared" si="94"/>
        <v>0</v>
      </c>
      <c r="AC71" s="74">
        <f t="shared" si="95"/>
        <v>0</v>
      </c>
      <c r="AD71" s="492">
        <v>0</v>
      </c>
      <c r="AE71" s="492">
        <v>0</v>
      </c>
      <c r="AF71" s="492">
        <f t="shared" si="4"/>
        <v>0</v>
      </c>
      <c r="AG71" s="492">
        <f t="shared" si="5"/>
        <v>0</v>
      </c>
      <c r="AH71" s="493">
        <v>0</v>
      </c>
      <c r="AI71" s="493">
        <v>0</v>
      </c>
      <c r="AJ71" s="493">
        <v>0</v>
      </c>
      <c r="AK71" s="493">
        <v>0</v>
      </c>
      <c r="AL71" s="493">
        <v>0</v>
      </c>
      <c r="AM71" s="493">
        <v>0</v>
      </c>
      <c r="AN71" s="493">
        <v>0</v>
      </c>
      <c r="AO71" s="493">
        <f t="shared" si="96"/>
        <v>0</v>
      </c>
      <c r="AP71" s="493">
        <f t="shared" si="97"/>
        <v>0</v>
      </c>
      <c r="AQ71" s="495">
        <f t="shared" si="8"/>
        <v>0</v>
      </c>
      <c r="AR71" s="501">
        <f t="shared" si="98"/>
        <v>1432725</v>
      </c>
      <c r="AS71" s="492">
        <f t="shared" si="99"/>
        <v>1049294</v>
      </c>
      <c r="AT71" s="492">
        <f t="shared" si="100"/>
        <v>0</v>
      </c>
      <c r="AU71" s="492">
        <f t="shared" si="101"/>
        <v>354661</v>
      </c>
      <c r="AV71" s="492">
        <f t="shared" si="101"/>
        <v>20986</v>
      </c>
      <c r="AW71" s="492">
        <f t="shared" si="102"/>
        <v>7784</v>
      </c>
      <c r="AX71" s="493">
        <f t="shared" si="103"/>
        <v>3.3</v>
      </c>
      <c r="AY71" s="493">
        <f t="shared" si="104"/>
        <v>0</v>
      </c>
      <c r="AZ71" s="495">
        <f t="shared" si="104"/>
        <v>3.3</v>
      </c>
    </row>
    <row r="72" spans="1:52" ht="12.95" customHeight="1" x14ac:dyDescent="0.25">
      <c r="A72" s="313">
        <v>12</v>
      </c>
      <c r="B72" s="354">
        <v>5407</v>
      </c>
      <c r="C72" s="355">
        <v>600099148</v>
      </c>
      <c r="D72" s="314">
        <v>70939403</v>
      </c>
      <c r="E72" s="356" t="s">
        <v>393</v>
      </c>
      <c r="F72" s="314">
        <v>3143</v>
      </c>
      <c r="G72" s="356" t="s">
        <v>629</v>
      </c>
      <c r="H72" s="317" t="s">
        <v>278</v>
      </c>
      <c r="I72" s="494">
        <v>399926</v>
      </c>
      <c r="J72" s="489">
        <v>294496</v>
      </c>
      <c r="K72" s="489">
        <v>0</v>
      </c>
      <c r="L72" s="489">
        <v>99540</v>
      </c>
      <c r="M72" s="489">
        <v>5890</v>
      </c>
      <c r="N72" s="489">
        <v>0</v>
      </c>
      <c r="O72" s="490">
        <v>0.65</v>
      </c>
      <c r="P72" s="491">
        <v>0.65</v>
      </c>
      <c r="Q72" s="500">
        <v>0</v>
      </c>
      <c r="R72" s="502">
        <f t="shared" si="2"/>
        <v>0</v>
      </c>
      <c r="S72" s="492">
        <v>0</v>
      </c>
      <c r="T72" s="492">
        <v>0</v>
      </c>
      <c r="U72" s="492">
        <v>0</v>
      </c>
      <c r="V72" s="492">
        <f t="shared" si="3"/>
        <v>0</v>
      </c>
      <c r="W72" s="713">
        <v>0</v>
      </c>
      <c r="X72" s="492">
        <v>0</v>
      </c>
      <c r="Y72" s="492">
        <v>0</v>
      </c>
      <c r="Z72" s="492">
        <f t="shared" si="92"/>
        <v>0</v>
      </c>
      <c r="AA72" s="492">
        <f t="shared" si="93"/>
        <v>0</v>
      </c>
      <c r="AB72" s="74">
        <f t="shared" si="94"/>
        <v>0</v>
      </c>
      <c r="AC72" s="74">
        <f t="shared" si="95"/>
        <v>0</v>
      </c>
      <c r="AD72" s="492">
        <v>0</v>
      </c>
      <c r="AE72" s="492">
        <v>0</v>
      </c>
      <c r="AF72" s="492">
        <f t="shared" si="4"/>
        <v>0</v>
      </c>
      <c r="AG72" s="492">
        <f t="shared" si="5"/>
        <v>0</v>
      </c>
      <c r="AH72" s="493">
        <v>0</v>
      </c>
      <c r="AI72" s="493">
        <v>0</v>
      </c>
      <c r="AJ72" s="493">
        <v>0</v>
      </c>
      <c r="AK72" s="493">
        <v>0</v>
      </c>
      <c r="AL72" s="493">
        <v>0</v>
      </c>
      <c r="AM72" s="493">
        <v>0</v>
      </c>
      <c r="AN72" s="493">
        <v>0</v>
      </c>
      <c r="AO72" s="493">
        <f t="shared" si="96"/>
        <v>0</v>
      </c>
      <c r="AP72" s="493">
        <f t="shared" si="97"/>
        <v>0</v>
      </c>
      <c r="AQ72" s="495">
        <f t="shared" si="8"/>
        <v>0</v>
      </c>
      <c r="AR72" s="501">
        <f t="shared" si="98"/>
        <v>399926</v>
      </c>
      <c r="AS72" s="492">
        <f t="shared" si="99"/>
        <v>294496</v>
      </c>
      <c r="AT72" s="492">
        <f t="shared" si="100"/>
        <v>0</v>
      </c>
      <c r="AU72" s="492">
        <f t="shared" si="101"/>
        <v>99540</v>
      </c>
      <c r="AV72" s="492">
        <f t="shared" si="101"/>
        <v>5890</v>
      </c>
      <c r="AW72" s="492">
        <f t="shared" si="102"/>
        <v>0</v>
      </c>
      <c r="AX72" s="493">
        <f t="shared" si="103"/>
        <v>0.65</v>
      </c>
      <c r="AY72" s="493">
        <f t="shared" si="104"/>
        <v>0.65</v>
      </c>
      <c r="AZ72" s="495">
        <f t="shared" si="104"/>
        <v>0</v>
      </c>
    </row>
    <row r="73" spans="1:52" ht="12.95" customHeight="1" x14ac:dyDescent="0.25">
      <c r="A73" s="313">
        <v>12</v>
      </c>
      <c r="B73" s="354">
        <v>5407</v>
      </c>
      <c r="C73" s="355">
        <v>600099148</v>
      </c>
      <c r="D73" s="314">
        <v>70939403</v>
      </c>
      <c r="E73" s="356" t="s">
        <v>393</v>
      </c>
      <c r="F73" s="314">
        <v>3143</v>
      </c>
      <c r="G73" s="356" t="s">
        <v>630</v>
      </c>
      <c r="H73" s="317" t="s">
        <v>279</v>
      </c>
      <c r="I73" s="494">
        <v>15120</v>
      </c>
      <c r="J73" s="489">
        <v>10692</v>
      </c>
      <c r="K73" s="489">
        <v>0</v>
      </c>
      <c r="L73" s="489">
        <v>3614</v>
      </c>
      <c r="M73" s="489">
        <v>214</v>
      </c>
      <c r="N73" s="489">
        <v>600</v>
      </c>
      <c r="O73" s="490">
        <v>0.04</v>
      </c>
      <c r="P73" s="491">
        <v>0</v>
      </c>
      <c r="Q73" s="500">
        <v>0.04</v>
      </c>
      <c r="R73" s="502">
        <f t="shared" si="2"/>
        <v>0</v>
      </c>
      <c r="S73" s="492">
        <v>0</v>
      </c>
      <c r="T73" s="492">
        <v>0</v>
      </c>
      <c r="U73" s="492">
        <v>0</v>
      </c>
      <c r="V73" s="492">
        <f t="shared" si="3"/>
        <v>0</v>
      </c>
      <c r="W73" s="713">
        <v>0</v>
      </c>
      <c r="X73" s="492">
        <v>0</v>
      </c>
      <c r="Y73" s="492">
        <v>0</v>
      </c>
      <c r="Z73" s="492">
        <f t="shared" si="92"/>
        <v>0</v>
      </c>
      <c r="AA73" s="492">
        <f t="shared" si="93"/>
        <v>0</v>
      </c>
      <c r="AB73" s="74">
        <f t="shared" si="94"/>
        <v>0</v>
      </c>
      <c r="AC73" s="74">
        <f t="shared" si="95"/>
        <v>0</v>
      </c>
      <c r="AD73" s="492">
        <v>0</v>
      </c>
      <c r="AE73" s="492">
        <v>0</v>
      </c>
      <c r="AF73" s="492">
        <f t="shared" si="4"/>
        <v>0</v>
      </c>
      <c r="AG73" s="492">
        <f t="shared" si="5"/>
        <v>0</v>
      </c>
      <c r="AH73" s="493">
        <v>0</v>
      </c>
      <c r="AI73" s="493">
        <v>0</v>
      </c>
      <c r="AJ73" s="493">
        <v>0</v>
      </c>
      <c r="AK73" s="493">
        <v>0</v>
      </c>
      <c r="AL73" s="493">
        <v>0</v>
      </c>
      <c r="AM73" s="493">
        <v>0</v>
      </c>
      <c r="AN73" s="493">
        <v>0</v>
      </c>
      <c r="AO73" s="493">
        <f t="shared" si="96"/>
        <v>0</v>
      </c>
      <c r="AP73" s="493">
        <f t="shared" si="97"/>
        <v>0</v>
      </c>
      <c r="AQ73" s="495">
        <f t="shared" si="8"/>
        <v>0</v>
      </c>
      <c r="AR73" s="501">
        <f t="shared" si="98"/>
        <v>15120</v>
      </c>
      <c r="AS73" s="492">
        <f t="shared" si="99"/>
        <v>10692</v>
      </c>
      <c r="AT73" s="492">
        <f t="shared" si="100"/>
        <v>0</v>
      </c>
      <c r="AU73" s="492">
        <f t="shared" si="101"/>
        <v>3614</v>
      </c>
      <c r="AV73" s="492">
        <f t="shared" si="101"/>
        <v>214</v>
      </c>
      <c r="AW73" s="492">
        <f t="shared" si="102"/>
        <v>600</v>
      </c>
      <c r="AX73" s="493">
        <f t="shared" si="103"/>
        <v>0.04</v>
      </c>
      <c r="AY73" s="493">
        <f t="shared" si="104"/>
        <v>0</v>
      </c>
      <c r="AZ73" s="495">
        <f t="shared" si="104"/>
        <v>0.04</v>
      </c>
    </row>
    <row r="74" spans="1:52" ht="12.95" customHeight="1" x14ac:dyDescent="0.25">
      <c r="A74" s="357">
        <v>12</v>
      </c>
      <c r="B74" s="358">
        <v>5407</v>
      </c>
      <c r="C74" s="359">
        <v>600099148</v>
      </c>
      <c r="D74" s="358">
        <v>70939403</v>
      </c>
      <c r="E74" s="360" t="s">
        <v>394</v>
      </c>
      <c r="F74" s="324"/>
      <c r="G74" s="362"/>
      <c r="H74" s="325"/>
      <c r="I74" s="606">
        <v>14684885</v>
      </c>
      <c r="J74" s="602">
        <v>10681660</v>
      </c>
      <c r="K74" s="602">
        <v>6500</v>
      </c>
      <c r="L74" s="602">
        <v>3612598</v>
      </c>
      <c r="M74" s="602">
        <v>213633</v>
      </c>
      <c r="N74" s="602">
        <v>170494</v>
      </c>
      <c r="O74" s="603">
        <v>22.409600000000001</v>
      </c>
      <c r="P74" s="603">
        <v>14.866300000000001</v>
      </c>
      <c r="Q74" s="608">
        <v>7.5432999999999995</v>
      </c>
      <c r="R74" s="606">
        <f t="shared" ref="R74:AZ74" si="105">SUM(R68:R73)</f>
        <v>0</v>
      </c>
      <c r="S74" s="602">
        <f t="shared" si="105"/>
        <v>0</v>
      </c>
      <c r="T74" s="602">
        <f t="shared" si="105"/>
        <v>0</v>
      </c>
      <c r="U74" s="602">
        <f t="shared" si="105"/>
        <v>0</v>
      </c>
      <c r="V74" s="602">
        <f t="shared" si="105"/>
        <v>0</v>
      </c>
      <c r="W74" s="602">
        <f t="shared" si="105"/>
        <v>0</v>
      </c>
      <c r="X74" s="602">
        <f t="shared" si="105"/>
        <v>0</v>
      </c>
      <c r="Y74" s="602">
        <f t="shared" si="105"/>
        <v>0</v>
      </c>
      <c r="Z74" s="602">
        <f t="shared" si="105"/>
        <v>0</v>
      </c>
      <c r="AA74" s="602">
        <f t="shared" si="105"/>
        <v>0</v>
      </c>
      <c r="AB74" s="602">
        <f t="shared" si="105"/>
        <v>0</v>
      </c>
      <c r="AC74" s="602">
        <f t="shared" si="105"/>
        <v>0</v>
      </c>
      <c r="AD74" s="602">
        <f t="shared" si="105"/>
        <v>500</v>
      </c>
      <c r="AE74" s="602">
        <f t="shared" si="105"/>
        <v>0</v>
      </c>
      <c r="AF74" s="602">
        <f t="shared" si="105"/>
        <v>500</v>
      </c>
      <c r="AG74" s="602">
        <f t="shared" si="105"/>
        <v>500</v>
      </c>
      <c r="AH74" s="603">
        <f t="shared" si="105"/>
        <v>0</v>
      </c>
      <c r="AI74" s="603">
        <f t="shared" si="105"/>
        <v>0</v>
      </c>
      <c r="AJ74" s="603">
        <f t="shared" si="105"/>
        <v>0</v>
      </c>
      <c r="AK74" s="603">
        <f t="shared" si="105"/>
        <v>0</v>
      </c>
      <c r="AL74" s="603">
        <f t="shared" si="105"/>
        <v>0</v>
      </c>
      <c r="AM74" s="603">
        <f t="shared" si="105"/>
        <v>0</v>
      </c>
      <c r="AN74" s="603">
        <f t="shared" si="105"/>
        <v>0</v>
      </c>
      <c r="AO74" s="603">
        <f t="shared" si="105"/>
        <v>0</v>
      </c>
      <c r="AP74" s="603">
        <f t="shared" si="105"/>
        <v>0</v>
      </c>
      <c r="AQ74" s="361">
        <f t="shared" si="105"/>
        <v>0</v>
      </c>
      <c r="AR74" s="610">
        <f t="shared" si="105"/>
        <v>14685385</v>
      </c>
      <c r="AS74" s="602">
        <f t="shared" si="105"/>
        <v>10681660</v>
      </c>
      <c r="AT74" s="602">
        <f t="shared" si="105"/>
        <v>6500</v>
      </c>
      <c r="AU74" s="602">
        <f t="shared" si="105"/>
        <v>3612598</v>
      </c>
      <c r="AV74" s="602">
        <f t="shared" si="105"/>
        <v>213633</v>
      </c>
      <c r="AW74" s="602">
        <f t="shared" si="105"/>
        <v>170994</v>
      </c>
      <c r="AX74" s="603">
        <f t="shared" si="105"/>
        <v>22.409600000000001</v>
      </c>
      <c r="AY74" s="603">
        <f t="shared" si="105"/>
        <v>14.866300000000001</v>
      </c>
      <c r="AZ74" s="361">
        <f t="shared" si="105"/>
        <v>7.5432999999999995</v>
      </c>
    </row>
    <row r="75" spans="1:52" ht="12.95" customHeight="1" x14ac:dyDescent="0.25">
      <c r="A75" s="313">
        <v>13</v>
      </c>
      <c r="B75" s="354">
        <v>5411</v>
      </c>
      <c r="C75" s="355">
        <v>650034244</v>
      </c>
      <c r="D75" s="314">
        <v>70985375</v>
      </c>
      <c r="E75" s="356" t="s">
        <v>395</v>
      </c>
      <c r="F75" s="314">
        <v>3111</v>
      </c>
      <c r="G75" s="356" t="s">
        <v>326</v>
      </c>
      <c r="H75" s="317" t="s">
        <v>278</v>
      </c>
      <c r="I75" s="494">
        <v>2404294</v>
      </c>
      <c r="J75" s="489">
        <v>1707450</v>
      </c>
      <c r="K75" s="489">
        <v>52860</v>
      </c>
      <c r="L75" s="489">
        <v>594985</v>
      </c>
      <c r="M75" s="489">
        <v>34149</v>
      </c>
      <c r="N75" s="489">
        <v>14850</v>
      </c>
      <c r="O75" s="490">
        <v>3.9018000000000002</v>
      </c>
      <c r="P75" s="491">
        <v>2.98</v>
      </c>
      <c r="Q75" s="500">
        <v>0.92179999999999995</v>
      </c>
      <c r="R75" s="502">
        <f t="shared" si="2"/>
        <v>0</v>
      </c>
      <c r="S75" s="492">
        <v>0</v>
      </c>
      <c r="T75" s="492">
        <v>0</v>
      </c>
      <c r="U75" s="492">
        <v>0</v>
      </c>
      <c r="V75" s="492">
        <f t="shared" si="3"/>
        <v>0</v>
      </c>
      <c r="W75" s="713">
        <v>0</v>
      </c>
      <c r="X75" s="492">
        <v>0</v>
      </c>
      <c r="Y75" s="492">
        <v>0</v>
      </c>
      <c r="Z75" s="492">
        <f t="shared" ref="Z75:Z80" si="106">SUM(W75:Y75)</f>
        <v>0</v>
      </c>
      <c r="AA75" s="492">
        <f t="shared" ref="AA75:AA80" si="107">V75+Z75</f>
        <v>0</v>
      </c>
      <c r="AB75" s="74">
        <f t="shared" ref="AB75:AB80" si="108">ROUND((V75+W75+X75)*33.8%,0)</f>
        <v>0</v>
      </c>
      <c r="AC75" s="74">
        <f t="shared" ref="AC75:AC80" si="109">ROUND(V75*2%,0)</f>
        <v>0</v>
      </c>
      <c r="AD75" s="492">
        <v>0</v>
      </c>
      <c r="AE75" s="492">
        <v>0</v>
      </c>
      <c r="AF75" s="492">
        <f t="shared" si="4"/>
        <v>0</v>
      </c>
      <c r="AG75" s="492">
        <f t="shared" si="5"/>
        <v>0</v>
      </c>
      <c r="AH75" s="493">
        <v>0</v>
      </c>
      <c r="AI75" s="493">
        <v>0</v>
      </c>
      <c r="AJ75" s="493">
        <v>0</v>
      </c>
      <c r="AK75" s="493">
        <v>0</v>
      </c>
      <c r="AL75" s="493">
        <v>0</v>
      </c>
      <c r="AM75" s="493">
        <v>0</v>
      </c>
      <c r="AN75" s="493">
        <v>0</v>
      </c>
      <c r="AO75" s="493">
        <f t="shared" ref="AO75:AO80" si="110">AH75+AJ75+AK75+AM75</f>
        <v>0</v>
      </c>
      <c r="AP75" s="493">
        <f t="shared" ref="AP75:AP80" si="111">AI75+AN75+AL75</f>
        <v>0</v>
      </c>
      <c r="AQ75" s="495">
        <f t="shared" si="8"/>
        <v>0</v>
      </c>
      <c r="AR75" s="501">
        <f t="shared" ref="AR75:AR80" si="112">I75+AG75</f>
        <v>2404294</v>
      </c>
      <c r="AS75" s="492">
        <f t="shared" ref="AS75:AS80" si="113">J75+V75</f>
        <v>1707450</v>
      </c>
      <c r="AT75" s="492">
        <f t="shared" ref="AT75:AT80" si="114">K75+Z75</f>
        <v>52860</v>
      </c>
      <c r="AU75" s="492">
        <f t="shared" ref="AU75:AV80" si="115">L75+AB75</f>
        <v>594985</v>
      </c>
      <c r="AV75" s="492">
        <f t="shared" si="115"/>
        <v>34149</v>
      </c>
      <c r="AW75" s="492">
        <f t="shared" ref="AW75:AW80" si="116">N75+AF75</f>
        <v>14850</v>
      </c>
      <c r="AX75" s="493">
        <f t="shared" ref="AX75:AX80" si="117">O75+AQ75</f>
        <v>3.9018000000000002</v>
      </c>
      <c r="AY75" s="493">
        <f t="shared" ref="AY75:AZ80" si="118">P75+AO75</f>
        <v>2.98</v>
      </c>
      <c r="AZ75" s="495">
        <f t="shared" si="118"/>
        <v>0.92179999999999995</v>
      </c>
    </row>
    <row r="76" spans="1:52" ht="12.95" customHeight="1" x14ac:dyDescent="0.25">
      <c r="A76" s="313">
        <v>13</v>
      </c>
      <c r="B76" s="354">
        <v>5411</v>
      </c>
      <c r="C76" s="355">
        <v>650034244</v>
      </c>
      <c r="D76" s="314">
        <v>70985375</v>
      </c>
      <c r="E76" s="356" t="s">
        <v>395</v>
      </c>
      <c r="F76" s="314">
        <v>3117</v>
      </c>
      <c r="G76" s="356" t="s">
        <v>315</v>
      </c>
      <c r="H76" s="317" t="s">
        <v>278</v>
      </c>
      <c r="I76" s="494">
        <v>3976007</v>
      </c>
      <c r="J76" s="489">
        <v>2873695</v>
      </c>
      <c r="K76" s="489">
        <v>0</v>
      </c>
      <c r="L76" s="489">
        <v>971308</v>
      </c>
      <c r="M76" s="489">
        <v>57474</v>
      </c>
      <c r="N76" s="489">
        <v>73530</v>
      </c>
      <c r="O76" s="490">
        <v>5.1031999999999993</v>
      </c>
      <c r="P76" s="491">
        <v>3.2726999999999999</v>
      </c>
      <c r="Q76" s="500">
        <v>1.8304999999999998</v>
      </c>
      <c r="R76" s="502">
        <f t="shared" si="2"/>
        <v>0</v>
      </c>
      <c r="S76" s="492">
        <v>0</v>
      </c>
      <c r="T76" s="492">
        <v>0</v>
      </c>
      <c r="U76" s="492">
        <v>0</v>
      </c>
      <c r="V76" s="492">
        <f t="shared" si="3"/>
        <v>0</v>
      </c>
      <c r="W76" s="713">
        <v>0</v>
      </c>
      <c r="X76" s="492">
        <v>0</v>
      </c>
      <c r="Y76" s="492">
        <v>0</v>
      </c>
      <c r="Z76" s="492">
        <f t="shared" si="106"/>
        <v>0</v>
      </c>
      <c r="AA76" s="492">
        <f t="shared" si="107"/>
        <v>0</v>
      </c>
      <c r="AB76" s="74">
        <f t="shared" si="108"/>
        <v>0</v>
      </c>
      <c r="AC76" s="74">
        <f t="shared" si="109"/>
        <v>0</v>
      </c>
      <c r="AD76" s="492">
        <v>0</v>
      </c>
      <c r="AE76" s="492">
        <v>0</v>
      </c>
      <c r="AF76" s="492">
        <f t="shared" si="4"/>
        <v>0</v>
      </c>
      <c r="AG76" s="492">
        <f t="shared" si="5"/>
        <v>0</v>
      </c>
      <c r="AH76" s="493">
        <v>0</v>
      </c>
      <c r="AI76" s="493">
        <v>0</v>
      </c>
      <c r="AJ76" s="493">
        <v>0</v>
      </c>
      <c r="AK76" s="493">
        <v>0</v>
      </c>
      <c r="AL76" s="493">
        <v>0</v>
      </c>
      <c r="AM76" s="493">
        <v>0</v>
      </c>
      <c r="AN76" s="493">
        <v>0</v>
      </c>
      <c r="AO76" s="493">
        <f t="shared" si="110"/>
        <v>0</v>
      </c>
      <c r="AP76" s="493">
        <f t="shared" si="111"/>
        <v>0</v>
      </c>
      <c r="AQ76" s="495">
        <f t="shared" si="8"/>
        <v>0</v>
      </c>
      <c r="AR76" s="501">
        <f t="shared" si="112"/>
        <v>3976007</v>
      </c>
      <c r="AS76" s="492">
        <f t="shared" si="113"/>
        <v>2873695</v>
      </c>
      <c r="AT76" s="492">
        <f t="shared" si="114"/>
        <v>0</v>
      </c>
      <c r="AU76" s="492">
        <f t="shared" si="115"/>
        <v>971308</v>
      </c>
      <c r="AV76" s="492">
        <f t="shared" si="115"/>
        <v>57474</v>
      </c>
      <c r="AW76" s="492">
        <f t="shared" si="116"/>
        <v>73530</v>
      </c>
      <c r="AX76" s="493">
        <f t="shared" si="117"/>
        <v>5.1031999999999993</v>
      </c>
      <c r="AY76" s="493">
        <f t="shared" si="118"/>
        <v>3.2726999999999999</v>
      </c>
      <c r="AZ76" s="495">
        <f t="shared" si="118"/>
        <v>1.8304999999999998</v>
      </c>
    </row>
    <row r="77" spans="1:52" ht="12.95" customHeight="1" x14ac:dyDescent="0.25">
      <c r="A77" s="313">
        <v>13</v>
      </c>
      <c r="B77" s="354">
        <v>5411</v>
      </c>
      <c r="C77" s="355">
        <v>650034244</v>
      </c>
      <c r="D77" s="314">
        <v>70985375</v>
      </c>
      <c r="E77" s="356" t="s">
        <v>395</v>
      </c>
      <c r="F77" s="314">
        <v>3117</v>
      </c>
      <c r="G77" s="356" t="s">
        <v>320</v>
      </c>
      <c r="H77" s="317" t="s">
        <v>279</v>
      </c>
      <c r="I77" s="494">
        <v>0</v>
      </c>
      <c r="J77" s="489">
        <v>0</v>
      </c>
      <c r="K77" s="489">
        <v>0</v>
      </c>
      <c r="L77" s="489">
        <v>0</v>
      </c>
      <c r="M77" s="489">
        <v>0</v>
      </c>
      <c r="N77" s="489">
        <v>0</v>
      </c>
      <c r="O77" s="490">
        <v>0</v>
      </c>
      <c r="P77" s="491">
        <v>0</v>
      </c>
      <c r="Q77" s="500">
        <v>0</v>
      </c>
      <c r="R77" s="502">
        <f t="shared" ref="R77:R140" si="119">W77*-1</f>
        <v>0</v>
      </c>
      <c r="S77" s="492">
        <v>0</v>
      </c>
      <c r="T77" s="492">
        <v>0</v>
      </c>
      <c r="U77" s="492">
        <v>0</v>
      </c>
      <c r="V77" s="492">
        <f t="shared" ref="V77:V140" si="120">SUM(R77:U77)</f>
        <v>0</v>
      </c>
      <c r="W77" s="713">
        <v>0</v>
      </c>
      <c r="X77" s="492">
        <v>0</v>
      </c>
      <c r="Y77" s="492">
        <v>0</v>
      </c>
      <c r="Z77" s="492">
        <f t="shared" si="106"/>
        <v>0</v>
      </c>
      <c r="AA77" s="492">
        <f t="shared" si="107"/>
        <v>0</v>
      </c>
      <c r="AB77" s="74">
        <f t="shared" si="108"/>
        <v>0</v>
      </c>
      <c r="AC77" s="74">
        <f t="shared" si="109"/>
        <v>0</v>
      </c>
      <c r="AD77" s="492">
        <v>0</v>
      </c>
      <c r="AE77" s="492">
        <v>0</v>
      </c>
      <c r="AF77" s="492">
        <f t="shared" ref="AF77:AF140" si="121">SUM(AD77:AE77)</f>
        <v>0</v>
      </c>
      <c r="AG77" s="492">
        <f t="shared" ref="AG77:AG140" si="122">AA77+AB77+AC77+AF77</f>
        <v>0</v>
      </c>
      <c r="AH77" s="493">
        <v>0</v>
      </c>
      <c r="AI77" s="493">
        <v>0</v>
      </c>
      <c r="AJ77" s="493">
        <v>0</v>
      </c>
      <c r="AK77" s="493">
        <v>0</v>
      </c>
      <c r="AL77" s="493">
        <v>0</v>
      </c>
      <c r="AM77" s="493">
        <v>0</v>
      </c>
      <c r="AN77" s="493">
        <v>0</v>
      </c>
      <c r="AO77" s="493">
        <f t="shared" si="110"/>
        <v>0</v>
      </c>
      <c r="AP77" s="493">
        <f t="shared" si="111"/>
        <v>0</v>
      </c>
      <c r="AQ77" s="495">
        <f t="shared" ref="AQ77:AQ140" si="123">SUM(AO77:AP77)</f>
        <v>0</v>
      </c>
      <c r="AR77" s="501">
        <f t="shared" si="112"/>
        <v>0</v>
      </c>
      <c r="AS77" s="492">
        <f t="shared" si="113"/>
        <v>0</v>
      </c>
      <c r="AT77" s="492">
        <f t="shared" si="114"/>
        <v>0</v>
      </c>
      <c r="AU77" s="492">
        <f t="shared" si="115"/>
        <v>0</v>
      </c>
      <c r="AV77" s="492">
        <f t="shared" si="115"/>
        <v>0</v>
      </c>
      <c r="AW77" s="492">
        <f t="shared" si="116"/>
        <v>0</v>
      </c>
      <c r="AX77" s="493">
        <f t="shared" si="117"/>
        <v>0</v>
      </c>
      <c r="AY77" s="493">
        <f t="shared" si="118"/>
        <v>0</v>
      </c>
      <c r="AZ77" s="495">
        <f t="shared" si="118"/>
        <v>0</v>
      </c>
    </row>
    <row r="78" spans="1:52" ht="12.95" customHeight="1" x14ac:dyDescent="0.25">
      <c r="A78" s="313">
        <v>13</v>
      </c>
      <c r="B78" s="354">
        <v>5411</v>
      </c>
      <c r="C78" s="355">
        <v>650034244</v>
      </c>
      <c r="D78" s="314">
        <v>70985375</v>
      </c>
      <c r="E78" s="356" t="s">
        <v>395</v>
      </c>
      <c r="F78" s="314">
        <v>3141</v>
      </c>
      <c r="G78" s="356" t="s">
        <v>316</v>
      </c>
      <c r="H78" s="317" t="s">
        <v>279</v>
      </c>
      <c r="I78" s="494">
        <v>985620</v>
      </c>
      <c r="J78" s="489">
        <v>722542</v>
      </c>
      <c r="K78" s="489">
        <v>0</v>
      </c>
      <c r="L78" s="489">
        <v>244219</v>
      </c>
      <c r="M78" s="489">
        <v>14451</v>
      </c>
      <c r="N78" s="489">
        <v>4408</v>
      </c>
      <c r="O78" s="490">
        <v>2.2799999999999998</v>
      </c>
      <c r="P78" s="491">
        <v>0</v>
      </c>
      <c r="Q78" s="500">
        <v>2.2799999999999998</v>
      </c>
      <c r="R78" s="502">
        <f t="shared" si="119"/>
        <v>0</v>
      </c>
      <c r="S78" s="492">
        <v>0</v>
      </c>
      <c r="T78" s="492">
        <v>0</v>
      </c>
      <c r="U78" s="492">
        <v>0</v>
      </c>
      <c r="V78" s="492">
        <f t="shared" si="120"/>
        <v>0</v>
      </c>
      <c r="W78" s="713">
        <v>0</v>
      </c>
      <c r="X78" s="492">
        <v>0</v>
      </c>
      <c r="Y78" s="492">
        <v>0</v>
      </c>
      <c r="Z78" s="492">
        <f t="shared" si="106"/>
        <v>0</v>
      </c>
      <c r="AA78" s="492">
        <f t="shared" si="107"/>
        <v>0</v>
      </c>
      <c r="AB78" s="74">
        <f t="shared" si="108"/>
        <v>0</v>
      </c>
      <c r="AC78" s="74">
        <f t="shared" si="109"/>
        <v>0</v>
      </c>
      <c r="AD78" s="492">
        <v>0</v>
      </c>
      <c r="AE78" s="492">
        <v>0</v>
      </c>
      <c r="AF78" s="492">
        <f t="shared" si="121"/>
        <v>0</v>
      </c>
      <c r="AG78" s="492">
        <f t="shared" si="122"/>
        <v>0</v>
      </c>
      <c r="AH78" s="493">
        <v>0</v>
      </c>
      <c r="AI78" s="493">
        <v>0</v>
      </c>
      <c r="AJ78" s="493">
        <v>0</v>
      </c>
      <c r="AK78" s="493">
        <v>0</v>
      </c>
      <c r="AL78" s="493">
        <v>0</v>
      </c>
      <c r="AM78" s="493">
        <v>0</v>
      </c>
      <c r="AN78" s="493">
        <v>0</v>
      </c>
      <c r="AO78" s="493">
        <f t="shared" si="110"/>
        <v>0</v>
      </c>
      <c r="AP78" s="493">
        <f t="shared" si="111"/>
        <v>0</v>
      </c>
      <c r="AQ78" s="495">
        <f t="shared" si="123"/>
        <v>0</v>
      </c>
      <c r="AR78" s="501">
        <f t="shared" si="112"/>
        <v>985620</v>
      </c>
      <c r="AS78" s="492">
        <f t="shared" si="113"/>
        <v>722542</v>
      </c>
      <c r="AT78" s="492">
        <f t="shared" si="114"/>
        <v>0</v>
      </c>
      <c r="AU78" s="492">
        <f t="shared" si="115"/>
        <v>244219</v>
      </c>
      <c r="AV78" s="492">
        <f t="shared" si="115"/>
        <v>14451</v>
      </c>
      <c r="AW78" s="492">
        <f t="shared" si="116"/>
        <v>4408</v>
      </c>
      <c r="AX78" s="493">
        <f t="shared" si="117"/>
        <v>2.2799999999999998</v>
      </c>
      <c r="AY78" s="493">
        <f t="shared" si="118"/>
        <v>0</v>
      </c>
      <c r="AZ78" s="495">
        <f t="shared" si="118"/>
        <v>2.2799999999999998</v>
      </c>
    </row>
    <row r="79" spans="1:52" ht="12.95" customHeight="1" x14ac:dyDescent="0.25">
      <c r="A79" s="313">
        <v>13</v>
      </c>
      <c r="B79" s="354">
        <v>5411</v>
      </c>
      <c r="C79" s="355">
        <v>650034244</v>
      </c>
      <c r="D79" s="314">
        <v>70985375</v>
      </c>
      <c r="E79" s="356" t="s">
        <v>395</v>
      </c>
      <c r="F79" s="314">
        <v>3143</v>
      </c>
      <c r="G79" s="356" t="s">
        <v>629</v>
      </c>
      <c r="H79" s="317" t="s">
        <v>278</v>
      </c>
      <c r="I79" s="494">
        <v>505409</v>
      </c>
      <c r="J79" s="489">
        <v>337844</v>
      </c>
      <c r="K79" s="489">
        <v>34840</v>
      </c>
      <c r="L79" s="489">
        <v>125968</v>
      </c>
      <c r="M79" s="489">
        <v>6757</v>
      </c>
      <c r="N79" s="489">
        <v>0</v>
      </c>
      <c r="O79" s="490">
        <v>0.70729999999999993</v>
      </c>
      <c r="P79" s="491">
        <v>0.70729999999999993</v>
      </c>
      <c r="Q79" s="500">
        <v>0</v>
      </c>
      <c r="R79" s="502">
        <f t="shared" si="119"/>
        <v>0</v>
      </c>
      <c r="S79" s="492">
        <v>0</v>
      </c>
      <c r="T79" s="492">
        <v>0</v>
      </c>
      <c r="U79" s="492">
        <v>0</v>
      </c>
      <c r="V79" s="492">
        <f t="shared" si="120"/>
        <v>0</v>
      </c>
      <c r="W79" s="713">
        <v>0</v>
      </c>
      <c r="X79" s="492">
        <v>0</v>
      </c>
      <c r="Y79" s="492">
        <v>0</v>
      </c>
      <c r="Z79" s="492">
        <f t="shared" si="106"/>
        <v>0</v>
      </c>
      <c r="AA79" s="492">
        <f t="shared" si="107"/>
        <v>0</v>
      </c>
      <c r="AB79" s="74">
        <f t="shared" si="108"/>
        <v>0</v>
      </c>
      <c r="AC79" s="74">
        <f t="shared" si="109"/>
        <v>0</v>
      </c>
      <c r="AD79" s="492">
        <v>0</v>
      </c>
      <c r="AE79" s="492">
        <v>0</v>
      </c>
      <c r="AF79" s="492">
        <f t="shared" si="121"/>
        <v>0</v>
      </c>
      <c r="AG79" s="492">
        <f t="shared" si="122"/>
        <v>0</v>
      </c>
      <c r="AH79" s="493">
        <v>0</v>
      </c>
      <c r="AI79" s="493">
        <v>0</v>
      </c>
      <c r="AJ79" s="493">
        <v>0</v>
      </c>
      <c r="AK79" s="493">
        <v>0</v>
      </c>
      <c r="AL79" s="493">
        <v>0</v>
      </c>
      <c r="AM79" s="493">
        <v>0</v>
      </c>
      <c r="AN79" s="493">
        <v>0</v>
      </c>
      <c r="AO79" s="493">
        <f t="shared" si="110"/>
        <v>0</v>
      </c>
      <c r="AP79" s="493">
        <f t="shared" si="111"/>
        <v>0</v>
      </c>
      <c r="AQ79" s="495">
        <f t="shared" si="123"/>
        <v>0</v>
      </c>
      <c r="AR79" s="501">
        <f t="shared" si="112"/>
        <v>505409</v>
      </c>
      <c r="AS79" s="492">
        <f t="shared" si="113"/>
        <v>337844</v>
      </c>
      <c r="AT79" s="492">
        <f t="shared" si="114"/>
        <v>34840</v>
      </c>
      <c r="AU79" s="492">
        <f t="shared" si="115"/>
        <v>125968</v>
      </c>
      <c r="AV79" s="492">
        <f t="shared" si="115"/>
        <v>6757</v>
      </c>
      <c r="AW79" s="492">
        <f t="shared" si="116"/>
        <v>0</v>
      </c>
      <c r="AX79" s="493">
        <f t="shared" si="117"/>
        <v>0.70729999999999993</v>
      </c>
      <c r="AY79" s="493">
        <f t="shared" si="118"/>
        <v>0.70729999999999993</v>
      </c>
      <c r="AZ79" s="495">
        <f t="shared" si="118"/>
        <v>0</v>
      </c>
    </row>
    <row r="80" spans="1:52" ht="12.95" customHeight="1" x14ac:dyDescent="0.25">
      <c r="A80" s="313">
        <v>13</v>
      </c>
      <c r="B80" s="354">
        <v>5411</v>
      </c>
      <c r="C80" s="355">
        <v>650034244</v>
      </c>
      <c r="D80" s="314">
        <v>70985375</v>
      </c>
      <c r="E80" s="356" t="s">
        <v>395</v>
      </c>
      <c r="F80" s="314">
        <v>3143</v>
      </c>
      <c r="G80" s="356" t="s">
        <v>630</v>
      </c>
      <c r="H80" s="317" t="s">
        <v>279</v>
      </c>
      <c r="I80" s="494">
        <v>21168</v>
      </c>
      <c r="J80" s="489">
        <v>14969</v>
      </c>
      <c r="K80" s="489">
        <v>0</v>
      </c>
      <c r="L80" s="489">
        <v>5060</v>
      </c>
      <c r="M80" s="489">
        <v>299</v>
      </c>
      <c r="N80" s="489">
        <v>840</v>
      </c>
      <c r="O80" s="490">
        <v>0.06</v>
      </c>
      <c r="P80" s="491">
        <v>0</v>
      </c>
      <c r="Q80" s="500">
        <v>0.06</v>
      </c>
      <c r="R80" s="502">
        <f t="shared" si="119"/>
        <v>0</v>
      </c>
      <c r="S80" s="492">
        <v>0</v>
      </c>
      <c r="T80" s="492">
        <v>0</v>
      </c>
      <c r="U80" s="492">
        <v>0</v>
      </c>
      <c r="V80" s="492">
        <f t="shared" si="120"/>
        <v>0</v>
      </c>
      <c r="W80" s="713">
        <v>0</v>
      </c>
      <c r="X80" s="492">
        <v>0</v>
      </c>
      <c r="Y80" s="492">
        <v>0</v>
      </c>
      <c r="Z80" s="492">
        <f t="shared" si="106"/>
        <v>0</v>
      </c>
      <c r="AA80" s="492">
        <f t="shared" si="107"/>
        <v>0</v>
      </c>
      <c r="AB80" s="74">
        <f t="shared" si="108"/>
        <v>0</v>
      </c>
      <c r="AC80" s="74">
        <f t="shared" si="109"/>
        <v>0</v>
      </c>
      <c r="AD80" s="492">
        <v>0</v>
      </c>
      <c r="AE80" s="492">
        <v>0</v>
      </c>
      <c r="AF80" s="492">
        <f t="shared" si="121"/>
        <v>0</v>
      </c>
      <c r="AG80" s="492">
        <f t="shared" si="122"/>
        <v>0</v>
      </c>
      <c r="AH80" s="493">
        <v>0</v>
      </c>
      <c r="AI80" s="493">
        <v>0</v>
      </c>
      <c r="AJ80" s="493">
        <v>0</v>
      </c>
      <c r="AK80" s="493">
        <v>0</v>
      </c>
      <c r="AL80" s="493">
        <v>0</v>
      </c>
      <c r="AM80" s="493">
        <v>0</v>
      </c>
      <c r="AN80" s="493">
        <v>0</v>
      </c>
      <c r="AO80" s="493">
        <f t="shared" si="110"/>
        <v>0</v>
      </c>
      <c r="AP80" s="493">
        <f t="shared" si="111"/>
        <v>0</v>
      </c>
      <c r="AQ80" s="495">
        <f t="shared" si="123"/>
        <v>0</v>
      </c>
      <c r="AR80" s="501">
        <f t="shared" si="112"/>
        <v>21168</v>
      </c>
      <c r="AS80" s="492">
        <f t="shared" si="113"/>
        <v>14969</v>
      </c>
      <c r="AT80" s="492">
        <f t="shared" si="114"/>
        <v>0</v>
      </c>
      <c r="AU80" s="492">
        <f t="shared" si="115"/>
        <v>5060</v>
      </c>
      <c r="AV80" s="492">
        <f t="shared" si="115"/>
        <v>299</v>
      </c>
      <c r="AW80" s="492">
        <f t="shared" si="116"/>
        <v>840</v>
      </c>
      <c r="AX80" s="493">
        <f t="shared" si="117"/>
        <v>0.06</v>
      </c>
      <c r="AY80" s="493">
        <f t="shared" si="118"/>
        <v>0</v>
      </c>
      <c r="AZ80" s="495">
        <f t="shared" si="118"/>
        <v>0.06</v>
      </c>
    </row>
    <row r="81" spans="1:52" ht="12.95" customHeight="1" x14ac:dyDescent="0.25">
      <c r="A81" s="357">
        <v>13</v>
      </c>
      <c r="B81" s="358">
        <v>5411</v>
      </c>
      <c r="C81" s="359">
        <v>650034244</v>
      </c>
      <c r="D81" s="358">
        <v>70985375</v>
      </c>
      <c r="E81" s="360" t="s">
        <v>396</v>
      </c>
      <c r="F81" s="324"/>
      <c r="G81" s="362"/>
      <c r="H81" s="325"/>
      <c r="I81" s="606">
        <v>7892498</v>
      </c>
      <c r="J81" s="602">
        <v>5656500</v>
      </c>
      <c r="K81" s="602">
        <v>87700</v>
      </c>
      <c r="L81" s="602">
        <v>1941540</v>
      </c>
      <c r="M81" s="602">
        <v>113130</v>
      </c>
      <c r="N81" s="602">
        <v>93628</v>
      </c>
      <c r="O81" s="603">
        <v>12.052299999999999</v>
      </c>
      <c r="P81" s="603">
        <v>6.96</v>
      </c>
      <c r="Q81" s="608">
        <v>5.0922999999999989</v>
      </c>
      <c r="R81" s="606">
        <f t="shared" ref="R81:AZ81" si="124">SUM(R75:R80)</f>
        <v>0</v>
      </c>
      <c r="S81" s="602">
        <f t="shared" si="124"/>
        <v>0</v>
      </c>
      <c r="T81" s="602">
        <f t="shared" si="124"/>
        <v>0</v>
      </c>
      <c r="U81" s="602">
        <f t="shared" si="124"/>
        <v>0</v>
      </c>
      <c r="V81" s="602">
        <f t="shared" si="124"/>
        <v>0</v>
      </c>
      <c r="W81" s="602">
        <f t="shared" si="124"/>
        <v>0</v>
      </c>
      <c r="X81" s="602">
        <f t="shared" si="124"/>
        <v>0</v>
      </c>
      <c r="Y81" s="602">
        <f t="shared" si="124"/>
        <v>0</v>
      </c>
      <c r="Z81" s="602">
        <f t="shared" si="124"/>
        <v>0</v>
      </c>
      <c r="AA81" s="602">
        <f t="shared" si="124"/>
        <v>0</v>
      </c>
      <c r="AB81" s="602">
        <f t="shared" si="124"/>
        <v>0</v>
      </c>
      <c r="AC81" s="602">
        <f t="shared" si="124"/>
        <v>0</v>
      </c>
      <c r="AD81" s="602">
        <f t="shared" si="124"/>
        <v>0</v>
      </c>
      <c r="AE81" s="602">
        <f t="shared" si="124"/>
        <v>0</v>
      </c>
      <c r="AF81" s="602">
        <f t="shared" si="124"/>
        <v>0</v>
      </c>
      <c r="AG81" s="602">
        <f t="shared" si="124"/>
        <v>0</v>
      </c>
      <c r="AH81" s="603">
        <f t="shared" si="124"/>
        <v>0</v>
      </c>
      <c r="AI81" s="603">
        <f t="shared" si="124"/>
        <v>0</v>
      </c>
      <c r="AJ81" s="603">
        <f t="shared" si="124"/>
        <v>0</v>
      </c>
      <c r="AK81" s="603">
        <f t="shared" si="124"/>
        <v>0</v>
      </c>
      <c r="AL81" s="603">
        <f t="shared" si="124"/>
        <v>0</v>
      </c>
      <c r="AM81" s="603">
        <f t="shared" si="124"/>
        <v>0</v>
      </c>
      <c r="AN81" s="603">
        <f t="shared" si="124"/>
        <v>0</v>
      </c>
      <c r="AO81" s="603">
        <f t="shared" si="124"/>
        <v>0</v>
      </c>
      <c r="AP81" s="603">
        <f t="shared" si="124"/>
        <v>0</v>
      </c>
      <c r="AQ81" s="361">
        <f t="shared" si="124"/>
        <v>0</v>
      </c>
      <c r="AR81" s="610">
        <f t="shared" si="124"/>
        <v>7892498</v>
      </c>
      <c r="AS81" s="602">
        <f t="shared" si="124"/>
        <v>5656500</v>
      </c>
      <c r="AT81" s="602">
        <f t="shared" si="124"/>
        <v>87700</v>
      </c>
      <c r="AU81" s="602">
        <f t="shared" si="124"/>
        <v>1941540</v>
      </c>
      <c r="AV81" s="602">
        <f t="shared" si="124"/>
        <v>113130</v>
      </c>
      <c r="AW81" s="602">
        <f t="shared" si="124"/>
        <v>93628</v>
      </c>
      <c r="AX81" s="603">
        <f t="shared" si="124"/>
        <v>12.052299999999999</v>
      </c>
      <c r="AY81" s="603">
        <f t="shared" si="124"/>
        <v>6.96</v>
      </c>
      <c r="AZ81" s="361">
        <f t="shared" si="124"/>
        <v>5.0922999999999989</v>
      </c>
    </row>
    <row r="82" spans="1:52" ht="12.95" customHeight="1" x14ac:dyDescent="0.25">
      <c r="A82" s="313">
        <v>14</v>
      </c>
      <c r="B82" s="354">
        <v>5412</v>
      </c>
      <c r="C82" s="355">
        <v>600099130</v>
      </c>
      <c r="D82" s="314">
        <v>70698066</v>
      </c>
      <c r="E82" s="356" t="s">
        <v>397</v>
      </c>
      <c r="F82" s="314">
        <v>3111</v>
      </c>
      <c r="G82" s="356" t="s">
        <v>326</v>
      </c>
      <c r="H82" s="317" t="s">
        <v>278</v>
      </c>
      <c r="I82" s="494">
        <v>1654984</v>
      </c>
      <c r="J82" s="489">
        <v>1212065</v>
      </c>
      <c r="K82" s="489">
        <v>0</v>
      </c>
      <c r="L82" s="489">
        <v>409678</v>
      </c>
      <c r="M82" s="489">
        <v>24241</v>
      </c>
      <c r="N82" s="489">
        <v>9000</v>
      </c>
      <c r="O82" s="490">
        <v>2.4609000000000001</v>
      </c>
      <c r="P82" s="491">
        <v>2</v>
      </c>
      <c r="Q82" s="500">
        <v>0.46089999999999998</v>
      </c>
      <c r="R82" s="502">
        <f t="shared" si="119"/>
        <v>0</v>
      </c>
      <c r="S82" s="492">
        <v>0</v>
      </c>
      <c r="T82" s="492">
        <v>0</v>
      </c>
      <c r="U82" s="492">
        <v>0</v>
      </c>
      <c r="V82" s="492">
        <f t="shared" si="120"/>
        <v>0</v>
      </c>
      <c r="W82" s="492">
        <v>0</v>
      </c>
      <c r="X82" s="492">
        <v>0</v>
      </c>
      <c r="Y82" s="492">
        <v>0</v>
      </c>
      <c r="Z82" s="492">
        <f t="shared" ref="Z82:Z87" si="125">SUM(W82:Y82)</f>
        <v>0</v>
      </c>
      <c r="AA82" s="492">
        <f t="shared" ref="AA82:AA87" si="126">V82+Z82</f>
        <v>0</v>
      </c>
      <c r="AB82" s="74">
        <f t="shared" ref="AB82:AB87" si="127">ROUND((V82+W82+X82)*33.8%,0)</f>
        <v>0</v>
      </c>
      <c r="AC82" s="74">
        <f t="shared" ref="AC82:AC87" si="128">ROUND(V82*2%,0)</f>
        <v>0</v>
      </c>
      <c r="AD82" s="492">
        <v>0</v>
      </c>
      <c r="AE82" s="492">
        <v>0</v>
      </c>
      <c r="AF82" s="492">
        <f t="shared" si="121"/>
        <v>0</v>
      </c>
      <c r="AG82" s="492">
        <f t="shared" si="122"/>
        <v>0</v>
      </c>
      <c r="AH82" s="493">
        <v>0</v>
      </c>
      <c r="AI82" s="493">
        <v>0</v>
      </c>
      <c r="AJ82" s="493">
        <v>0</v>
      </c>
      <c r="AK82" s="493">
        <v>0</v>
      </c>
      <c r="AL82" s="493">
        <v>0</v>
      </c>
      <c r="AM82" s="493">
        <v>0</v>
      </c>
      <c r="AN82" s="493">
        <v>0</v>
      </c>
      <c r="AO82" s="493">
        <f t="shared" ref="AO82:AO87" si="129">AH82+AJ82+AK82+AM82</f>
        <v>0</v>
      </c>
      <c r="AP82" s="493">
        <f t="shared" ref="AP82:AP87" si="130">AI82+AN82+AL82</f>
        <v>0</v>
      </c>
      <c r="AQ82" s="495">
        <f t="shared" si="123"/>
        <v>0</v>
      </c>
      <c r="AR82" s="501">
        <f t="shared" ref="AR82:AR87" si="131">I82+AG82</f>
        <v>1654984</v>
      </c>
      <c r="AS82" s="492">
        <f t="shared" ref="AS82:AS87" si="132">J82+V82</f>
        <v>1212065</v>
      </c>
      <c r="AT82" s="492">
        <f t="shared" ref="AT82:AT87" si="133">K82+Z82</f>
        <v>0</v>
      </c>
      <c r="AU82" s="492">
        <f t="shared" ref="AU82:AV87" si="134">L82+AB82</f>
        <v>409678</v>
      </c>
      <c r="AV82" s="492">
        <f t="shared" si="134"/>
        <v>24241</v>
      </c>
      <c r="AW82" s="492">
        <f t="shared" ref="AW82:AW87" si="135">N82+AF82</f>
        <v>9000</v>
      </c>
      <c r="AX82" s="493">
        <f t="shared" ref="AX82:AX87" si="136">O82+AQ82</f>
        <v>2.4609000000000001</v>
      </c>
      <c r="AY82" s="493">
        <f t="shared" ref="AY82:AZ87" si="137">P82+AO82</f>
        <v>2</v>
      </c>
      <c r="AZ82" s="495">
        <f t="shared" si="137"/>
        <v>0.46089999999999998</v>
      </c>
    </row>
    <row r="83" spans="1:52" ht="12.95" customHeight="1" x14ac:dyDescent="0.25">
      <c r="A83" s="313">
        <v>14</v>
      </c>
      <c r="B83" s="354">
        <v>5412</v>
      </c>
      <c r="C83" s="355">
        <v>600099130</v>
      </c>
      <c r="D83" s="314">
        <v>70698066</v>
      </c>
      <c r="E83" s="356" t="s">
        <v>397</v>
      </c>
      <c r="F83" s="314">
        <v>3117</v>
      </c>
      <c r="G83" s="356" t="s">
        <v>315</v>
      </c>
      <c r="H83" s="317" t="s">
        <v>278</v>
      </c>
      <c r="I83" s="494">
        <v>2517499</v>
      </c>
      <c r="J83" s="489">
        <v>1818570</v>
      </c>
      <c r="K83" s="489">
        <v>0</v>
      </c>
      <c r="L83" s="489">
        <v>614677</v>
      </c>
      <c r="M83" s="489">
        <v>36372</v>
      </c>
      <c r="N83" s="489">
        <v>47880</v>
      </c>
      <c r="O83" s="490">
        <v>3.4731000000000001</v>
      </c>
      <c r="P83" s="491">
        <v>2.2726999999999999</v>
      </c>
      <c r="Q83" s="500">
        <v>1.2004000000000001</v>
      </c>
      <c r="R83" s="502">
        <f t="shared" si="119"/>
        <v>0</v>
      </c>
      <c r="S83" s="492">
        <v>0</v>
      </c>
      <c r="T83" s="492">
        <v>0</v>
      </c>
      <c r="U83" s="492">
        <v>0</v>
      </c>
      <c r="V83" s="492">
        <f t="shared" si="120"/>
        <v>0</v>
      </c>
      <c r="W83" s="492">
        <v>0</v>
      </c>
      <c r="X83" s="492">
        <v>0</v>
      </c>
      <c r="Y83" s="492">
        <v>0</v>
      </c>
      <c r="Z83" s="492">
        <f t="shared" si="125"/>
        <v>0</v>
      </c>
      <c r="AA83" s="492">
        <f t="shared" si="126"/>
        <v>0</v>
      </c>
      <c r="AB83" s="74">
        <f t="shared" si="127"/>
        <v>0</v>
      </c>
      <c r="AC83" s="74">
        <f t="shared" si="128"/>
        <v>0</v>
      </c>
      <c r="AD83" s="492">
        <v>0</v>
      </c>
      <c r="AE83" s="492">
        <v>0</v>
      </c>
      <c r="AF83" s="492">
        <f t="shared" si="121"/>
        <v>0</v>
      </c>
      <c r="AG83" s="492">
        <f t="shared" si="122"/>
        <v>0</v>
      </c>
      <c r="AH83" s="493">
        <v>0</v>
      </c>
      <c r="AI83" s="493">
        <v>0</v>
      </c>
      <c r="AJ83" s="493">
        <v>0</v>
      </c>
      <c r="AK83" s="493">
        <v>0</v>
      </c>
      <c r="AL83" s="493">
        <v>0</v>
      </c>
      <c r="AM83" s="493">
        <v>0</v>
      </c>
      <c r="AN83" s="493">
        <v>0</v>
      </c>
      <c r="AO83" s="493">
        <f t="shared" si="129"/>
        <v>0</v>
      </c>
      <c r="AP83" s="493">
        <f t="shared" si="130"/>
        <v>0</v>
      </c>
      <c r="AQ83" s="495">
        <f t="shared" si="123"/>
        <v>0</v>
      </c>
      <c r="AR83" s="501">
        <f t="shared" si="131"/>
        <v>2517499</v>
      </c>
      <c r="AS83" s="492">
        <f t="shared" si="132"/>
        <v>1818570</v>
      </c>
      <c r="AT83" s="492">
        <f t="shared" si="133"/>
        <v>0</v>
      </c>
      <c r="AU83" s="492">
        <f t="shared" si="134"/>
        <v>614677</v>
      </c>
      <c r="AV83" s="492">
        <f t="shared" si="134"/>
        <v>36372</v>
      </c>
      <c r="AW83" s="492">
        <f t="shared" si="135"/>
        <v>47880</v>
      </c>
      <c r="AX83" s="493">
        <f t="shared" si="136"/>
        <v>3.4731000000000001</v>
      </c>
      <c r="AY83" s="493">
        <f t="shared" si="137"/>
        <v>2.2726999999999999</v>
      </c>
      <c r="AZ83" s="495">
        <f t="shared" si="137"/>
        <v>1.2004000000000001</v>
      </c>
    </row>
    <row r="84" spans="1:52" ht="12.95" customHeight="1" x14ac:dyDescent="0.25">
      <c r="A84" s="313">
        <v>14</v>
      </c>
      <c r="B84" s="354">
        <v>5412</v>
      </c>
      <c r="C84" s="355">
        <v>600099130</v>
      </c>
      <c r="D84" s="314">
        <v>70698066</v>
      </c>
      <c r="E84" s="356" t="s">
        <v>397</v>
      </c>
      <c r="F84" s="314">
        <v>3117</v>
      </c>
      <c r="G84" s="356" t="s">
        <v>320</v>
      </c>
      <c r="H84" s="317" t="s">
        <v>279</v>
      </c>
      <c r="I84" s="494">
        <v>0</v>
      </c>
      <c r="J84" s="489">
        <v>0</v>
      </c>
      <c r="K84" s="489">
        <v>0</v>
      </c>
      <c r="L84" s="489">
        <v>0</v>
      </c>
      <c r="M84" s="489">
        <v>0</v>
      </c>
      <c r="N84" s="489">
        <v>0</v>
      </c>
      <c r="O84" s="490">
        <v>0</v>
      </c>
      <c r="P84" s="491">
        <v>0</v>
      </c>
      <c r="Q84" s="500">
        <v>0</v>
      </c>
      <c r="R84" s="502">
        <f t="shared" si="119"/>
        <v>0</v>
      </c>
      <c r="S84" s="492">
        <v>0</v>
      </c>
      <c r="T84" s="492">
        <v>0</v>
      </c>
      <c r="U84" s="492">
        <v>0</v>
      </c>
      <c r="V84" s="492">
        <f t="shared" si="120"/>
        <v>0</v>
      </c>
      <c r="W84" s="492">
        <v>0</v>
      </c>
      <c r="X84" s="492">
        <v>0</v>
      </c>
      <c r="Y84" s="492">
        <v>0</v>
      </c>
      <c r="Z84" s="492">
        <f t="shared" si="125"/>
        <v>0</v>
      </c>
      <c r="AA84" s="492">
        <f t="shared" si="126"/>
        <v>0</v>
      </c>
      <c r="AB84" s="74">
        <f t="shared" si="127"/>
        <v>0</v>
      </c>
      <c r="AC84" s="74">
        <f t="shared" si="128"/>
        <v>0</v>
      </c>
      <c r="AD84" s="492">
        <v>0</v>
      </c>
      <c r="AE84" s="492">
        <v>0</v>
      </c>
      <c r="AF84" s="492">
        <f t="shared" si="121"/>
        <v>0</v>
      </c>
      <c r="AG84" s="492">
        <f t="shared" si="122"/>
        <v>0</v>
      </c>
      <c r="AH84" s="493">
        <v>0</v>
      </c>
      <c r="AI84" s="493">
        <v>0</v>
      </c>
      <c r="AJ84" s="493">
        <v>0</v>
      </c>
      <c r="AK84" s="493">
        <v>0</v>
      </c>
      <c r="AL84" s="493">
        <v>0</v>
      </c>
      <c r="AM84" s="493">
        <v>0</v>
      </c>
      <c r="AN84" s="493">
        <v>0</v>
      </c>
      <c r="AO84" s="493">
        <f t="shared" si="129"/>
        <v>0</v>
      </c>
      <c r="AP84" s="493">
        <f t="shared" si="130"/>
        <v>0</v>
      </c>
      <c r="AQ84" s="495">
        <f t="shared" si="123"/>
        <v>0</v>
      </c>
      <c r="AR84" s="501">
        <f t="shared" si="131"/>
        <v>0</v>
      </c>
      <c r="AS84" s="492">
        <f t="shared" si="132"/>
        <v>0</v>
      </c>
      <c r="AT84" s="492">
        <f t="shared" si="133"/>
        <v>0</v>
      </c>
      <c r="AU84" s="492">
        <f t="shared" si="134"/>
        <v>0</v>
      </c>
      <c r="AV84" s="492">
        <f t="shared" si="134"/>
        <v>0</v>
      </c>
      <c r="AW84" s="492">
        <f t="shared" si="135"/>
        <v>0</v>
      </c>
      <c r="AX84" s="493">
        <f t="shared" si="136"/>
        <v>0</v>
      </c>
      <c r="AY84" s="493">
        <f t="shared" si="137"/>
        <v>0</v>
      </c>
      <c r="AZ84" s="495">
        <f t="shared" si="137"/>
        <v>0</v>
      </c>
    </row>
    <row r="85" spans="1:52" ht="12.95" customHeight="1" x14ac:dyDescent="0.25">
      <c r="A85" s="313">
        <v>14</v>
      </c>
      <c r="B85" s="354">
        <v>5412</v>
      </c>
      <c r="C85" s="355">
        <v>600099130</v>
      </c>
      <c r="D85" s="314">
        <v>70698066</v>
      </c>
      <c r="E85" s="356" t="s">
        <v>397</v>
      </c>
      <c r="F85" s="314">
        <v>3141</v>
      </c>
      <c r="G85" s="356" t="s">
        <v>316</v>
      </c>
      <c r="H85" s="317" t="s">
        <v>279</v>
      </c>
      <c r="I85" s="494">
        <v>677934</v>
      </c>
      <c r="J85" s="489">
        <v>497208</v>
      </c>
      <c r="K85" s="489">
        <v>0</v>
      </c>
      <c r="L85" s="489">
        <v>168056</v>
      </c>
      <c r="M85" s="489">
        <v>9944</v>
      </c>
      <c r="N85" s="489">
        <v>2726</v>
      </c>
      <c r="O85" s="490">
        <v>1.57</v>
      </c>
      <c r="P85" s="491">
        <v>0</v>
      </c>
      <c r="Q85" s="500">
        <v>1.57</v>
      </c>
      <c r="R85" s="502">
        <f t="shared" si="119"/>
        <v>0</v>
      </c>
      <c r="S85" s="492">
        <v>0</v>
      </c>
      <c r="T85" s="492">
        <v>0</v>
      </c>
      <c r="U85" s="492">
        <v>0</v>
      </c>
      <c r="V85" s="492">
        <f t="shared" si="120"/>
        <v>0</v>
      </c>
      <c r="W85" s="492">
        <v>0</v>
      </c>
      <c r="X85" s="492">
        <v>0</v>
      </c>
      <c r="Y85" s="492">
        <v>0</v>
      </c>
      <c r="Z85" s="492">
        <f t="shared" si="125"/>
        <v>0</v>
      </c>
      <c r="AA85" s="492">
        <f t="shared" si="126"/>
        <v>0</v>
      </c>
      <c r="AB85" s="74">
        <f t="shared" si="127"/>
        <v>0</v>
      </c>
      <c r="AC85" s="74">
        <f t="shared" si="128"/>
        <v>0</v>
      </c>
      <c r="AD85" s="492">
        <v>0</v>
      </c>
      <c r="AE85" s="492">
        <v>0</v>
      </c>
      <c r="AF85" s="492">
        <f t="shared" si="121"/>
        <v>0</v>
      </c>
      <c r="AG85" s="492">
        <f t="shared" si="122"/>
        <v>0</v>
      </c>
      <c r="AH85" s="493">
        <v>0</v>
      </c>
      <c r="AI85" s="493">
        <v>0</v>
      </c>
      <c r="AJ85" s="493">
        <v>0</v>
      </c>
      <c r="AK85" s="493">
        <v>0</v>
      </c>
      <c r="AL85" s="493">
        <v>0</v>
      </c>
      <c r="AM85" s="493">
        <v>0</v>
      </c>
      <c r="AN85" s="493">
        <v>0</v>
      </c>
      <c r="AO85" s="493">
        <f t="shared" si="129"/>
        <v>0</v>
      </c>
      <c r="AP85" s="493">
        <f t="shared" si="130"/>
        <v>0</v>
      </c>
      <c r="AQ85" s="495">
        <f t="shared" si="123"/>
        <v>0</v>
      </c>
      <c r="AR85" s="501">
        <f t="shared" si="131"/>
        <v>677934</v>
      </c>
      <c r="AS85" s="492">
        <f t="shared" si="132"/>
        <v>497208</v>
      </c>
      <c r="AT85" s="492">
        <f t="shared" si="133"/>
        <v>0</v>
      </c>
      <c r="AU85" s="492">
        <f t="shared" si="134"/>
        <v>168056</v>
      </c>
      <c r="AV85" s="492">
        <f t="shared" si="134"/>
        <v>9944</v>
      </c>
      <c r="AW85" s="492">
        <f t="shared" si="135"/>
        <v>2726</v>
      </c>
      <c r="AX85" s="493">
        <f t="shared" si="136"/>
        <v>1.57</v>
      </c>
      <c r="AY85" s="493">
        <f t="shared" si="137"/>
        <v>0</v>
      </c>
      <c r="AZ85" s="495">
        <f t="shared" si="137"/>
        <v>1.57</v>
      </c>
    </row>
    <row r="86" spans="1:52" ht="12.95" customHeight="1" x14ac:dyDescent="0.25">
      <c r="A86" s="313">
        <v>14</v>
      </c>
      <c r="B86" s="354">
        <v>5412</v>
      </c>
      <c r="C86" s="355">
        <v>600099130</v>
      </c>
      <c r="D86" s="314">
        <v>70698066</v>
      </c>
      <c r="E86" s="356" t="s">
        <v>397</v>
      </c>
      <c r="F86" s="314">
        <v>3143</v>
      </c>
      <c r="G86" s="356" t="s">
        <v>629</v>
      </c>
      <c r="H86" s="317" t="s">
        <v>278</v>
      </c>
      <c r="I86" s="494">
        <v>296169</v>
      </c>
      <c r="J86" s="489">
        <v>218092</v>
      </c>
      <c r="K86" s="489">
        <v>0</v>
      </c>
      <c r="L86" s="489">
        <v>73715</v>
      </c>
      <c r="M86" s="489">
        <v>4362</v>
      </c>
      <c r="N86" s="489">
        <v>0</v>
      </c>
      <c r="O86" s="490">
        <v>0.5</v>
      </c>
      <c r="P86" s="491">
        <v>0.5</v>
      </c>
      <c r="Q86" s="500">
        <v>0</v>
      </c>
      <c r="R86" s="502">
        <f t="shared" si="119"/>
        <v>0</v>
      </c>
      <c r="S86" s="492">
        <v>0</v>
      </c>
      <c r="T86" s="492">
        <v>0</v>
      </c>
      <c r="U86" s="492">
        <v>0</v>
      </c>
      <c r="V86" s="492">
        <f t="shared" si="120"/>
        <v>0</v>
      </c>
      <c r="W86" s="492">
        <v>0</v>
      </c>
      <c r="X86" s="492">
        <v>0</v>
      </c>
      <c r="Y86" s="492">
        <v>0</v>
      </c>
      <c r="Z86" s="492">
        <f t="shared" si="125"/>
        <v>0</v>
      </c>
      <c r="AA86" s="492">
        <f t="shared" si="126"/>
        <v>0</v>
      </c>
      <c r="AB86" s="74">
        <f t="shared" si="127"/>
        <v>0</v>
      </c>
      <c r="AC86" s="74">
        <f t="shared" si="128"/>
        <v>0</v>
      </c>
      <c r="AD86" s="492">
        <v>0</v>
      </c>
      <c r="AE86" s="492">
        <v>0</v>
      </c>
      <c r="AF86" s="492">
        <f t="shared" si="121"/>
        <v>0</v>
      </c>
      <c r="AG86" s="492">
        <f t="shared" si="122"/>
        <v>0</v>
      </c>
      <c r="AH86" s="493">
        <v>0</v>
      </c>
      <c r="AI86" s="493">
        <v>0</v>
      </c>
      <c r="AJ86" s="493">
        <v>0</v>
      </c>
      <c r="AK86" s="493">
        <v>0</v>
      </c>
      <c r="AL86" s="493">
        <v>0</v>
      </c>
      <c r="AM86" s="493">
        <v>0</v>
      </c>
      <c r="AN86" s="493">
        <v>0</v>
      </c>
      <c r="AO86" s="493">
        <f t="shared" si="129"/>
        <v>0</v>
      </c>
      <c r="AP86" s="493">
        <f t="shared" si="130"/>
        <v>0</v>
      </c>
      <c r="AQ86" s="495">
        <f t="shared" si="123"/>
        <v>0</v>
      </c>
      <c r="AR86" s="501">
        <f t="shared" si="131"/>
        <v>296169</v>
      </c>
      <c r="AS86" s="492">
        <f t="shared" si="132"/>
        <v>218092</v>
      </c>
      <c r="AT86" s="492">
        <f t="shared" si="133"/>
        <v>0</v>
      </c>
      <c r="AU86" s="492">
        <f t="shared" si="134"/>
        <v>73715</v>
      </c>
      <c r="AV86" s="492">
        <f t="shared" si="134"/>
        <v>4362</v>
      </c>
      <c r="AW86" s="492">
        <f t="shared" si="135"/>
        <v>0</v>
      </c>
      <c r="AX86" s="493">
        <f t="shared" si="136"/>
        <v>0.5</v>
      </c>
      <c r="AY86" s="493">
        <f t="shared" si="137"/>
        <v>0.5</v>
      </c>
      <c r="AZ86" s="495">
        <f t="shared" si="137"/>
        <v>0</v>
      </c>
    </row>
    <row r="87" spans="1:52" ht="12.95" customHeight="1" x14ac:dyDescent="0.25">
      <c r="A87" s="313">
        <v>14</v>
      </c>
      <c r="B87" s="354">
        <v>5412</v>
      </c>
      <c r="C87" s="355">
        <v>600099130</v>
      </c>
      <c r="D87" s="314">
        <v>70698066</v>
      </c>
      <c r="E87" s="356" t="s">
        <v>397</v>
      </c>
      <c r="F87" s="314">
        <v>3143</v>
      </c>
      <c r="G87" s="356" t="s">
        <v>630</v>
      </c>
      <c r="H87" s="317" t="s">
        <v>279</v>
      </c>
      <c r="I87" s="494">
        <v>7560</v>
      </c>
      <c r="J87" s="489">
        <v>5346</v>
      </c>
      <c r="K87" s="489">
        <v>0</v>
      </c>
      <c r="L87" s="489">
        <v>1807</v>
      </c>
      <c r="M87" s="489">
        <v>107</v>
      </c>
      <c r="N87" s="489">
        <v>300</v>
      </c>
      <c r="O87" s="490">
        <v>0.02</v>
      </c>
      <c r="P87" s="491">
        <v>0</v>
      </c>
      <c r="Q87" s="500">
        <v>0.02</v>
      </c>
      <c r="R87" s="502">
        <f t="shared" si="119"/>
        <v>0</v>
      </c>
      <c r="S87" s="492">
        <v>0</v>
      </c>
      <c r="T87" s="492">
        <v>0</v>
      </c>
      <c r="U87" s="492">
        <v>0</v>
      </c>
      <c r="V87" s="492">
        <f t="shared" si="120"/>
        <v>0</v>
      </c>
      <c r="W87" s="492">
        <v>0</v>
      </c>
      <c r="X87" s="492">
        <v>0</v>
      </c>
      <c r="Y87" s="492">
        <v>0</v>
      </c>
      <c r="Z87" s="492">
        <f t="shared" si="125"/>
        <v>0</v>
      </c>
      <c r="AA87" s="492">
        <f t="shared" si="126"/>
        <v>0</v>
      </c>
      <c r="AB87" s="74">
        <f t="shared" si="127"/>
        <v>0</v>
      </c>
      <c r="AC87" s="74">
        <f t="shared" si="128"/>
        <v>0</v>
      </c>
      <c r="AD87" s="492">
        <v>0</v>
      </c>
      <c r="AE87" s="492">
        <v>0</v>
      </c>
      <c r="AF87" s="492">
        <f t="shared" si="121"/>
        <v>0</v>
      </c>
      <c r="AG87" s="492">
        <f t="shared" si="122"/>
        <v>0</v>
      </c>
      <c r="AH87" s="493">
        <v>0</v>
      </c>
      <c r="AI87" s="493">
        <v>0</v>
      </c>
      <c r="AJ87" s="493">
        <v>0</v>
      </c>
      <c r="AK87" s="493">
        <v>0</v>
      </c>
      <c r="AL87" s="493">
        <v>0</v>
      </c>
      <c r="AM87" s="493">
        <v>0</v>
      </c>
      <c r="AN87" s="493">
        <v>0</v>
      </c>
      <c r="AO87" s="493">
        <f t="shared" si="129"/>
        <v>0</v>
      </c>
      <c r="AP87" s="493">
        <f t="shared" si="130"/>
        <v>0</v>
      </c>
      <c r="AQ87" s="495">
        <f t="shared" si="123"/>
        <v>0</v>
      </c>
      <c r="AR87" s="501">
        <f t="shared" si="131"/>
        <v>7560</v>
      </c>
      <c r="AS87" s="492">
        <f t="shared" si="132"/>
        <v>5346</v>
      </c>
      <c r="AT87" s="492">
        <f t="shared" si="133"/>
        <v>0</v>
      </c>
      <c r="AU87" s="492">
        <f t="shared" si="134"/>
        <v>1807</v>
      </c>
      <c r="AV87" s="492">
        <f t="shared" si="134"/>
        <v>107</v>
      </c>
      <c r="AW87" s="492">
        <f t="shared" si="135"/>
        <v>300</v>
      </c>
      <c r="AX87" s="493">
        <f t="shared" si="136"/>
        <v>0.02</v>
      </c>
      <c r="AY87" s="493">
        <f t="shared" si="137"/>
        <v>0</v>
      </c>
      <c r="AZ87" s="495">
        <f t="shared" si="137"/>
        <v>0.02</v>
      </c>
    </row>
    <row r="88" spans="1:52" ht="12.95" customHeight="1" x14ac:dyDescent="0.25">
      <c r="A88" s="357">
        <v>14</v>
      </c>
      <c r="B88" s="358">
        <v>5412</v>
      </c>
      <c r="C88" s="359">
        <v>600099130</v>
      </c>
      <c r="D88" s="358">
        <v>70698066</v>
      </c>
      <c r="E88" s="360" t="s">
        <v>398</v>
      </c>
      <c r="F88" s="324"/>
      <c r="G88" s="362"/>
      <c r="H88" s="325"/>
      <c r="I88" s="606">
        <v>5154146</v>
      </c>
      <c r="J88" s="602">
        <v>3751281</v>
      </c>
      <c r="K88" s="602">
        <v>0</v>
      </c>
      <c r="L88" s="602">
        <v>1267933</v>
      </c>
      <c r="M88" s="602">
        <v>75026</v>
      </c>
      <c r="N88" s="602">
        <v>59906</v>
      </c>
      <c r="O88" s="603">
        <v>8.0240000000000009</v>
      </c>
      <c r="P88" s="603">
        <v>4.7727000000000004</v>
      </c>
      <c r="Q88" s="608">
        <v>3.2513000000000001</v>
      </c>
      <c r="R88" s="606">
        <f t="shared" ref="R88:AZ88" si="138">SUM(R82:R87)</f>
        <v>0</v>
      </c>
      <c r="S88" s="602">
        <f t="shared" si="138"/>
        <v>0</v>
      </c>
      <c r="T88" s="602">
        <f t="shared" si="138"/>
        <v>0</v>
      </c>
      <c r="U88" s="602">
        <f t="shared" si="138"/>
        <v>0</v>
      </c>
      <c r="V88" s="602">
        <f t="shared" si="138"/>
        <v>0</v>
      </c>
      <c r="W88" s="602">
        <f t="shared" si="138"/>
        <v>0</v>
      </c>
      <c r="X88" s="602">
        <f t="shared" si="138"/>
        <v>0</v>
      </c>
      <c r="Y88" s="602">
        <f t="shared" si="138"/>
        <v>0</v>
      </c>
      <c r="Z88" s="602">
        <f t="shared" si="138"/>
        <v>0</v>
      </c>
      <c r="AA88" s="602">
        <f t="shared" si="138"/>
        <v>0</v>
      </c>
      <c r="AB88" s="602">
        <f t="shared" si="138"/>
        <v>0</v>
      </c>
      <c r="AC88" s="602">
        <f t="shared" si="138"/>
        <v>0</v>
      </c>
      <c r="AD88" s="602">
        <f t="shared" si="138"/>
        <v>0</v>
      </c>
      <c r="AE88" s="602">
        <f t="shared" si="138"/>
        <v>0</v>
      </c>
      <c r="AF88" s="602">
        <f t="shared" si="138"/>
        <v>0</v>
      </c>
      <c r="AG88" s="602">
        <f t="shared" si="138"/>
        <v>0</v>
      </c>
      <c r="AH88" s="603">
        <f t="shared" si="138"/>
        <v>0</v>
      </c>
      <c r="AI88" s="603">
        <f t="shared" si="138"/>
        <v>0</v>
      </c>
      <c r="AJ88" s="603">
        <f t="shared" si="138"/>
        <v>0</v>
      </c>
      <c r="AK88" s="603">
        <f t="shared" si="138"/>
        <v>0</v>
      </c>
      <c r="AL88" s="603">
        <f t="shared" si="138"/>
        <v>0</v>
      </c>
      <c r="AM88" s="603">
        <f t="shared" si="138"/>
        <v>0</v>
      </c>
      <c r="AN88" s="603">
        <f t="shared" si="138"/>
        <v>0</v>
      </c>
      <c r="AO88" s="603">
        <f t="shared" si="138"/>
        <v>0</v>
      </c>
      <c r="AP88" s="603">
        <f t="shared" si="138"/>
        <v>0</v>
      </c>
      <c r="AQ88" s="361">
        <f t="shared" si="138"/>
        <v>0</v>
      </c>
      <c r="AR88" s="610">
        <f t="shared" si="138"/>
        <v>5154146</v>
      </c>
      <c r="AS88" s="602">
        <f t="shared" si="138"/>
        <v>3751281</v>
      </c>
      <c r="AT88" s="602">
        <f t="shared" si="138"/>
        <v>0</v>
      </c>
      <c r="AU88" s="602">
        <f t="shared" si="138"/>
        <v>1267933</v>
      </c>
      <c r="AV88" s="602">
        <f t="shared" si="138"/>
        <v>75026</v>
      </c>
      <c r="AW88" s="602">
        <f t="shared" si="138"/>
        <v>59906</v>
      </c>
      <c r="AX88" s="603">
        <f t="shared" si="138"/>
        <v>8.0240000000000009</v>
      </c>
      <c r="AY88" s="603">
        <f t="shared" si="138"/>
        <v>4.7727000000000004</v>
      </c>
      <c r="AZ88" s="361">
        <f t="shared" si="138"/>
        <v>3.2513000000000001</v>
      </c>
    </row>
    <row r="89" spans="1:52" ht="12.95" customHeight="1" x14ac:dyDescent="0.25">
      <c r="A89" s="313">
        <v>15</v>
      </c>
      <c r="B89" s="354">
        <v>5418</v>
      </c>
      <c r="C89" s="355">
        <v>600098508</v>
      </c>
      <c r="D89" s="314">
        <v>70156573</v>
      </c>
      <c r="E89" s="356" t="s">
        <v>399</v>
      </c>
      <c r="F89" s="314">
        <v>3111</v>
      </c>
      <c r="G89" s="356" t="s">
        <v>326</v>
      </c>
      <c r="H89" s="317" t="s">
        <v>278</v>
      </c>
      <c r="I89" s="494">
        <v>4599912</v>
      </c>
      <c r="J89" s="489">
        <v>3367056</v>
      </c>
      <c r="K89" s="489">
        <v>0</v>
      </c>
      <c r="L89" s="489">
        <v>1138065</v>
      </c>
      <c r="M89" s="489">
        <v>67341</v>
      </c>
      <c r="N89" s="489">
        <v>27450</v>
      </c>
      <c r="O89" s="490">
        <v>7.7703000000000007</v>
      </c>
      <c r="P89" s="491">
        <v>5.7903000000000002</v>
      </c>
      <c r="Q89" s="500">
        <v>1.98</v>
      </c>
      <c r="R89" s="502">
        <f t="shared" si="119"/>
        <v>0</v>
      </c>
      <c r="S89" s="492">
        <v>0</v>
      </c>
      <c r="T89" s="492">
        <v>0</v>
      </c>
      <c r="U89" s="492">
        <v>0</v>
      </c>
      <c r="V89" s="492">
        <f t="shared" si="120"/>
        <v>0</v>
      </c>
      <c r="W89" s="492">
        <v>0</v>
      </c>
      <c r="X89" s="492">
        <v>0</v>
      </c>
      <c r="Y89" s="492">
        <v>0</v>
      </c>
      <c r="Z89" s="492">
        <f>SUM(W89:Y89)</f>
        <v>0</v>
      </c>
      <c r="AA89" s="492">
        <f>V89+Z89</f>
        <v>0</v>
      </c>
      <c r="AB89" s="74">
        <f>ROUND((V89+W89+X89)*33.8%,0)</f>
        <v>0</v>
      </c>
      <c r="AC89" s="74">
        <f>ROUND(V89*2%,0)</f>
        <v>0</v>
      </c>
      <c r="AD89" s="492">
        <v>0</v>
      </c>
      <c r="AE89" s="492">
        <v>0</v>
      </c>
      <c r="AF89" s="492">
        <f t="shared" si="121"/>
        <v>0</v>
      </c>
      <c r="AG89" s="492">
        <f t="shared" si="122"/>
        <v>0</v>
      </c>
      <c r="AH89" s="493">
        <v>0</v>
      </c>
      <c r="AI89" s="493">
        <v>0</v>
      </c>
      <c r="AJ89" s="493">
        <v>0</v>
      </c>
      <c r="AK89" s="493">
        <v>0</v>
      </c>
      <c r="AL89" s="493">
        <v>0</v>
      </c>
      <c r="AM89" s="493">
        <v>0</v>
      </c>
      <c r="AN89" s="493">
        <v>0</v>
      </c>
      <c r="AO89" s="493">
        <f t="shared" ref="AO89:AO91" si="139">AH89+AJ89+AK89+AM89</f>
        <v>0</v>
      </c>
      <c r="AP89" s="493">
        <f t="shared" ref="AP89:AP91" si="140">AI89+AN89+AL89</f>
        <v>0</v>
      </c>
      <c r="AQ89" s="495">
        <f t="shared" si="123"/>
        <v>0</v>
      </c>
      <c r="AR89" s="501">
        <f>I89+AG89</f>
        <v>4599912</v>
      </c>
      <c r="AS89" s="492">
        <f>J89+V89</f>
        <v>3367056</v>
      </c>
      <c r="AT89" s="492">
        <f t="shared" ref="AT89:AT91" si="141">K89+Z89</f>
        <v>0</v>
      </c>
      <c r="AU89" s="492">
        <f t="shared" ref="AU89:AV91" si="142">L89+AB89</f>
        <v>1138065</v>
      </c>
      <c r="AV89" s="492">
        <f t="shared" si="142"/>
        <v>67341</v>
      </c>
      <c r="AW89" s="492">
        <f>N89+AF89</f>
        <v>27450</v>
      </c>
      <c r="AX89" s="493">
        <f>O89+AQ89</f>
        <v>7.7703000000000007</v>
      </c>
      <c r="AY89" s="493">
        <f t="shared" ref="AY89:AZ91" si="143">P89+AO89</f>
        <v>5.7903000000000002</v>
      </c>
      <c r="AZ89" s="495">
        <f t="shared" si="143"/>
        <v>1.98</v>
      </c>
    </row>
    <row r="90" spans="1:52" ht="12.95" customHeight="1" x14ac:dyDescent="0.25">
      <c r="A90" s="313">
        <v>15</v>
      </c>
      <c r="B90" s="354">
        <v>5418</v>
      </c>
      <c r="C90" s="355">
        <v>600098508</v>
      </c>
      <c r="D90" s="314">
        <v>70156573</v>
      </c>
      <c r="E90" s="356" t="s">
        <v>399</v>
      </c>
      <c r="F90" s="314">
        <v>3111</v>
      </c>
      <c r="G90" s="356" t="s">
        <v>320</v>
      </c>
      <c r="H90" s="317" t="s">
        <v>279</v>
      </c>
      <c r="I90" s="494">
        <v>235235</v>
      </c>
      <c r="J90" s="489">
        <v>173222</v>
      </c>
      <c r="K90" s="489">
        <v>0</v>
      </c>
      <c r="L90" s="489">
        <v>58549</v>
      </c>
      <c r="M90" s="489">
        <v>3464</v>
      </c>
      <c r="N90" s="489">
        <v>0</v>
      </c>
      <c r="O90" s="490">
        <v>0.5</v>
      </c>
      <c r="P90" s="491">
        <v>0.5</v>
      </c>
      <c r="Q90" s="500">
        <v>0</v>
      </c>
      <c r="R90" s="502">
        <f t="shared" si="119"/>
        <v>0</v>
      </c>
      <c r="S90" s="492">
        <v>0</v>
      </c>
      <c r="T90" s="492">
        <v>0</v>
      </c>
      <c r="U90" s="492">
        <v>0</v>
      </c>
      <c r="V90" s="492">
        <f t="shared" si="120"/>
        <v>0</v>
      </c>
      <c r="W90" s="492">
        <v>0</v>
      </c>
      <c r="X90" s="492">
        <v>0</v>
      </c>
      <c r="Y90" s="492">
        <v>0</v>
      </c>
      <c r="Z90" s="492">
        <f>SUM(W90:Y90)</f>
        <v>0</v>
      </c>
      <c r="AA90" s="492">
        <f>V90+Z90</f>
        <v>0</v>
      </c>
      <c r="AB90" s="74">
        <f>ROUND((V90+W90+X90)*33.8%,0)</f>
        <v>0</v>
      </c>
      <c r="AC90" s="74">
        <f>ROUND(V90*2%,0)</f>
        <v>0</v>
      </c>
      <c r="AD90" s="492">
        <v>0</v>
      </c>
      <c r="AE90" s="492">
        <v>0</v>
      </c>
      <c r="AF90" s="492">
        <f t="shared" si="121"/>
        <v>0</v>
      </c>
      <c r="AG90" s="492">
        <f t="shared" si="122"/>
        <v>0</v>
      </c>
      <c r="AH90" s="493">
        <v>0</v>
      </c>
      <c r="AI90" s="493">
        <v>0</v>
      </c>
      <c r="AJ90" s="493">
        <v>0</v>
      </c>
      <c r="AK90" s="493">
        <v>0</v>
      </c>
      <c r="AL90" s="493">
        <v>0</v>
      </c>
      <c r="AM90" s="493">
        <v>0</v>
      </c>
      <c r="AN90" s="493">
        <v>0</v>
      </c>
      <c r="AO90" s="493">
        <f t="shared" si="139"/>
        <v>0</v>
      </c>
      <c r="AP90" s="493">
        <f t="shared" si="140"/>
        <v>0</v>
      </c>
      <c r="AQ90" s="495">
        <f t="shared" si="123"/>
        <v>0</v>
      </c>
      <c r="AR90" s="501">
        <f>I90+AG90</f>
        <v>235235</v>
      </c>
      <c r="AS90" s="492">
        <f>J90+V90</f>
        <v>173222</v>
      </c>
      <c r="AT90" s="492">
        <f t="shared" si="141"/>
        <v>0</v>
      </c>
      <c r="AU90" s="492">
        <f t="shared" si="142"/>
        <v>58549</v>
      </c>
      <c r="AV90" s="492">
        <f t="shared" si="142"/>
        <v>3464</v>
      </c>
      <c r="AW90" s="492">
        <f>N90+AF90</f>
        <v>0</v>
      </c>
      <c r="AX90" s="493">
        <f>O90+AQ90</f>
        <v>0.5</v>
      </c>
      <c r="AY90" s="493">
        <f t="shared" si="143"/>
        <v>0.5</v>
      </c>
      <c r="AZ90" s="495">
        <f t="shared" si="143"/>
        <v>0</v>
      </c>
    </row>
    <row r="91" spans="1:52" ht="12.95" customHeight="1" x14ac:dyDescent="0.25">
      <c r="A91" s="313">
        <v>15</v>
      </c>
      <c r="B91" s="354">
        <v>5418</v>
      </c>
      <c r="C91" s="355">
        <v>600098508</v>
      </c>
      <c r="D91" s="314">
        <v>70156573</v>
      </c>
      <c r="E91" s="356" t="s">
        <v>399</v>
      </c>
      <c r="F91" s="314">
        <v>3141</v>
      </c>
      <c r="G91" s="356" t="s">
        <v>316</v>
      </c>
      <c r="H91" s="317" t="s">
        <v>279</v>
      </c>
      <c r="I91" s="494">
        <v>742799</v>
      </c>
      <c r="J91" s="489">
        <v>544588</v>
      </c>
      <c r="K91" s="489">
        <v>0</v>
      </c>
      <c r="L91" s="489">
        <v>184071</v>
      </c>
      <c r="M91" s="489">
        <v>10892</v>
      </c>
      <c r="N91" s="489">
        <v>3248</v>
      </c>
      <c r="O91" s="490">
        <v>1.72</v>
      </c>
      <c r="P91" s="491">
        <v>0</v>
      </c>
      <c r="Q91" s="500">
        <v>1.72</v>
      </c>
      <c r="R91" s="502">
        <f t="shared" si="119"/>
        <v>0</v>
      </c>
      <c r="S91" s="492">
        <v>0</v>
      </c>
      <c r="T91" s="492">
        <v>0</v>
      </c>
      <c r="U91" s="492">
        <v>0</v>
      </c>
      <c r="V91" s="492">
        <f t="shared" si="120"/>
        <v>0</v>
      </c>
      <c r="W91" s="492">
        <v>0</v>
      </c>
      <c r="X91" s="492">
        <v>0</v>
      </c>
      <c r="Y91" s="492">
        <v>0</v>
      </c>
      <c r="Z91" s="492">
        <f>SUM(W91:Y91)</f>
        <v>0</v>
      </c>
      <c r="AA91" s="492">
        <f>V91+Z91</f>
        <v>0</v>
      </c>
      <c r="AB91" s="74">
        <f>ROUND((V91+W91+X91)*33.8%,0)</f>
        <v>0</v>
      </c>
      <c r="AC91" s="74">
        <f>ROUND(V91*2%,0)</f>
        <v>0</v>
      </c>
      <c r="AD91" s="492">
        <v>0</v>
      </c>
      <c r="AE91" s="492">
        <v>0</v>
      </c>
      <c r="AF91" s="492">
        <f t="shared" si="121"/>
        <v>0</v>
      </c>
      <c r="AG91" s="492">
        <f t="shared" si="122"/>
        <v>0</v>
      </c>
      <c r="AH91" s="493">
        <v>0</v>
      </c>
      <c r="AI91" s="493">
        <v>0</v>
      </c>
      <c r="AJ91" s="493">
        <v>0</v>
      </c>
      <c r="AK91" s="493">
        <v>0</v>
      </c>
      <c r="AL91" s="493">
        <v>0</v>
      </c>
      <c r="AM91" s="493">
        <v>0</v>
      </c>
      <c r="AN91" s="493">
        <v>0</v>
      </c>
      <c r="AO91" s="493">
        <f t="shared" si="139"/>
        <v>0</v>
      </c>
      <c r="AP91" s="493">
        <f t="shared" si="140"/>
        <v>0</v>
      </c>
      <c r="AQ91" s="495">
        <f t="shared" si="123"/>
        <v>0</v>
      </c>
      <c r="AR91" s="501">
        <f>I91+AG91</f>
        <v>742799</v>
      </c>
      <c r="AS91" s="492">
        <f>J91+V91</f>
        <v>544588</v>
      </c>
      <c r="AT91" s="492">
        <f t="shared" si="141"/>
        <v>0</v>
      </c>
      <c r="AU91" s="492">
        <f t="shared" si="142"/>
        <v>184071</v>
      </c>
      <c r="AV91" s="492">
        <f t="shared" si="142"/>
        <v>10892</v>
      </c>
      <c r="AW91" s="492">
        <f>N91+AF91</f>
        <v>3248</v>
      </c>
      <c r="AX91" s="493">
        <f>O91+AQ91</f>
        <v>1.72</v>
      </c>
      <c r="AY91" s="493">
        <f t="shared" si="143"/>
        <v>0</v>
      </c>
      <c r="AZ91" s="495">
        <f t="shared" si="143"/>
        <v>1.72</v>
      </c>
    </row>
    <row r="92" spans="1:52" ht="12.95" customHeight="1" x14ac:dyDescent="0.25">
      <c r="A92" s="357">
        <v>15</v>
      </c>
      <c r="B92" s="358">
        <v>5418</v>
      </c>
      <c r="C92" s="359">
        <v>600098508</v>
      </c>
      <c r="D92" s="358">
        <v>70156573</v>
      </c>
      <c r="E92" s="360" t="s">
        <v>400</v>
      </c>
      <c r="F92" s="324"/>
      <c r="G92" s="362"/>
      <c r="H92" s="325"/>
      <c r="I92" s="606">
        <v>5577946</v>
      </c>
      <c r="J92" s="602">
        <v>4084866</v>
      </c>
      <c r="K92" s="602">
        <v>0</v>
      </c>
      <c r="L92" s="602">
        <v>1380685</v>
      </c>
      <c r="M92" s="602">
        <v>81697</v>
      </c>
      <c r="N92" s="602">
        <v>30698</v>
      </c>
      <c r="O92" s="603">
        <v>9.9903000000000013</v>
      </c>
      <c r="P92" s="603">
        <v>6.2903000000000002</v>
      </c>
      <c r="Q92" s="608">
        <v>3.7</v>
      </c>
      <c r="R92" s="606">
        <f t="shared" ref="R92:AZ92" si="144">SUM(R89:R91)</f>
        <v>0</v>
      </c>
      <c r="S92" s="602">
        <f t="shared" si="144"/>
        <v>0</v>
      </c>
      <c r="T92" s="602">
        <f t="shared" si="144"/>
        <v>0</v>
      </c>
      <c r="U92" s="602">
        <f t="shared" si="144"/>
        <v>0</v>
      </c>
      <c r="V92" s="602">
        <f t="shared" si="144"/>
        <v>0</v>
      </c>
      <c r="W92" s="602">
        <f t="shared" si="144"/>
        <v>0</v>
      </c>
      <c r="X92" s="602">
        <f t="shared" si="144"/>
        <v>0</v>
      </c>
      <c r="Y92" s="602">
        <f t="shared" si="144"/>
        <v>0</v>
      </c>
      <c r="Z92" s="602">
        <f t="shared" si="144"/>
        <v>0</v>
      </c>
      <c r="AA92" s="602">
        <f t="shared" si="144"/>
        <v>0</v>
      </c>
      <c r="AB92" s="602">
        <f t="shared" si="144"/>
        <v>0</v>
      </c>
      <c r="AC92" s="602">
        <f t="shared" si="144"/>
        <v>0</v>
      </c>
      <c r="AD92" s="602">
        <f t="shared" si="144"/>
        <v>0</v>
      </c>
      <c r="AE92" s="602">
        <f t="shared" si="144"/>
        <v>0</v>
      </c>
      <c r="AF92" s="602">
        <f t="shared" si="144"/>
        <v>0</v>
      </c>
      <c r="AG92" s="602">
        <f t="shared" si="144"/>
        <v>0</v>
      </c>
      <c r="AH92" s="603">
        <f t="shared" si="144"/>
        <v>0</v>
      </c>
      <c r="AI92" s="603">
        <f t="shared" si="144"/>
        <v>0</v>
      </c>
      <c r="AJ92" s="603">
        <f t="shared" si="144"/>
        <v>0</v>
      </c>
      <c r="AK92" s="603">
        <f t="shared" si="144"/>
        <v>0</v>
      </c>
      <c r="AL92" s="603">
        <f t="shared" si="144"/>
        <v>0</v>
      </c>
      <c r="AM92" s="603">
        <f t="shared" si="144"/>
        <v>0</v>
      </c>
      <c r="AN92" s="603">
        <f t="shared" si="144"/>
        <v>0</v>
      </c>
      <c r="AO92" s="603">
        <f t="shared" si="144"/>
        <v>0</v>
      </c>
      <c r="AP92" s="603">
        <f t="shared" si="144"/>
        <v>0</v>
      </c>
      <c r="AQ92" s="361">
        <f t="shared" si="144"/>
        <v>0</v>
      </c>
      <c r="AR92" s="610">
        <f t="shared" si="144"/>
        <v>5577946</v>
      </c>
      <c r="AS92" s="602">
        <f t="shared" si="144"/>
        <v>4084866</v>
      </c>
      <c r="AT92" s="602">
        <f t="shared" si="144"/>
        <v>0</v>
      </c>
      <c r="AU92" s="602">
        <f t="shared" si="144"/>
        <v>1380685</v>
      </c>
      <c r="AV92" s="602">
        <f t="shared" si="144"/>
        <v>81697</v>
      </c>
      <c r="AW92" s="602">
        <f t="shared" si="144"/>
        <v>30698</v>
      </c>
      <c r="AX92" s="603">
        <f t="shared" si="144"/>
        <v>9.9903000000000013</v>
      </c>
      <c r="AY92" s="603">
        <f t="shared" si="144"/>
        <v>6.2903000000000002</v>
      </c>
      <c r="AZ92" s="361">
        <f t="shared" si="144"/>
        <v>3.7</v>
      </c>
    </row>
    <row r="93" spans="1:52" ht="12.95" customHeight="1" x14ac:dyDescent="0.25">
      <c r="A93" s="313">
        <v>16</v>
      </c>
      <c r="B93" s="354">
        <v>5417</v>
      </c>
      <c r="C93" s="355">
        <v>600099113</v>
      </c>
      <c r="D93" s="314">
        <v>70156565</v>
      </c>
      <c r="E93" s="356" t="s">
        <v>401</v>
      </c>
      <c r="F93" s="314">
        <v>3117</v>
      </c>
      <c r="G93" s="356" t="s">
        <v>315</v>
      </c>
      <c r="H93" s="317" t="s">
        <v>278</v>
      </c>
      <c r="I93" s="494">
        <v>5703506</v>
      </c>
      <c r="J93" s="489">
        <v>4099553</v>
      </c>
      <c r="K93" s="489">
        <v>16250</v>
      </c>
      <c r="L93" s="489">
        <v>1391142</v>
      </c>
      <c r="M93" s="489">
        <v>81991</v>
      </c>
      <c r="N93" s="489">
        <v>114570</v>
      </c>
      <c r="O93" s="490">
        <v>7.8111999999999995</v>
      </c>
      <c r="P93" s="491">
        <v>5.7725999999999997</v>
      </c>
      <c r="Q93" s="500">
        <v>2.0385999999999997</v>
      </c>
      <c r="R93" s="502">
        <f t="shared" si="119"/>
        <v>0</v>
      </c>
      <c r="S93" s="492">
        <v>0</v>
      </c>
      <c r="T93" s="492">
        <v>0</v>
      </c>
      <c r="U93" s="492">
        <v>0</v>
      </c>
      <c r="V93" s="492">
        <f t="shared" si="120"/>
        <v>0</v>
      </c>
      <c r="W93" s="713">
        <v>0</v>
      </c>
      <c r="X93" s="492">
        <v>0</v>
      </c>
      <c r="Y93" s="492">
        <v>0</v>
      </c>
      <c r="Z93" s="492">
        <f>SUM(W93:Y93)</f>
        <v>0</v>
      </c>
      <c r="AA93" s="492">
        <f>V93+Z93</f>
        <v>0</v>
      </c>
      <c r="AB93" s="74">
        <f>ROUND((V93+W93+X93)*33.8%,0)</f>
        <v>0</v>
      </c>
      <c r="AC93" s="74">
        <f>ROUND(V93*2%,0)</f>
        <v>0</v>
      </c>
      <c r="AD93" s="492">
        <v>0</v>
      </c>
      <c r="AE93" s="492">
        <v>0</v>
      </c>
      <c r="AF93" s="492">
        <f t="shared" si="121"/>
        <v>0</v>
      </c>
      <c r="AG93" s="492">
        <f t="shared" si="122"/>
        <v>0</v>
      </c>
      <c r="AH93" s="493">
        <v>0</v>
      </c>
      <c r="AI93" s="493">
        <v>0</v>
      </c>
      <c r="AJ93" s="493">
        <v>0</v>
      </c>
      <c r="AK93" s="493">
        <v>0</v>
      </c>
      <c r="AL93" s="493">
        <v>0</v>
      </c>
      <c r="AM93" s="493">
        <v>0</v>
      </c>
      <c r="AN93" s="493">
        <v>0</v>
      </c>
      <c r="AO93" s="493">
        <f t="shared" ref="AO93:AO97" si="145">AH93+AJ93+AK93+AM93</f>
        <v>0</v>
      </c>
      <c r="AP93" s="493">
        <f t="shared" ref="AP93:AP97" si="146">AI93+AN93+AL93</f>
        <v>0</v>
      </c>
      <c r="AQ93" s="495">
        <f t="shared" si="123"/>
        <v>0</v>
      </c>
      <c r="AR93" s="501">
        <f>I93+AG93</f>
        <v>5703506</v>
      </c>
      <c r="AS93" s="492">
        <f>J93+V93</f>
        <v>4099553</v>
      </c>
      <c r="AT93" s="492">
        <f t="shared" ref="AT93:AT97" si="147">K93+Z93</f>
        <v>16250</v>
      </c>
      <c r="AU93" s="492">
        <f t="shared" ref="AU93:AV97" si="148">L93+AB93</f>
        <v>1391142</v>
      </c>
      <c r="AV93" s="492">
        <f t="shared" si="148"/>
        <v>81991</v>
      </c>
      <c r="AW93" s="492">
        <f>N93+AF93</f>
        <v>114570</v>
      </c>
      <c r="AX93" s="493">
        <f>O93+AQ93</f>
        <v>7.8111999999999995</v>
      </c>
      <c r="AY93" s="493">
        <f t="shared" ref="AY93:AZ97" si="149">P93+AO93</f>
        <v>5.7725999999999997</v>
      </c>
      <c r="AZ93" s="495">
        <f t="shared" si="149"/>
        <v>2.0385999999999997</v>
      </c>
    </row>
    <row r="94" spans="1:52" ht="12.95" customHeight="1" x14ac:dyDescent="0.25">
      <c r="A94" s="313">
        <v>16</v>
      </c>
      <c r="B94" s="354">
        <v>5417</v>
      </c>
      <c r="C94" s="355">
        <v>600099113</v>
      </c>
      <c r="D94" s="314">
        <v>70156565</v>
      </c>
      <c r="E94" s="356" t="s">
        <v>401</v>
      </c>
      <c r="F94" s="314">
        <v>3117</v>
      </c>
      <c r="G94" s="356" t="s">
        <v>320</v>
      </c>
      <c r="H94" s="317" t="s">
        <v>279</v>
      </c>
      <c r="I94" s="494">
        <v>0</v>
      </c>
      <c r="J94" s="489">
        <v>0</v>
      </c>
      <c r="K94" s="489">
        <v>0</v>
      </c>
      <c r="L94" s="489">
        <v>0</v>
      </c>
      <c r="M94" s="489">
        <v>0</v>
      </c>
      <c r="N94" s="489">
        <v>0</v>
      </c>
      <c r="O94" s="490">
        <v>0</v>
      </c>
      <c r="P94" s="491">
        <v>0</v>
      </c>
      <c r="Q94" s="500">
        <v>0</v>
      </c>
      <c r="R94" s="502">
        <f t="shared" si="119"/>
        <v>0</v>
      </c>
      <c r="S94" s="492">
        <v>0</v>
      </c>
      <c r="T94" s="492">
        <v>0</v>
      </c>
      <c r="U94" s="492">
        <v>0</v>
      </c>
      <c r="V94" s="492">
        <f t="shared" si="120"/>
        <v>0</v>
      </c>
      <c r="W94" s="713">
        <v>0</v>
      </c>
      <c r="X94" s="492">
        <v>0</v>
      </c>
      <c r="Y94" s="492">
        <v>0</v>
      </c>
      <c r="Z94" s="492">
        <f>SUM(W94:Y94)</f>
        <v>0</v>
      </c>
      <c r="AA94" s="492">
        <f>V94+Z94</f>
        <v>0</v>
      </c>
      <c r="AB94" s="74">
        <f>ROUND((V94+W94+X94)*33.8%,0)</f>
        <v>0</v>
      </c>
      <c r="AC94" s="74">
        <f>ROUND(V94*2%,0)</f>
        <v>0</v>
      </c>
      <c r="AD94" s="492">
        <v>0</v>
      </c>
      <c r="AE94" s="492">
        <v>0</v>
      </c>
      <c r="AF94" s="492">
        <f t="shared" si="121"/>
        <v>0</v>
      </c>
      <c r="AG94" s="492">
        <f t="shared" si="122"/>
        <v>0</v>
      </c>
      <c r="AH94" s="493">
        <v>0</v>
      </c>
      <c r="AI94" s="493">
        <v>0</v>
      </c>
      <c r="AJ94" s="493">
        <v>0</v>
      </c>
      <c r="AK94" s="493">
        <v>0</v>
      </c>
      <c r="AL94" s="493">
        <v>0</v>
      </c>
      <c r="AM94" s="493">
        <v>0</v>
      </c>
      <c r="AN94" s="493">
        <v>0</v>
      </c>
      <c r="AO94" s="493">
        <f t="shared" si="145"/>
        <v>0</v>
      </c>
      <c r="AP94" s="493">
        <f t="shared" si="146"/>
        <v>0</v>
      </c>
      <c r="AQ94" s="495">
        <f t="shared" si="123"/>
        <v>0</v>
      </c>
      <c r="AR94" s="501">
        <f>I94+AG94</f>
        <v>0</v>
      </c>
      <c r="AS94" s="492">
        <f>J94+V94</f>
        <v>0</v>
      </c>
      <c r="AT94" s="492">
        <f t="shared" si="147"/>
        <v>0</v>
      </c>
      <c r="AU94" s="492">
        <f t="shared" si="148"/>
        <v>0</v>
      </c>
      <c r="AV94" s="492">
        <f t="shared" si="148"/>
        <v>0</v>
      </c>
      <c r="AW94" s="492">
        <f>N94+AF94</f>
        <v>0</v>
      </c>
      <c r="AX94" s="493">
        <f>O94+AQ94</f>
        <v>0</v>
      </c>
      <c r="AY94" s="493">
        <f t="shared" si="149"/>
        <v>0</v>
      </c>
      <c r="AZ94" s="495">
        <f t="shared" si="149"/>
        <v>0</v>
      </c>
    </row>
    <row r="95" spans="1:52" ht="12.95" customHeight="1" x14ac:dyDescent="0.25">
      <c r="A95" s="313">
        <v>16</v>
      </c>
      <c r="B95" s="354">
        <v>5417</v>
      </c>
      <c r="C95" s="355">
        <v>600099113</v>
      </c>
      <c r="D95" s="314">
        <v>70156565</v>
      </c>
      <c r="E95" s="356" t="s">
        <v>401</v>
      </c>
      <c r="F95" s="314">
        <v>3141</v>
      </c>
      <c r="G95" s="356" t="s">
        <v>316</v>
      </c>
      <c r="H95" s="317" t="s">
        <v>279</v>
      </c>
      <c r="I95" s="494">
        <v>651674</v>
      </c>
      <c r="J95" s="489">
        <v>432186</v>
      </c>
      <c r="K95" s="489">
        <v>45500</v>
      </c>
      <c r="L95" s="489">
        <v>161458</v>
      </c>
      <c r="M95" s="489">
        <v>8644</v>
      </c>
      <c r="N95" s="489">
        <v>3886</v>
      </c>
      <c r="O95" s="490">
        <v>1.3599999999999999</v>
      </c>
      <c r="P95" s="491">
        <v>0</v>
      </c>
      <c r="Q95" s="500">
        <v>1.3599999999999999</v>
      </c>
      <c r="R95" s="502">
        <f t="shared" si="119"/>
        <v>0</v>
      </c>
      <c r="S95" s="492">
        <v>0</v>
      </c>
      <c r="T95" s="492">
        <v>0</v>
      </c>
      <c r="U95" s="492">
        <v>0</v>
      </c>
      <c r="V95" s="492">
        <f t="shared" si="120"/>
        <v>0</v>
      </c>
      <c r="W95" s="713">
        <v>0</v>
      </c>
      <c r="X95" s="492">
        <v>0</v>
      </c>
      <c r="Y95" s="492">
        <v>0</v>
      </c>
      <c r="Z95" s="492">
        <f>SUM(W95:Y95)</f>
        <v>0</v>
      </c>
      <c r="AA95" s="492">
        <f>V95+Z95</f>
        <v>0</v>
      </c>
      <c r="AB95" s="74">
        <f>ROUND((V95+W95+X95)*33.8%,0)</f>
        <v>0</v>
      </c>
      <c r="AC95" s="74">
        <f>ROUND(V95*2%,0)</f>
        <v>0</v>
      </c>
      <c r="AD95" s="492">
        <v>0</v>
      </c>
      <c r="AE95" s="492">
        <v>0</v>
      </c>
      <c r="AF95" s="492">
        <f t="shared" si="121"/>
        <v>0</v>
      </c>
      <c r="AG95" s="492">
        <f t="shared" si="122"/>
        <v>0</v>
      </c>
      <c r="AH95" s="493">
        <v>0</v>
      </c>
      <c r="AI95" s="493">
        <v>0</v>
      </c>
      <c r="AJ95" s="493">
        <v>0</v>
      </c>
      <c r="AK95" s="493">
        <v>0</v>
      </c>
      <c r="AL95" s="493">
        <v>0</v>
      </c>
      <c r="AM95" s="493">
        <v>0</v>
      </c>
      <c r="AN95" s="493">
        <v>0</v>
      </c>
      <c r="AO95" s="493">
        <f t="shared" si="145"/>
        <v>0</v>
      </c>
      <c r="AP95" s="493">
        <f t="shared" si="146"/>
        <v>0</v>
      </c>
      <c r="AQ95" s="495">
        <f t="shared" si="123"/>
        <v>0</v>
      </c>
      <c r="AR95" s="501">
        <f>I95+AG95</f>
        <v>651674</v>
      </c>
      <c r="AS95" s="492">
        <f>J95+V95</f>
        <v>432186</v>
      </c>
      <c r="AT95" s="492">
        <f t="shared" si="147"/>
        <v>45500</v>
      </c>
      <c r="AU95" s="492">
        <f t="shared" si="148"/>
        <v>161458</v>
      </c>
      <c r="AV95" s="492">
        <f t="shared" si="148"/>
        <v>8644</v>
      </c>
      <c r="AW95" s="492">
        <f>N95+AF95</f>
        <v>3886</v>
      </c>
      <c r="AX95" s="493">
        <f>O95+AQ95</f>
        <v>1.3599999999999999</v>
      </c>
      <c r="AY95" s="493">
        <f t="shared" si="149"/>
        <v>0</v>
      </c>
      <c r="AZ95" s="495">
        <f t="shared" si="149"/>
        <v>1.3599999999999999</v>
      </c>
    </row>
    <row r="96" spans="1:52" ht="12.95" customHeight="1" x14ac:dyDescent="0.25">
      <c r="A96" s="313">
        <v>16</v>
      </c>
      <c r="B96" s="354">
        <v>5417</v>
      </c>
      <c r="C96" s="355">
        <v>600099113</v>
      </c>
      <c r="D96" s="314">
        <v>70156565</v>
      </c>
      <c r="E96" s="356" t="s">
        <v>401</v>
      </c>
      <c r="F96" s="314">
        <v>3143</v>
      </c>
      <c r="G96" s="356" t="s">
        <v>629</v>
      </c>
      <c r="H96" s="317" t="s">
        <v>278</v>
      </c>
      <c r="I96" s="494">
        <v>478631</v>
      </c>
      <c r="J96" s="489">
        <v>352453</v>
      </c>
      <c r="K96" s="489">
        <v>0</v>
      </c>
      <c r="L96" s="489">
        <v>119129</v>
      </c>
      <c r="M96" s="489">
        <v>7049</v>
      </c>
      <c r="N96" s="489">
        <v>0</v>
      </c>
      <c r="O96" s="490">
        <v>0.71419999999999995</v>
      </c>
      <c r="P96" s="491">
        <v>0.71419999999999995</v>
      </c>
      <c r="Q96" s="500">
        <v>0</v>
      </c>
      <c r="R96" s="502">
        <f t="shared" si="119"/>
        <v>0</v>
      </c>
      <c r="S96" s="492">
        <v>0</v>
      </c>
      <c r="T96" s="492">
        <v>0</v>
      </c>
      <c r="U96" s="492">
        <v>0</v>
      </c>
      <c r="V96" s="492">
        <f t="shared" si="120"/>
        <v>0</v>
      </c>
      <c r="W96" s="713">
        <v>0</v>
      </c>
      <c r="X96" s="492">
        <v>0</v>
      </c>
      <c r="Y96" s="492">
        <v>0</v>
      </c>
      <c r="Z96" s="492">
        <f>SUM(W96:Y96)</f>
        <v>0</v>
      </c>
      <c r="AA96" s="492">
        <f>V96+Z96</f>
        <v>0</v>
      </c>
      <c r="AB96" s="74">
        <f>ROUND((V96+W96+X96)*33.8%,0)</f>
        <v>0</v>
      </c>
      <c r="AC96" s="74">
        <f>ROUND(V96*2%,0)</f>
        <v>0</v>
      </c>
      <c r="AD96" s="492">
        <v>0</v>
      </c>
      <c r="AE96" s="492">
        <v>0</v>
      </c>
      <c r="AF96" s="492">
        <f t="shared" si="121"/>
        <v>0</v>
      </c>
      <c r="AG96" s="492">
        <f t="shared" si="122"/>
        <v>0</v>
      </c>
      <c r="AH96" s="493">
        <v>0</v>
      </c>
      <c r="AI96" s="493">
        <v>0</v>
      </c>
      <c r="AJ96" s="493">
        <v>0</v>
      </c>
      <c r="AK96" s="493">
        <v>0</v>
      </c>
      <c r="AL96" s="493">
        <v>0</v>
      </c>
      <c r="AM96" s="493">
        <v>0</v>
      </c>
      <c r="AN96" s="493">
        <v>0</v>
      </c>
      <c r="AO96" s="493">
        <f t="shared" si="145"/>
        <v>0</v>
      </c>
      <c r="AP96" s="493">
        <f t="shared" si="146"/>
        <v>0</v>
      </c>
      <c r="AQ96" s="495">
        <f t="shared" si="123"/>
        <v>0</v>
      </c>
      <c r="AR96" s="501">
        <f>I96+AG96</f>
        <v>478631</v>
      </c>
      <c r="AS96" s="492">
        <f>J96+V96</f>
        <v>352453</v>
      </c>
      <c r="AT96" s="492">
        <f t="shared" si="147"/>
        <v>0</v>
      </c>
      <c r="AU96" s="492">
        <f t="shared" si="148"/>
        <v>119129</v>
      </c>
      <c r="AV96" s="492">
        <f t="shared" si="148"/>
        <v>7049</v>
      </c>
      <c r="AW96" s="492">
        <f>N96+AF96</f>
        <v>0</v>
      </c>
      <c r="AX96" s="493">
        <f>O96+AQ96</f>
        <v>0.71419999999999995</v>
      </c>
      <c r="AY96" s="493">
        <f t="shared" si="149"/>
        <v>0.71419999999999995</v>
      </c>
      <c r="AZ96" s="495">
        <f t="shared" si="149"/>
        <v>0</v>
      </c>
    </row>
    <row r="97" spans="1:52" ht="12.95" customHeight="1" x14ac:dyDescent="0.25">
      <c r="A97" s="313">
        <v>16</v>
      </c>
      <c r="B97" s="354">
        <v>5417</v>
      </c>
      <c r="C97" s="355">
        <v>600099113</v>
      </c>
      <c r="D97" s="314">
        <v>70156565</v>
      </c>
      <c r="E97" s="356" t="s">
        <v>401</v>
      </c>
      <c r="F97" s="314">
        <v>3143</v>
      </c>
      <c r="G97" s="356" t="s">
        <v>630</v>
      </c>
      <c r="H97" s="317" t="s">
        <v>279</v>
      </c>
      <c r="I97" s="494">
        <v>22680</v>
      </c>
      <c r="J97" s="489">
        <v>16038</v>
      </c>
      <c r="K97" s="489">
        <v>0</v>
      </c>
      <c r="L97" s="489">
        <v>5421</v>
      </c>
      <c r="M97" s="489">
        <v>321</v>
      </c>
      <c r="N97" s="489">
        <v>900</v>
      </c>
      <c r="O97" s="490">
        <v>0.06</v>
      </c>
      <c r="P97" s="491">
        <v>0</v>
      </c>
      <c r="Q97" s="500">
        <v>0.06</v>
      </c>
      <c r="R97" s="502">
        <f t="shared" si="119"/>
        <v>0</v>
      </c>
      <c r="S97" s="492">
        <v>0</v>
      </c>
      <c r="T97" s="492">
        <v>0</v>
      </c>
      <c r="U97" s="492">
        <v>0</v>
      </c>
      <c r="V97" s="492">
        <f t="shared" si="120"/>
        <v>0</v>
      </c>
      <c r="W97" s="713">
        <v>0</v>
      </c>
      <c r="X97" s="492">
        <v>0</v>
      </c>
      <c r="Y97" s="492">
        <v>0</v>
      </c>
      <c r="Z97" s="492">
        <f>SUM(W97:Y97)</f>
        <v>0</v>
      </c>
      <c r="AA97" s="492">
        <f>V97+Z97</f>
        <v>0</v>
      </c>
      <c r="AB97" s="74">
        <f>ROUND((V97+W97+X97)*33.8%,0)</f>
        <v>0</v>
      </c>
      <c r="AC97" s="74">
        <f>ROUND(V97*2%,0)</f>
        <v>0</v>
      </c>
      <c r="AD97" s="492">
        <v>0</v>
      </c>
      <c r="AE97" s="492">
        <v>0</v>
      </c>
      <c r="AF97" s="492">
        <f t="shared" si="121"/>
        <v>0</v>
      </c>
      <c r="AG97" s="492">
        <f t="shared" si="122"/>
        <v>0</v>
      </c>
      <c r="AH97" s="493">
        <v>0</v>
      </c>
      <c r="AI97" s="493">
        <v>0</v>
      </c>
      <c r="AJ97" s="493">
        <v>0</v>
      </c>
      <c r="AK97" s="493">
        <v>0</v>
      </c>
      <c r="AL97" s="493">
        <v>0</v>
      </c>
      <c r="AM97" s="493">
        <v>0</v>
      </c>
      <c r="AN97" s="493">
        <v>0</v>
      </c>
      <c r="AO97" s="493">
        <f t="shared" si="145"/>
        <v>0</v>
      </c>
      <c r="AP97" s="493">
        <f t="shared" si="146"/>
        <v>0</v>
      </c>
      <c r="AQ97" s="495">
        <f t="shared" si="123"/>
        <v>0</v>
      </c>
      <c r="AR97" s="501">
        <f>I97+AG97</f>
        <v>22680</v>
      </c>
      <c r="AS97" s="492">
        <f>J97+V97</f>
        <v>16038</v>
      </c>
      <c r="AT97" s="492">
        <f t="shared" si="147"/>
        <v>0</v>
      </c>
      <c r="AU97" s="492">
        <f t="shared" si="148"/>
        <v>5421</v>
      </c>
      <c r="AV97" s="492">
        <f t="shared" si="148"/>
        <v>321</v>
      </c>
      <c r="AW97" s="492">
        <f>N97+AF97</f>
        <v>900</v>
      </c>
      <c r="AX97" s="493">
        <f>O97+AQ97</f>
        <v>0.06</v>
      </c>
      <c r="AY97" s="493">
        <f t="shared" si="149"/>
        <v>0</v>
      </c>
      <c r="AZ97" s="495">
        <f t="shared" si="149"/>
        <v>0.06</v>
      </c>
    </row>
    <row r="98" spans="1:52" ht="12.95" customHeight="1" x14ac:dyDescent="0.25">
      <c r="A98" s="357">
        <v>16</v>
      </c>
      <c r="B98" s="358">
        <v>5417</v>
      </c>
      <c r="C98" s="359">
        <v>600099113</v>
      </c>
      <c r="D98" s="358">
        <v>70156565</v>
      </c>
      <c r="E98" s="360" t="s">
        <v>402</v>
      </c>
      <c r="F98" s="324"/>
      <c r="G98" s="362"/>
      <c r="H98" s="325"/>
      <c r="I98" s="607">
        <v>6856491</v>
      </c>
      <c r="J98" s="604">
        <v>4900230</v>
      </c>
      <c r="K98" s="604">
        <v>61750</v>
      </c>
      <c r="L98" s="604">
        <v>1677150</v>
      </c>
      <c r="M98" s="604">
        <v>98005</v>
      </c>
      <c r="N98" s="604">
        <v>119356</v>
      </c>
      <c r="O98" s="605">
        <v>9.9453999999999994</v>
      </c>
      <c r="P98" s="605">
        <v>6.4867999999999997</v>
      </c>
      <c r="Q98" s="609">
        <v>3.4585999999999997</v>
      </c>
      <c r="R98" s="607">
        <f t="shared" ref="R98:AZ98" si="150">SUM(R93:R97)</f>
        <v>0</v>
      </c>
      <c r="S98" s="604">
        <f t="shared" si="150"/>
        <v>0</v>
      </c>
      <c r="T98" s="604">
        <f t="shared" si="150"/>
        <v>0</v>
      </c>
      <c r="U98" s="604">
        <f t="shared" si="150"/>
        <v>0</v>
      </c>
      <c r="V98" s="604">
        <f t="shared" si="150"/>
        <v>0</v>
      </c>
      <c r="W98" s="604">
        <f t="shared" si="150"/>
        <v>0</v>
      </c>
      <c r="X98" s="604">
        <f t="shared" si="150"/>
        <v>0</v>
      </c>
      <c r="Y98" s="604">
        <f t="shared" si="150"/>
        <v>0</v>
      </c>
      <c r="Z98" s="604">
        <f t="shared" si="150"/>
        <v>0</v>
      </c>
      <c r="AA98" s="604">
        <f t="shared" si="150"/>
        <v>0</v>
      </c>
      <c r="AB98" s="604">
        <f t="shared" si="150"/>
        <v>0</v>
      </c>
      <c r="AC98" s="604">
        <f t="shared" si="150"/>
        <v>0</v>
      </c>
      <c r="AD98" s="604">
        <f t="shared" si="150"/>
        <v>0</v>
      </c>
      <c r="AE98" s="604">
        <f t="shared" si="150"/>
        <v>0</v>
      </c>
      <c r="AF98" s="604">
        <f t="shared" si="150"/>
        <v>0</v>
      </c>
      <c r="AG98" s="604">
        <f t="shared" si="150"/>
        <v>0</v>
      </c>
      <c r="AH98" s="605">
        <f t="shared" si="150"/>
        <v>0</v>
      </c>
      <c r="AI98" s="605">
        <f t="shared" si="150"/>
        <v>0</v>
      </c>
      <c r="AJ98" s="605">
        <f t="shared" si="150"/>
        <v>0</v>
      </c>
      <c r="AK98" s="605">
        <f t="shared" si="150"/>
        <v>0</v>
      </c>
      <c r="AL98" s="605">
        <f t="shared" si="150"/>
        <v>0</v>
      </c>
      <c r="AM98" s="605">
        <f t="shared" si="150"/>
        <v>0</v>
      </c>
      <c r="AN98" s="605">
        <f t="shared" si="150"/>
        <v>0</v>
      </c>
      <c r="AO98" s="605">
        <f t="shared" si="150"/>
        <v>0</v>
      </c>
      <c r="AP98" s="605">
        <f t="shared" si="150"/>
        <v>0</v>
      </c>
      <c r="AQ98" s="366">
        <f t="shared" si="150"/>
        <v>0</v>
      </c>
      <c r="AR98" s="611">
        <f t="shared" si="150"/>
        <v>6856491</v>
      </c>
      <c r="AS98" s="604">
        <f t="shared" si="150"/>
        <v>4900230</v>
      </c>
      <c r="AT98" s="604">
        <f t="shared" si="150"/>
        <v>61750</v>
      </c>
      <c r="AU98" s="604">
        <f t="shared" si="150"/>
        <v>1677150</v>
      </c>
      <c r="AV98" s="604">
        <f t="shared" si="150"/>
        <v>98005</v>
      </c>
      <c r="AW98" s="604">
        <f t="shared" si="150"/>
        <v>119356</v>
      </c>
      <c r="AX98" s="605">
        <f t="shared" si="150"/>
        <v>9.9453999999999994</v>
      </c>
      <c r="AY98" s="605">
        <f t="shared" si="150"/>
        <v>6.4867999999999997</v>
      </c>
      <c r="AZ98" s="366">
        <f t="shared" si="150"/>
        <v>3.4585999999999997</v>
      </c>
    </row>
    <row r="99" spans="1:52" ht="12.95" customHeight="1" x14ac:dyDescent="0.25">
      <c r="A99" s="313">
        <v>17</v>
      </c>
      <c r="B99" s="354">
        <v>5420</v>
      </c>
      <c r="C99" s="355">
        <v>600098745</v>
      </c>
      <c r="D99" s="314">
        <v>75016249</v>
      </c>
      <c r="E99" s="356" t="s">
        <v>403</v>
      </c>
      <c r="F99" s="314">
        <v>3111</v>
      </c>
      <c r="G99" s="356" t="s">
        <v>326</v>
      </c>
      <c r="H99" s="317" t="s">
        <v>278</v>
      </c>
      <c r="I99" s="494">
        <v>3411585</v>
      </c>
      <c r="J99" s="489">
        <v>2498958</v>
      </c>
      <c r="K99" s="489">
        <v>0</v>
      </c>
      <c r="L99" s="489">
        <v>844648</v>
      </c>
      <c r="M99" s="489">
        <v>49979</v>
      </c>
      <c r="N99" s="489">
        <v>18000</v>
      </c>
      <c r="O99" s="490">
        <v>5.4544999999999995</v>
      </c>
      <c r="P99" s="491">
        <v>4.0644999999999998</v>
      </c>
      <c r="Q99" s="500">
        <v>1.39</v>
      </c>
      <c r="R99" s="502">
        <f t="shared" si="119"/>
        <v>0</v>
      </c>
      <c r="S99" s="492">
        <v>0</v>
      </c>
      <c r="T99" s="492">
        <v>0</v>
      </c>
      <c r="U99" s="492">
        <v>0</v>
      </c>
      <c r="V99" s="492">
        <f t="shared" si="120"/>
        <v>0</v>
      </c>
      <c r="W99" s="492">
        <v>0</v>
      </c>
      <c r="X99" s="492">
        <v>0</v>
      </c>
      <c r="Y99" s="492">
        <v>0</v>
      </c>
      <c r="Z99" s="492">
        <f>SUM(W99:Y99)</f>
        <v>0</v>
      </c>
      <c r="AA99" s="492">
        <f>V99+Z99</f>
        <v>0</v>
      </c>
      <c r="AB99" s="74">
        <f>ROUND((V99+W99+X99)*33.8%,0)</f>
        <v>0</v>
      </c>
      <c r="AC99" s="74">
        <f>ROUND(V99*2%,0)</f>
        <v>0</v>
      </c>
      <c r="AD99" s="492">
        <v>0</v>
      </c>
      <c r="AE99" s="492">
        <v>0</v>
      </c>
      <c r="AF99" s="492">
        <f t="shared" si="121"/>
        <v>0</v>
      </c>
      <c r="AG99" s="492">
        <f t="shared" si="122"/>
        <v>0</v>
      </c>
      <c r="AH99" s="493">
        <v>0</v>
      </c>
      <c r="AI99" s="493">
        <v>0</v>
      </c>
      <c r="AJ99" s="493">
        <v>0</v>
      </c>
      <c r="AK99" s="493">
        <v>0</v>
      </c>
      <c r="AL99" s="493">
        <v>0</v>
      </c>
      <c r="AM99" s="493">
        <v>0</v>
      </c>
      <c r="AN99" s="493">
        <v>0</v>
      </c>
      <c r="AO99" s="493">
        <f t="shared" ref="AO99:AO101" si="151">AH99+AJ99+AK99+AM99</f>
        <v>0</v>
      </c>
      <c r="AP99" s="493">
        <f t="shared" ref="AP99:AP101" si="152">AI99+AN99+AL99</f>
        <v>0</v>
      </c>
      <c r="AQ99" s="495">
        <f t="shared" si="123"/>
        <v>0</v>
      </c>
      <c r="AR99" s="501">
        <f>I99+AG99</f>
        <v>3411585</v>
      </c>
      <c r="AS99" s="492">
        <f>J99+V99</f>
        <v>2498958</v>
      </c>
      <c r="AT99" s="492">
        <f t="shared" ref="AT99:AT101" si="153">K99+Z99</f>
        <v>0</v>
      </c>
      <c r="AU99" s="492">
        <f t="shared" ref="AU99:AV101" si="154">L99+AB99</f>
        <v>844648</v>
      </c>
      <c r="AV99" s="492">
        <f t="shared" si="154"/>
        <v>49979</v>
      </c>
      <c r="AW99" s="492">
        <f>N99+AF99</f>
        <v>18000</v>
      </c>
      <c r="AX99" s="493">
        <f>O99+AQ99</f>
        <v>5.4544999999999995</v>
      </c>
      <c r="AY99" s="493">
        <f t="shared" ref="AY99:AZ101" si="155">P99+AO99</f>
        <v>4.0644999999999998</v>
      </c>
      <c r="AZ99" s="495">
        <f t="shared" si="155"/>
        <v>1.39</v>
      </c>
    </row>
    <row r="100" spans="1:52" ht="12.95" customHeight="1" x14ac:dyDescent="0.25">
      <c r="A100" s="313">
        <v>17</v>
      </c>
      <c r="B100" s="354">
        <v>5420</v>
      </c>
      <c r="C100" s="355">
        <v>600098745</v>
      </c>
      <c r="D100" s="314">
        <v>75016249</v>
      </c>
      <c r="E100" s="356" t="s">
        <v>403</v>
      </c>
      <c r="F100" s="314">
        <v>3111</v>
      </c>
      <c r="G100" s="356" t="s">
        <v>320</v>
      </c>
      <c r="H100" s="317" t="s">
        <v>279</v>
      </c>
      <c r="I100" s="494">
        <v>352854</v>
      </c>
      <c r="J100" s="489">
        <v>259833</v>
      </c>
      <c r="K100" s="489">
        <v>0</v>
      </c>
      <c r="L100" s="489">
        <v>87824</v>
      </c>
      <c r="M100" s="489">
        <v>5197</v>
      </c>
      <c r="N100" s="489">
        <v>0</v>
      </c>
      <c r="O100" s="490">
        <v>0.75</v>
      </c>
      <c r="P100" s="491">
        <v>0.75</v>
      </c>
      <c r="Q100" s="500">
        <v>0</v>
      </c>
      <c r="R100" s="502">
        <f t="shared" si="119"/>
        <v>0</v>
      </c>
      <c r="S100" s="492">
        <v>0</v>
      </c>
      <c r="T100" s="492">
        <v>0</v>
      </c>
      <c r="U100" s="492">
        <v>0</v>
      </c>
      <c r="V100" s="492">
        <f t="shared" si="120"/>
        <v>0</v>
      </c>
      <c r="W100" s="492">
        <v>0</v>
      </c>
      <c r="X100" s="492">
        <v>0</v>
      </c>
      <c r="Y100" s="492">
        <v>0</v>
      </c>
      <c r="Z100" s="492">
        <f>SUM(W100:Y100)</f>
        <v>0</v>
      </c>
      <c r="AA100" s="492">
        <f>V100+Z100</f>
        <v>0</v>
      </c>
      <c r="AB100" s="74">
        <f>ROUND((V100+W100+X100)*33.8%,0)</f>
        <v>0</v>
      </c>
      <c r="AC100" s="74">
        <f>ROUND(V100*2%,0)</f>
        <v>0</v>
      </c>
      <c r="AD100" s="492">
        <v>0</v>
      </c>
      <c r="AE100" s="492">
        <v>0</v>
      </c>
      <c r="AF100" s="492">
        <f t="shared" si="121"/>
        <v>0</v>
      </c>
      <c r="AG100" s="492">
        <f t="shared" si="122"/>
        <v>0</v>
      </c>
      <c r="AH100" s="493">
        <v>0</v>
      </c>
      <c r="AI100" s="493">
        <v>0</v>
      </c>
      <c r="AJ100" s="493">
        <v>0</v>
      </c>
      <c r="AK100" s="493">
        <v>0</v>
      </c>
      <c r="AL100" s="493">
        <v>0</v>
      </c>
      <c r="AM100" s="493">
        <v>0</v>
      </c>
      <c r="AN100" s="493">
        <v>0</v>
      </c>
      <c r="AO100" s="493">
        <f t="shared" si="151"/>
        <v>0</v>
      </c>
      <c r="AP100" s="493">
        <f t="shared" si="152"/>
        <v>0</v>
      </c>
      <c r="AQ100" s="495">
        <f t="shared" si="123"/>
        <v>0</v>
      </c>
      <c r="AR100" s="501">
        <f>I100+AG100</f>
        <v>352854</v>
      </c>
      <c r="AS100" s="492">
        <f>J100+V100</f>
        <v>259833</v>
      </c>
      <c r="AT100" s="492">
        <f t="shared" si="153"/>
        <v>0</v>
      </c>
      <c r="AU100" s="492">
        <f t="shared" si="154"/>
        <v>87824</v>
      </c>
      <c r="AV100" s="492">
        <f t="shared" si="154"/>
        <v>5197</v>
      </c>
      <c r="AW100" s="492">
        <f>N100+AF100</f>
        <v>0</v>
      </c>
      <c r="AX100" s="493">
        <f>O100+AQ100</f>
        <v>0.75</v>
      </c>
      <c r="AY100" s="493">
        <f t="shared" si="155"/>
        <v>0.75</v>
      </c>
      <c r="AZ100" s="495">
        <f t="shared" si="155"/>
        <v>0</v>
      </c>
    </row>
    <row r="101" spans="1:52" ht="12.95" customHeight="1" x14ac:dyDescent="0.25">
      <c r="A101" s="313">
        <v>17</v>
      </c>
      <c r="B101" s="354">
        <v>5420</v>
      </c>
      <c r="C101" s="355">
        <v>600098745</v>
      </c>
      <c r="D101" s="314">
        <v>75016249</v>
      </c>
      <c r="E101" s="356" t="s">
        <v>403</v>
      </c>
      <c r="F101" s="314">
        <v>3141</v>
      </c>
      <c r="G101" s="356" t="s">
        <v>316</v>
      </c>
      <c r="H101" s="317" t="s">
        <v>279</v>
      </c>
      <c r="I101" s="494">
        <v>589210</v>
      </c>
      <c r="J101" s="489">
        <v>432173</v>
      </c>
      <c r="K101" s="489">
        <v>0</v>
      </c>
      <c r="L101" s="489">
        <v>146074</v>
      </c>
      <c r="M101" s="489">
        <v>8643</v>
      </c>
      <c r="N101" s="489">
        <v>2320</v>
      </c>
      <c r="O101" s="490">
        <v>1.36</v>
      </c>
      <c r="P101" s="491">
        <v>0</v>
      </c>
      <c r="Q101" s="500">
        <v>1.36</v>
      </c>
      <c r="R101" s="502">
        <f t="shared" si="119"/>
        <v>0</v>
      </c>
      <c r="S101" s="492">
        <v>0</v>
      </c>
      <c r="T101" s="492">
        <v>0</v>
      </c>
      <c r="U101" s="492">
        <v>0</v>
      </c>
      <c r="V101" s="492">
        <f t="shared" si="120"/>
        <v>0</v>
      </c>
      <c r="W101" s="492">
        <v>0</v>
      </c>
      <c r="X101" s="492">
        <v>0</v>
      </c>
      <c r="Y101" s="492">
        <v>0</v>
      </c>
      <c r="Z101" s="492">
        <f>SUM(W101:Y101)</f>
        <v>0</v>
      </c>
      <c r="AA101" s="492">
        <f>V101+Z101</f>
        <v>0</v>
      </c>
      <c r="AB101" s="74">
        <f>ROUND((V101+W101+X101)*33.8%,0)</f>
        <v>0</v>
      </c>
      <c r="AC101" s="74">
        <f>ROUND(V101*2%,0)</f>
        <v>0</v>
      </c>
      <c r="AD101" s="492">
        <v>0</v>
      </c>
      <c r="AE101" s="492">
        <v>0</v>
      </c>
      <c r="AF101" s="492">
        <f t="shared" si="121"/>
        <v>0</v>
      </c>
      <c r="AG101" s="492">
        <f t="shared" si="122"/>
        <v>0</v>
      </c>
      <c r="AH101" s="493">
        <v>0</v>
      </c>
      <c r="AI101" s="493">
        <v>0</v>
      </c>
      <c r="AJ101" s="493">
        <v>0</v>
      </c>
      <c r="AK101" s="493">
        <v>0</v>
      </c>
      <c r="AL101" s="493">
        <v>0</v>
      </c>
      <c r="AM101" s="493">
        <v>0</v>
      </c>
      <c r="AN101" s="493">
        <v>0</v>
      </c>
      <c r="AO101" s="493">
        <f t="shared" si="151"/>
        <v>0</v>
      </c>
      <c r="AP101" s="493">
        <f t="shared" si="152"/>
        <v>0</v>
      </c>
      <c r="AQ101" s="495">
        <f t="shared" si="123"/>
        <v>0</v>
      </c>
      <c r="AR101" s="501">
        <f>I101+AG101</f>
        <v>589210</v>
      </c>
      <c r="AS101" s="492">
        <f>J101+V101</f>
        <v>432173</v>
      </c>
      <c r="AT101" s="492">
        <f t="shared" si="153"/>
        <v>0</v>
      </c>
      <c r="AU101" s="492">
        <f t="shared" si="154"/>
        <v>146074</v>
      </c>
      <c r="AV101" s="492">
        <f t="shared" si="154"/>
        <v>8643</v>
      </c>
      <c r="AW101" s="492">
        <f>N101+AF101</f>
        <v>2320</v>
      </c>
      <c r="AX101" s="493">
        <f>O101+AQ101</f>
        <v>1.36</v>
      </c>
      <c r="AY101" s="493">
        <f t="shared" si="155"/>
        <v>0</v>
      </c>
      <c r="AZ101" s="495">
        <f t="shared" si="155"/>
        <v>1.36</v>
      </c>
    </row>
    <row r="102" spans="1:52" ht="12.95" customHeight="1" x14ac:dyDescent="0.25">
      <c r="A102" s="357">
        <v>17</v>
      </c>
      <c r="B102" s="358">
        <v>5420</v>
      </c>
      <c r="C102" s="359">
        <v>600098745</v>
      </c>
      <c r="D102" s="358">
        <v>75016249</v>
      </c>
      <c r="E102" s="360" t="s">
        <v>404</v>
      </c>
      <c r="F102" s="324"/>
      <c r="G102" s="362"/>
      <c r="H102" s="325"/>
      <c r="I102" s="606">
        <v>4353649</v>
      </c>
      <c r="J102" s="602">
        <v>3190964</v>
      </c>
      <c r="K102" s="602">
        <v>0</v>
      </c>
      <c r="L102" s="602">
        <v>1078546</v>
      </c>
      <c r="M102" s="602">
        <v>63819</v>
      </c>
      <c r="N102" s="602">
        <v>20320</v>
      </c>
      <c r="O102" s="603">
        <v>7.5644999999999998</v>
      </c>
      <c r="P102" s="603">
        <v>4.8144999999999998</v>
      </c>
      <c r="Q102" s="608">
        <v>2.75</v>
      </c>
      <c r="R102" s="606">
        <f t="shared" ref="R102:AZ102" si="156">SUM(R99:R101)</f>
        <v>0</v>
      </c>
      <c r="S102" s="602">
        <f t="shared" si="156"/>
        <v>0</v>
      </c>
      <c r="T102" s="602">
        <f t="shared" si="156"/>
        <v>0</v>
      </c>
      <c r="U102" s="602">
        <f t="shared" si="156"/>
        <v>0</v>
      </c>
      <c r="V102" s="602">
        <f t="shared" si="156"/>
        <v>0</v>
      </c>
      <c r="W102" s="602">
        <f t="shared" si="156"/>
        <v>0</v>
      </c>
      <c r="X102" s="602">
        <f t="shared" si="156"/>
        <v>0</v>
      </c>
      <c r="Y102" s="602">
        <f t="shared" si="156"/>
        <v>0</v>
      </c>
      <c r="Z102" s="602">
        <f t="shared" si="156"/>
        <v>0</v>
      </c>
      <c r="AA102" s="602">
        <f t="shared" si="156"/>
        <v>0</v>
      </c>
      <c r="AB102" s="602">
        <f t="shared" si="156"/>
        <v>0</v>
      </c>
      <c r="AC102" s="602">
        <f t="shared" si="156"/>
        <v>0</v>
      </c>
      <c r="AD102" s="602">
        <f t="shared" si="156"/>
        <v>0</v>
      </c>
      <c r="AE102" s="602">
        <f t="shared" si="156"/>
        <v>0</v>
      </c>
      <c r="AF102" s="602">
        <f t="shared" si="156"/>
        <v>0</v>
      </c>
      <c r="AG102" s="602">
        <f t="shared" si="156"/>
        <v>0</v>
      </c>
      <c r="AH102" s="603">
        <f t="shared" si="156"/>
        <v>0</v>
      </c>
      <c r="AI102" s="603">
        <f t="shared" si="156"/>
        <v>0</v>
      </c>
      <c r="AJ102" s="603">
        <f t="shared" si="156"/>
        <v>0</v>
      </c>
      <c r="AK102" s="603">
        <f t="shared" si="156"/>
        <v>0</v>
      </c>
      <c r="AL102" s="603">
        <f t="shared" si="156"/>
        <v>0</v>
      </c>
      <c r="AM102" s="603">
        <f t="shared" si="156"/>
        <v>0</v>
      </c>
      <c r="AN102" s="603">
        <f t="shared" si="156"/>
        <v>0</v>
      </c>
      <c r="AO102" s="603">
        <f t="shared" si="156"/>
        <v>0</v>
      </c>
      <c r="AP102" s="603">
        <f t="shared" si="156"/>
        <v>0</v>
      </c>
      <c r="AQ102" s="361">
        <f t="shared" si="156"/>
        <v>0</v>
      </c>
      <c r="AR102" s="610">
        <f t="shared" si="156"/>
        <v>4353649</v>
      </c>
      <c r="AS102" s="602">
        <f t="shared" si="156"/>
        <v>3190964</v>
      </c>
      <c r="AT102" s="602">
        <f t="shared" si="156"/>
        <v>0</v>
      </c>
      <c r="AU102" s="602">
        <f t="shared" si="156"/>
        <v>1078546</v>
      </c>
      <c r="AV102" s="602">
        <f t="shared" si="156"/>
        <v>63819</v>
      </c>
      <c r="AW102" s="602">
        <f t="shared" si="156"/>
        <v>20320</v>
      </c>
      <c r="AX102" s="603">
        <f t="shared" si="156"/>
        <v>7.5644999999999998</v>
      </c>
      <c r="AY102" s="603">
        <f t="shared" si="156"/>
        <v>4.8144999999999998</v>
      </c>
      <c r="AZ102" s="361">
        <f t="shared" si="156"/>
        <v>2.75</v>
      </c>
    </row>
    <row r="103" spans="1:52" ht="12.95" customHeight="1" x14ac:dyDescent="0.25">
      <c r="A103" s="313">
        <v>18</v>
      </c>
      <c r="B103" s="354">
        <v>5419</v>
      </c>
      <c r="C103" s="355">
        <v>600099261</v>
      </c>
      <c r="D103" s="314">
        <v>70946752</v>
      </c>
      <c r="E103" s="356" t="s">
        <v>405</v>
      </c>
      <c r="F103" s="314">
        <v>3113</v>
      </c>
      <c r="G103" s="356" t="s">
        <v>330</v>
      </c>
      <c r="H103" s="317" t="s">
        <v>278</v>
      </c>
      <c r="I103" s="494">
        <v>13996931</v>
      </c>
      <c r="J103" s="489">
        <v>10109931</v>
      </c>
      <c r="K103" s="489">
        <v>13000</v>
      </c>
      <c r="L103" s="489">
        <v>3421551</v>
      </c>
      <c r="M103" s="489">
        <v>202199</v>
      </c>
      <c r="N103" s="489">
        <v>250250</v>
      </c>
      <c r="O103" s="490">
        <v>19.802699999999998</v>
      </c>
      <c r="P103" s="491">
        <v>14.8851</v>
      </c>
      <c r="Q103" s="500">
        <v>4.9176000000000002</v>
      </c>
      <c r="R103" s="502">
        <f t="shared" si="119"/>
        <v>0</v>
      </c>
      <c r="S103" s="492">
        <v>0</v>
      </c>
      <c r="T103" s="492">
        <v>0</v>
      </c>
      <c r="U103" s="492">
        <v>0</v>
      </c>
      <c r="V103" s="492">
        <f t="shared" si="120"/>
        <v>0</v>
      </c>
      <c r="W103" s="713">
        <v>0</v>
      </c>
      <c r="X103" s="492">
        <v>0</v>
      </c>
      <c r="Y103" s="492">
        <v>0</v>
      </c>
      <c r="Z103" s="492">
        <f>SUM(W103:Y103)</f>
        <v>0</v>
      </c>
      <c r="AA103" s="492">
        <f>V103+Z103</f>
        <v>0</v>
      </c>
      <c r="AB103" s="74">
        <f>ROUND((V103+W103+X103)*33.8%,0)</f>
        <v>0</v>
      </c>
      <c r="AC103" s="74">
        <f>ROUND(V103*2%,0)</f>
        <v>0</v>
      </c>
      <c r="AD103" s="492">
        <v>0</v>
      </c>
      <c r="AE103" s="492">
        <v>0</v>
      </c>
      <c r="AF103" s="492">
        <f t="shared" si="121"/>
        <v>0</v>
      </c>
      <c r="AG103" s="492">
        <f t="shared" si="122"/>
        <v>0</v>
      </c>
      <c r="AH103" s="493">
        <v>0</v>
      </c>
      <c r="AI103" s="493">
        <v>0</v>
      </c>
      <c r="AJ103" s="493">
        <v>0</v>
      </c>
      <c r="AK103" s="493">
        <v>0</v>
      </c>
      <c r="AL103" s="493">
        <v>0</v>
      </c>
      <c r="AM103" s="493">
        <v>0</v>
      </c>
      <c r="AN103" s="493">
        <v>0</v>
      </c>
      <c r="AO103" s="493">
        <f t="shared" ref="AO103:AO107" si="157">AH103+AJ103+AK103+AM103</f>
        <v>0</v>
      </c>
      <c r="AP103" s="493">
        <f t="shared" ref="AP103:AP107" si="158">AI103+AN103+AL103</f>
        <v>0</v>
      </c>
      <c r="AQ103" s="495">
        <f t="shared" si="123"/>
        <v>0</v>
      </c>
      <c r="AR103" s="501">
        <f>I103+AG103</f>
        <v>13996931</v>
      </c>
      <c r="AS103" s="492">
        <f>J103+V103</f>
        <v>10109931</v>
      </c>
      <c r="AT103" s="492">
        <f t="shared" ref="AT103:AT107" si="159">K103+Z103</f>
        <v>13000</v>
      </c>
      <c r="AU103" s="492">
        <f t="shared" ref="AU103:AV107" si="160">L103+AB103</f>
        <v>3421551</v>
      </c>
      <c r="AV103" s="492">
        <f t="shared" si="160"/>
        <v>202199</v>
      </c>
      <c r="AW103" s="492">
        <f>N103+AF103</f>
        <v>250250</v>
      </c>
      <c r="AX103" s="493">
        <f>O103+AQ103</f>
        <v>19.802699999999998</v>
      </c>
      <c r="AY103" s="493">
        <f t="shared" ref="AY103:AZ107" si="161">P103+AO103</f>
        <v>14.8851</v>
      </c>
      <c r="AZ103" s="495">
        <f t="shared" si="161"/>
        <v>4.9176000000000002</v>
      </c>
    </row>
    <row r="104" spans="1:52" ht="12.95" customHeight="1" x14ac:dyDescent="0.25">
      <c r="A104" s="313">
        <v>18</v>
      </c>
      <c r="B104" s="354">
        <v>5419</v>
      </c>
      <c r="C104" s="355">
        <v>600099261</v>
      </c>
      <c r="D104" s="314">
        <v>70946752</v>
      </c>
      <c r="E104" s="356" t="s">
        <v>405</v>
      </c>
      <c r="F104" s="314">
        <v>3113</v>
      </c>
      <c r="G104" s="356" t="s">
        <v>320</v>
      </c>
      <c r="H104" s="317" t="s">
        <v>279</v>
      </c>
      <c r="I104" s="494">
        <v>1006289</v>
      </c>
      <c r="J104" s="489">
        <v>741008</v>
      </c>
      <c r="K104" s="489">
        <v>0</v>
      </c>
      <c r="L104" s="489">
        <v>250461</v>
      </c>
      <c r="M104" s="489">
        <v>14820</v>
      </c>
      <c r="N104" s="489">
        <v>0</v>
      </c>
      <c r="O104" s="490">
        <v>2.14</v>
      </c>
      <c r="P104" s="491">
        <v>2.14</v>
      </c>
      <c r="Q104" s="500">
        <v>0</v>
      </c>
      <c r="R104" s="502">
        <f t="shared" si="119"/>
        <v>0</v>
      </c>
      <c r="S104" s="492">
        <v>0</v>
      </c>
      <c r="T104" s="492">
        <v>0</v>
      </c>
      <c r="U104" s="492">
        <v>0</v>
      </c>
      <c r="V104" s="492">
        <f t="shared" si="120"/>
        <v>0</v>
      </c>
      <c r="W104" s="713">
        <v>0</v>
      </c>
      <c r="X104" s="492">
        <v>0</v>
      </c>
      <c r="Y104" s="492">
        <v>0</v>
      </c>
      <c r="Z104" s="492">
        <f>SUM(W104:Y104)</f>
        <v>0</v>
      </c>
      <c r="AA104" s="492">
        <f>V104+Z104</f>
        <v>0</v>
      </c>
      <c r="AB104" s="74">
        <f>ROUND((V104+W104+X104)*33.8%,0)</f>
        <v>0</v>
      </c>
      <c r="AC104" s="74">
        <f>ROUND(V104*2%,0)</f>
        <v>0</v>
      </c>
      <c r="AD104" s="492">
        <v>700</v>
      </c>
      <c r="AE104" s="492">
        <v>0</v>
      </c>
      <c r="AF104" s="492">
        <f t="shared" si="121"/>
        <v>700</v>
      </c>
      <c r="AG104" s="492">
        <f t="shared" si="122"/>
        <v>700</v>
      </c>
      <c r="AH104" s="493">
        <v>0</v>
      </c>
      <c r="AI104" s="493">
        <v>0</v>
      </c>
      <c r="AJ104" s="493">
        <v>0</v>
      </c>
      <c r="AK104" s="493">
        <v>0</v>
      </c>
      <c r="AL104" s="493">
        <v>0</v>
      </c>
      <c r="AM104" s="493">
        <v>0</v>
      </c>
      <c r="AN104" s="493">
        <v>0</v>
      </c>
      <c r="AO104" s="493">
        <f t="shared" si="157"/>
        <v>0</v>
      </c>
      <c r="AP104" s="493">
        <f t="shared" si="158"/>
        <v>0</v>
      </c>
      <c r="AQ104" s="495">
        <f t="shared" si="123"/>
        <v>0</v>
      </c>
      <c r="AR104" s="501">
        <f>I104+AG104</f>
        <v>1006989</v>
      </c>
      <c r="AS104" s="492">
        <f>J104+V104</f>
        <v>741008</v>
      </c>
      <c r="AT104" s="492">
        <f t="shared" si="159"/>
        <v>0</v>
      </c>
      <c r="AU104" s="492">
        <f t="shared" si="160"/>
        <v>250461</v>
      </c>
      <c r="AV104" s="492">
        <f t="shared" si="160"/>
        <v>14820</v>
      </c>
      <c r="AW104" s="492">
        <f>N104+AF104</f>
        <v>700</v>
      </c>
      <c r="AX104" s="493">
        <f>O104+AQ104</f>
        <v>2.14</v>
      </c>
      <c r="AY104" s="493">
        <f t="shared" si="161"/>
        <v>2.14</v>
      </c>
      <c r="AZ104" s="495">
        <f t="shared" si="161"/>
        <v>0</v>
      </c>
    </row>
    <row r="105" spans="1:52" ht="12.95" customHeight="1" x14ac:dyDescent="0.25">
      <c r="A105" s="313">
        <v>18</v>
      </c>
      <c r="B105" s="354">
        <v>5419</v>
      </c>
      <c r="C105" s="355">
        <v>600099261</v>
      </c>
      <c r="D105" s="314">
        <v>70946752</v>
      </c>
      <c r="E105" s="356" t="s">
        <v>405</v>
      </c>
      <c r="F105" s="314">
        <v>3141</v>
      </c>
      <c r="G105" s="356" t="s">
        <v>316</v>
      </c>
      <c r="H105" s="317" t="s">
        <v>279</v>
      </c>
      <c r="I105" s="494">
        <v>1301807</v>
      </c>
      <c r="J105" s="489">
        <v>948372</v>
      </c>
      <c r="K105" s="489">
        <v>3250</v>
      </c>
      <c r="L105" s="489">
        <v>321648</v>
      </c>
      <c r="M105" s="489">
        <v>18967</v>
      </c>
      <c r="N105" s="489">
        <v>9570</v>
      </c>
      <c r="O105" s="490">
        <v>3</v>
      </c>
      <c r="P105" s="491">
        <v>0</v>
      </c>
      <c r="Q105" s="500">
        <v>3</v>
      </c>
      <c r="R105" s="502">
        <f t="shared" si="119"/>
        <v>0</v>
      </c>
      <c r="S105" s="492">
        <v>0</v>
      </c>
      <c r="T105" s="492">
        <v>0</v>
      </c>
      <c r="U105" s="492">
        <v>0</v>
      </c>
      <c r="V105" s="492">
        <f t="shared" si="120"/>
        <v>0</v>
      </c>
      <c r="W105" s="713">
        <v>0</v>
      </c>
      <c r="X105" s="492">
        <v>0</v>
      </c>
      <c r="Y105" s="492">
        <v>0</v>
      </c>
      <c r="Z105" s="492">
        <f>SUM(W105:Y105)</f>
        <v>0</v>
      </c>
      <c r="AA105" s="492">
        <f>V105+Z105</f>
        <v>0</v>
      </c>
      <c r="AB105" s="74">
        <f>ROUND((V105+W105+X105)*33.8%,0)</f>
        <v>0</v>
      </c>
      <c r="AC105" s="74">
        <f>ROUND(V105*2%,0)</f>
        <v>0</v>
      </c>
      <c r="AD105" s="492">
        <v>0</v>
      </c>
      <c r="AE105" s="492">
        <v>0</v>
      </c>
      <c r="AF105" s="492">
        <f t="shared" si="121"/>
        <v>0</v>
      </c>
      <c r="AG105" s="492">
        <f t="shared" si="122"/>
        <v>0</v>
      </c>
      <c r="AH105" s="493">
        <v>0</v>
      </c>
      <c r="AI105" s="493">
        <v>0</v>
      </c>
      <c r="AJ105" s="493">
        <v>0</v>
      </c>
      <c r="AK105" s="493">
        <v>0</v>
      </c>
      <c r="AL105" s="493">
        <v>0</v>
      </c>
      <c r="AM105" s="493">
        <v>0</v>
      </c>
      <c r="AN105" s="493">
        <v>0</v>
      </c>
      <c r="AO105" s="493">
        <f t="shared" si="157"/>
        <v>0</v>
      </c>
      <c r="AP105" s="493">
        <f t="shared" si="158"/>
        <v>0</v>
      </c>
      <c r="AQ105" s="495">
        <f t="shared" si="123"/>
        <v>0</v>
      </c>
      <c r="AR105" s="501">
        <f>I105+AG105</f>
        <v>1301807</v>
      </c>
      <c r="AS105" s="492">
        <f>J105+V105</f>
        <v>948372</v>
      </c>
      <c r="AT105" s="492">
        <f t="shared" si="159"/>
        <v>3250</v>
      </c>
      <c r="AU105" s="492">
        <f t="shared" si="160"/>
        <v>321648</v>
      </c>
      <c r="AV105" s="492">
        <f t="shared" si="160"/>
        <v>18967</v>
      </c>
      <c r="AW105" s="492">
        <f>N105+AF105</f>
        <v>9570</v>
      </c>
      <c r="AX105" s="493">
        <f>O105+AQ105</f>
        <v>3</v>
      </c>
      <c r="AY105" s="493">
        <f t="shared" si="161"/>
        <v>0</v>
      </c>
      <c r="AZ105" s="495">
        <f t="shared" si="161"/>
        <v>3</v>
      </c>
    </row>
    <row r="106" spans="1:52" ht="12.95" customHeight="1" x14ac:dyDescent="0.25">
      <c r="A106" s="313">
        <v>18</v>
      </c>
      <c r="B106" s="354">
        <v>5419</v>
      </c>
      <c r="C106" s="355">
        <v>600099261</v>
      </c>
      <c r="D106" s="314">
        <v>70946752</v>
      </c>
      <c r="E106" s="356" t="s">
        <v>405</v>
      </c>
      <c r="F106" s="314">
        <v>3143</v>
      </c>
      <c r="G106" s="356" t="s">
        <v>629</v>
      </c>
      <c r="H106" s="317" t="s">
        <v>278</v>
      </c>
      <c r="I106" s="494">
        <v>591358</v>
      </c>
      <c r="J106" s="489">
        <v>365656</v>
      </c>
      <c r="K106" s="489">
        <v>70850</v>
      </c>
      <c r="L106" s="489">
        <v>147539</v>
      </c>
      <c r="M106" s="489">
        <v>7313</v>
      </c>
      <c r="N106" s="489">
        <v>0</v>
      </c>
      <c r="O106" s="490">
        <v>0.75</v>
      </c>
      <c r="P106" s="491">
        <v>0.75</v>
      </c>
      <c r="Q106" s="500">
        <v>0</v>
      </c>
      <c r="R106" s="502">
        <f t="shared" si="119"/>
        <v>0</v>
      </c>
      <c r="S106" s="492">
        <v>0</v>
      </c>
      <c r="T106" s="492">
        <v>0</v>
      </c>
      <c r="U106" s="492">
        <v>0</v>
      </c>
      <c r="V106" s="492">
        <f t="shared" si="120"/>
        <v>0</v>
      </c>
      <c r="W106" s="713">
        <v>0</v>
      </c>
      <c r="X106" s="492">
        <v>0</v>
      </c>
      <c r="Y106" s="492">
        <v>0</v>
      </c>
      <c r="Z106" s="492">
        <f>SUM(W106:Y106)</f>
        <v>0</v>
      </c>
      <c r="AA106" s="492">
        <f>V106+Z106</f>
        <v>0</v>
      </c>
      <c r="AB106" s="74">
        <f>ROUND((V106+W106+X106)*33.8%,0)</f>
        <v>0</v>
      </c>
      <c r="AC106" s="74">
        <f>ROUND(V106*2%,0)</f>
        <v>0</v>
      </c>
      <c r="AD106" s="492">
        <v>0</v>
      </c>
      <c r="AE106" s="492">
        <v>0</v>
      </c>
      <c r="AF106" s="492">
        <f t="shared" si="121"/>
        <v>0</v>
      </c>
      <c r="AG106" s="492">
        <f t="shared" si="122"/>
        <v>0</v>
      </c>
      <c r="AH106" s="493">
        <v>0</v>
      </c>
      <c r="AI106" s="493">
        <v>0</v>
      </c>
      <c r="AJ106" s="493">
        <v>0</v>
      </c>
      <c r="AK106" s="493">
        <v>0</v>
      </c>
      <c r="AL106" s="493">
        <v>0</v>
      </c>
      <c r="AM106" s="493">
        <v>0</v>
      </c>
      <c r="AN106" s="493">
        <v>0</v>
      </c>
      <c r="AO106" s="493">
        <f t="shared" si="157"/>
        <v>0</v>
      </c>
      <c r="AP106" s="493">
        <f t="shared" si="158"/>
        <v>0</v>
      </c>
      <c r="AQ106" s="495">
        <f t="shared" si="123"/>
        <v>0</v>
      </c>
      <c r="AR106" s="501">
        <f>I106+AG106</f>
        <v>591358</v>
      </c>
      <c r="AS106" s="492">
        <f>J106+V106</f>
        <v>365656</v>
      </c>
      <c r="AT106" s="492">
        <f t="shared" si="159"/>
        <v>70850</v>
      </c>
      <c r="AU106" s="492">
        <f t="shared" si="160"/>
        <v>147539</v>
      </c>
      <c r="AV106" s="492">
        <f t="shared" si="160"/>
        <v>7313</v>
      </c>
      <c r="AW106" s="492">
        <f>N106+AF106</f>
        <v>0</v>
      </c>
      <c r="AX106" s="493">
        <f>O106+AQ106</f>
        <v>0.75</v>
      </c>
      <c r="AY106" s="493">
        <f t="shared" si="161"/>
        <v>0.75</v>
      </c>
      <c r="AZ106" s="495">
        <f t="shared" si="161"/>
        <v>0</v>
      </c>
    </row>
    <row r="107" spans="1:52" ht="12.95" customHeight="1" x14ac:dyDescent="0.25">
      <c r="A107" s="313">
        <v>18</v>
      </c>
      <c r="B107" s="354">
        <v>5419</v>
      </c>
      <c r="C107" s="355">
        <v>600099261</v>
      </c>
      <c r="D107" s="314">
        <v>70946752</v>
      </c>
      <c r="E107" s="356" t="s">
        <v>405</v>
      </c>
      <c r="F107" s="314">
        <v>3143</v>
      </c>
      <c r="G107" s="356" t="s">
        <v>630</v>
      </c>
      <c r="H107" s="317" t="s">
        <v>279</v>
      </c>
      <c r="I107" s="494">
        <v>19656</v>
      </c>
      <c r="J107" s="489">
        <v>13900</v>
      </c>
      <c r="K107" s="489">
        <v>0</v>
      </c>
      <c r="L107" s="489">
        <v>4698</v>
      </c>
      <c r="M107" s="489">
        <v>278</v>
      </c>
      <c r="N107" s="489">
        <v>780</v>
      </c>
      <c r="O107" s="490">
        <v>0.05</v>
      </c>
      <c r="P107" s="491">
        <v>0</v>
      </c>
      <c r="Q107" s="500">
        <v>0.05</v>
      </c>
      <c r="R107" s="502">
        <f t="shared" si="119"/>
        <v>0</v>
      </c>
      <c r="S107" s="492">
        <v>0</v>
      </c>
      <c r="T107" s="492">
        <v>0</v>
      </c>
      <c r="U107" s="492">
        <v>0</v>
      </c>
      <c r="V107" s="492">
        <f t="shared" si="120"/>
        <v>0</v>
      </c>
      <c r="W107" s="713">
        <v>0</v>
      </c>
      <c r="X107" s="492">
        <v>0</v>
      </c>
      <c r="Y107" s="492">
        <v>0</v>
      </c>
      <c r="Z107" s="492">
        <f>SUM(W107:Y107)</f>
        <v>0</v>
      </c>
      <c r="AA107" s="492">
        <f>V107+Z107</f>
        <v>0</v>
      </c>
      <c r="AB107" s="74">
        <f>ROUND((V107+W107+X107)*33.8%,0)</f>
        <v>0</v>
      </c>
      <c r="AC107" s="74">
        <f>ROUND(V107*2%,0)</f>
        <v>0</v>
      </c>
      <c r="AD107" s="492">
        <v>0</v>
      </c>
      <c r="AE107" s="492">
        <v>0</v>
      </c>
      <c r="AF107" s="492">
        <f t="shared" si="121"/>
        <v>0</v>
      </c>
      <c r="AG107" s="492">
        <f t="shared" si="122"/>
        <v>0</v>
      </c>
      <c r="AH107" s="493">
        <v>0</v>
      </c>
      <c r="AI107" s="493">
        <v>0</v>
      </c>
      <c r="AJ107" s="493">
        <v>0</v>
      </c>
      <c r="AK107" s="493">
        <v>0</v>
      </c>
      <c r="AL107" s="493">
        <v>0</v>
      </c>
      <c r="AM107" s="493">
        <v>0</v>
      </c>
      <c r="AN107" s="493">
        <v>0</v>
      </c>
      <c r="AO107" s="493">
        <f t="shared" si="157"/>
        <v>0</v>
      </c>
      <c r="AP107" s="493">
        <f t="shared" si="158"/>
        <v>0</v>
      </c>
      <c r="AQ107" s="495">
        <f t="shared" si="123"/>
        <v>0</v>
      </c>
      <c r="AR107" s="501">
        <f>I107+AG107</f>
        <v>19656</v>
      </c>
      <c r="AS107" s="492">
        <f>J107+V107</f>
        <v>13900</v>
      </c>
      <c r="AT107" s="492">
        <f t="shared" si="159"/>
        <v>0</v>
      </c>
      <c r="AU107" s="492">
        <f t="shared" si="160"/>
        <v>4698</v>
      </c>
      <c r="AV107" s="492">
        <f t="shared" si="160"/>
        <v>278</v>
      </c>
      <c r="AW107" s="492">
        <f>N107+AF107</f>
        <v>780</v>
      </c>
      <c r="AX107" s="493">
        <f>O107+AQ107</f>
        <v>0.05</v>
      </c>
      <c r="AY107" s="493">
        <f t="shared" si="161"/>
        <v>0</v>
      </c>
      <c r="AZ107" s="495">
        <f t="shared" si="161"/>
        <v>0.05</v>
      </c>
    </row>
    <row r="108" spans="1:52" ht="12.95" customHeight="1" x14ac:dyDescent="0.25">
      <c r="A108" s="357">
        <v>18</v>
      </c>
      <c r="B108" s="358">
        <v>5419</v>
      </c>
      <c r="C108" s="359">
        <v>600099261</v>
      </c>
      <c r="D108" s="358">
        <v>70946752</v>
      </c>
      <c r="E108" s="360" t="s">
        <v>406</v>
      </c>
      <c r="F108" s="324"/>
      <c r="G108" s="362"/>
      <c r="H108" s="325"/>
      <c r="I108" s="607">
        <v>16916041</v>
      </c>
      <c r="J108" s="604">
        <v>12178867</v>
      </c>
      <c r="K108" s="604">
        <v>87100</v>
      </c>
      <c r="L108" s="604">
        <v>4145897</v>
      </c>
      <c r="M108" s="604">
        <v>243577</v>
      </c>
      <c r="N108" s="604">
        <v>260600</v>
      </c>
      <c r="O108" s="605">
        <v>25.742699999999999</v>
      </c>
      <c r="P108" s="605">
        <v>17.775099999999998</v>
      </c>
      <c r="Q108" s="609">
        <v>7.9676</v>
      </c>
      <c r="R108" s="607">
        <f t="shared" ref="R108:AZ108" si="162">SUM(R103:R107)</f>
        <v>0</v>
      </c>
      <c r="S108" s="604">
        <f t="shared" si="162"/>
        <v>0</v>
      </c>
      <c r="T108" s="604">
        <f t="shared" si="162"/>
        <v>0</v>
      </c>
      <c r="U108" s="604">
        <f t="shared" si="162"/>
        <v>0</v>
      </c>
      <c r="V108" s="604">
        <f t="shared" si="162"/>
        <v>0</v>
      </c>
      <c r="W108" s="604">
        <f t="shared" si="162"/>
        <v>0</v>
      </c>
      <c r="X108" s="604">
        <f t="shared" si="162"/>
        <v>0</v>
      </c>
      <c r="Y108" s="604">
        <f t="shared" si="162"/>
        <v>0</v>
      </c>
      <c r="Z108" s="604">
        <f t="shared" si="162"/>
        <v>0</v>
      </c>
      <c r="AA108" s="604">
        <f t="shared" si="162"/>
        <v>0</v>
      </c>
      <c r="AB108" s="604">
        <f t="shared" si="162"/>
        <v>0</v>
      </c>
      <c r="AC108" s="604">
        <f t="shared" si="162"/>
        <v>0</v>
      </c>
      <c r="AD108" s="604">
        <f t="shared" si="162"/>
        <v>700</v>
      </c>
      <c r="AE108" s="604">
        <f t="shared" si="162"/>
        <v>0</v>
      </c>
      <c r="AF108" s="604">
        <f t="shared" si="162"/>
        <v>700</v>
      </c>
      <c r="AG108" s="604">
        <f t="shared" si="162"/>
        <v>700</v>
      </c>
      <c r="AH108" s="605">
        <f t="shared" si="162"/>
        <v>0</v>
      </c>
      <c r="AI108" s="605">
        <f t="shared" si="162"/>
        <v>0</v>
      </c>
      <c r="AJ108" s="605">
        <f t="shared" si="162"/>
        <v>0</v>
      </c>
      <c r="AK108" s="605">
        <f t="shared" si="162"/>
        <v>0</v>
      </c>
      <c r="AL108" s="605">
        <f t="shared" si="162"/>
        <v>0</v>
      </c>
      <c r="AM108" s="605">
        <f t="shared" si="162"/>
        <v>0</v>
      </c>
      <c r="AN108" s="605">
        <f t="shared" si="162"/>
        <v>0</v>
      </c>
      <c r="AO108" s="605">
        <f t="shared" si="162"/>
        <v>0</v>
      </c>
      <c r="AP108" s="605">
        <f t="shared" si="162"/>
        <v>0</v>
      </c>
      <c r="AQ108" s="366">
        <f t="shared" si="162"/>
        <v>0</v>
      </c>
      <c r="AR108" s="611">
        <f t="shared" si="162"/>
        <v>16916741</v>
      </c>
      <c r="AS108" s="604">
        <f t="shared" si="162"/>
        <v>12178867</v>
      </c>
      <c r="AT108" s="604">
        <f t="shared" si="162"/>
        <v>87100</v>
      </c>
      <c r="AU108" s="604">
        <f t="shared" si="162"/>
        <v>4145897</v>
      </c>
      <c r="AV108" s="604">
        <f t="shared" si="162"/>
        <v>243577</v>
      </c>
      <c r="AW108" s="604">
        <f t="shared" si="162"/>
        <v>261300</v>
      </c>
      <c r="AX108" s="605">
        <f t="shared" si="162"/>
        <v>25.742699999999999</v>
      </c>
      <c r="AY108" s="605">
        <f t="shared" si="162"/>
        <v>17.775099999999998</v>
      </c>
      <c r="AZ108" s="366">
        <f t="shared" si="162"/>
        <v>7.9676</v>
      </c>
    </row>
    <row r="109" spans="1:52" ht="12.95" customHeight="1" x14ac:dyDescent="0.25">
      <c r="A109" s="313">
        <v>19</v>
      </c>
      <c r="B109" s="354">
        <v>5425</v>
      </c>
      <c r="C109" s="363">
        <v>600099521</v>
      </c>
      <c r="D109" s="314">
        <v>854859</v>
      </c>
      <c r="E109" s="356" t="s">
        <v>407</v>
      </c>
      <c r="F109" s="314">
        <v>3233</v>
      </c>
      <c r="G109" s="356" t="s">
        <v>408</v>
      </c>
      <c r="H109" s="317" t="s">
        <v>279</v>
      </c>
      <c r="I109" s="494">
        <v>3334735</v>
      </c>
      <c r="J109" s="489">
        <v>2452624</v>
      </c>
      <c r="K109" s="489">
        <v>0</v>
      </c>
      <c r="L109" s="489">
        <v>828987</v>
      </c>
      <c r="M109" s="489">
        <v>49052</v>
      </c>
      <c r="N109" s="489">
        <v>4072</v>
      </c>
      <c r="O109" s="490">
        <v>5.37</v>
      </c>
      <c r="P109" s="491">
        <v>3.53</v>
      </c>
      <c r="Q109" s="500">
        <v>1.84</v>
      </c>
      <c r="R109" s="502">
        <f t="shared" si="119"/>
        <v>0</v>
      </c>
      <c r="S109" s="492">
        <v>0</v>
      </c>
      <c r="T109" s="492">
        <v>0</v>
      </c>
      <c r="U109" s="492">
        <v>0</v>
      </c>
      <c r="V109" s="492">
        <f t="shared" si="120"/>
        <v>0</v>
      </c>
      <c r="W109" s="492">
        <v>0</v>
      </c>
      <c r="X109" s="492">
        <v>0</v>
      </c>
      <c r="Y109" s="492">
        <v>0</v>
      </c>
      <c r="Z109" s="492">
        <f>SUM(W109:Y109)</f>
        <v>0</v>
      </c>
      <c r="AA109" s="492">
        <f>V109+Z109</f>
        <v>0</v>
      </c>
      <c r="AB109" s="74">
        <f>ROUND((V109+W109+X109)*33.8%,0)</f>
        <v>0</v>
      </c>
      <c r="AC109" s="74">
        <f>ROUND(V109*2%,0)</f>
        <v>0</v>
      </c>
      <c r="AD109" s="492">
        <v>0</v>
      </c>
      <c r="AE109" s="492">
        <v>23923</v>
      </c>
      <c r="AF109" s="492">
        <f t="shared" si="121"/>
        <v>23923</v>
      </c>
      <c r="AG109" s="492">
        <f t="shared" si="122"/>
        <v>23923</v>
      </c>
      <c r="AH109" s="493">
        <v>0</v>
      </c>
      <c r="AI109" s="493">
        <v>0</v>
      </c>
      <c r="AJ109" s="493">
        <v>0</v>
      </c>
      <c r="AK109" s="493">
        <v>0</v>
      </c>
      <c r="AL109" s="493">
        <v>0</v>
      </c>
      <c r="AM109" s="493">
        <v>0</v>
      </c>
      <c r="AN109" s="493">
        <v>0</v>
      </c>
      <c r="AO109" s="493">
        <f>AH109+AJ109+AK109+AM109</f>
        <v>0</v>
      </c>
      <c r="AP109" s="493">
        <f>AI109+AN109+AL109</f>
        <v>0</v>
      </c>
      <c r="AQ109" s="495">
        <f t="shared" si="123"/>
        <v>0</v>
      </c>
      <c r="AR109" s="501">
        <f>I109+AG109</f>
        <v>3358658</v>
      </c>
      <c r="AS109" s="492">
        <f>J109+V109</f>
        <v>2452624</v>
      </c>
      <c r="AT109" s="492">
        <f>K109+Z109</f>
        <v>0</v>
      </c>
      <c r="AU109" s="492">
        <f>L109+AB109</f>
        <v>828987</v>
      </c>
      <c r="AV109" s="492">
        <f>M109+AC109</f>
        <v>49052</v>
      </c>
      <c r="AW109" s="492">
        <f>N109+AF109</f>
        <v>27995</v>
      </c>
      <c r="AX109" s="493">
        <f>O109+AQ109</f>
        <v>5.37</v>
      </c>
      <c r="AY109" s="493">
        <f>P109+AO109</f>
        <v>3.53</v>
      </c>
      <c r="AZ109" s="495">
        <f>Q109+AP109</f>
        <v>1.84</v>
      </c>
    </row>
    <row r="110" spans="1:52" ht="12.95" customHeight="1" x14ac:dyDescent="0.25">
      <c r="A110" s="357">
        <v>19</v>
      </c>
      <c r="B110" s="358">
        <v>5425</v>
      </c>
      <c r="C110" s="359">
        <v>600099521</v>
      </c>
      <c r="D110" s="358">
        <v>854859</v>
      </c>
      <c r="E110" s="360" t="s">
        <v>409</v>
      </c>
      <c r="F110" s="324"/>
      <c r="G110" s="362"/>
      <c r="H110" s="325"/>
      <c r="I110" s="606">
        <v>3334735</v>
      </c>
      <c r="J110" s="602">
        <v>2452624</v>
      </c>
      <c r="K110" s="602">
        <v>0</v>
      </c>
      <c r="L110" s="602">
        <v>828987</v>
      </c>
      <c r="M110" s="602">
        <v>49052</v>
      </c>
      <c r="N110" s="602">
        <v>4072</v>
      </c>
      <c r="O110" s="603">
        <v>5.37</v>
      </c>
      <c r="P110" s="603">
        <v>3.53</v>
      </c>
      <c r="Q110" s="608">
        <v>1.84</v>
      </c>
      <c r="R110" s="606">
        <f t="shared" ref="R110:AZ110" si="163">SUM(R109)</f>
        <v>0</v>
      </c>
      <c r="S110" s="602">
        <f t="shared" si="163"/>
        <v>0</v>
      </c>
      <c r="T110" s="602">
        <f t="shared" si="163"/>
        <v>0</v>
      </c>
      <c r="U110" s="602">
        <f t="shared" si="163"/>
        <v>0</v>
      </c>
      <c r="V110" s="602">
        <f t="shared" si="163"/>
        <v>0</v>
      </c>
      <c r="W110" s="602">
        <f t="shared" si="163"/>
        <v>0</v>
      </c>
      <c r="X110" s="602">
        <f t="shared" si="163"/>
        <v>0</v>
      </c>
      <c r="Y110" s="602">
        <f t="shared" si="163"/>
        <v>0</v>
      </c>
      <c r="Z110" s="602">
        <f t="shared" si="163"/>
        <v>0</v>
      </c>
      <c r="AA110" s="602">
        <f t="shared" si="163"/>
        <v>0</v>
      </c>
      <c r="AB110" s="602">
        <f t="shared" si="163"/>
        <v>0</v>
      </c>
      <c r="AC110" s="602">
        <f t="shared" si="163"/>
        <v>0</v>
      </c>
      <c r="AD110" s="602">
        <f t="shared" si="163"/>
        <v>0</v>
      </c>
      <c r="AE110" s="602">
        <f t="shared" si="163"/>
        <v>23923</v>
      </c>
      <c r="AF110" s="602">
        <f t="shared" si="163"/>
        <v>23923</v>
      </c>
      <c r="AG110" s="602">
        <f t="shared" si="163"/>
        <v>23923</v>
      </c>
      <c r="AH110" s="603">
        <f t="shared" si="163"/>
        <v>0</v>
      </c>
      <c r="AI110" s="603">
        <f t="shared" si="163"/>
        <v>0</v>
      </c>
      <c r="AJ110" s="603">
        <f t="shared" si="163"/>
        <v>0</v>
      </c>
      <c r="AK110" s="603">
        <f t="shared" si="163"/>
        <v>0</v>
      </c>
      <c r="AL110" s="603">
        <f t="shared" si="163"/>
        <v>0</v>
      </c>
      <c r="AM110" s="603">
        <f t="shared" si="163"/>
        <v>0</v>
      </c>
      <c r="AN110" s="603">
        <f t="shared" si="163"/>
        <v>0</v>
      </c>
      <c r="AO110" s="603">
        <f t="shared" si="163"/>
        <v>0</v>
      </c>
      <c r="AP110" s="603">
        <f t="shared" si="163"/>
        <v>0</v>
      </c>
      <c r="AQ110" s="361">
        <f t="shared" si="163"/>
        <v>0</v>
      </c>
      <c r="AR110" s="610">
        <f t="shared" si="163"/>
        <v>3358658</v>
      </c>
      <c r="AS110" s="602">
        <f t="shared" si="163"/>
        <v>2452624</v>
      </c>
      <c r="AT110" s="602">
        <f t="shared" si="163"/>
        <v>0</v>
      </c>
      <c r="AU110" s="602">
        <f t="shared" si="163"/>
        <v>828987</v>
      </c>
      <c r="AV110" s="602">
        <f t="shared" si="163"/>
        <v>49052</v>
      </c>
      <c r="AW110" s="602">
        <f t="shared" si="163"/>
        <v>27995</v>
      </c>
      <c r="AX110" s="603">
        <f t="shared" si="163"/>
        <v>5.37</v>
      </c>
      <c r="AY110" s="603">
        <f t="shared" si="163"/>
        <v>3.53</v>
      </c>
      <c r="AZ110" s="361">
        <f t="shared" si="163"/>
        <v>1.84</v>
      </c>
    </row>
    <row r="111" spans="1:52" ht="12.95" customHeight="1" x14ac:dyDescent="0.25">
      <c r="A111" s="313">
        <v>20</v>
      </c>
      <c r="B111" s="354">
        <v>5426</v>
      </c>
      <c r="C111" s="355">
        <v>600098761</v>
      </c>
      <c r="D111" s="314">
        <v>72742615</v>
      </c>
      <c r="E111" s="356" t="s">
        <v>410</v>
      </c>
      <c r="F111" s="314">
        <v>3111</v>
      </c>
      <c r="G111" s="356" t="s">
        <v>326</v>
      </c>
      <c r="H111" s="317" t="s">
        <v>278</v>
      </c>
      <c r="I111" s="494">
        <v>6588837</v>
      </c>
      <c r="J111" s="489">
        <v>4760564</v>
      </c>
      <c r="K111" s="489">
        <v>62400</v>
      </c>
      <c r="L111" s="489">
        <v>1630162</v>
      </c>
      <c r="M111" s="489">
        <v>95211</v>
      </c>
      <c r="N111" s="489">
        <v>40500</v>
      </c>
      <c r="O111" s="490">
        <v>10.610000000000001</v>
      </c>
      <c r="P111" s="491">
        <v>8</v>
      </c>
      <c r="Q111" s="500">
        <v>2.6100000000000003</v>
      </c>
      <c r="R111" s="502">
        <f t="shared" si="119"/>
        <v>0</v>
      </c>
      <c r="S111" s="492">
        <v>0</v>
      </c>
      <c r="T111" s="492">
        <v>0</v>
      </c>
      <c r="U111" s="492">
        <v>0</v>
      </c>
      <c r="V111" s="492">
        <f t="shared" si="120"/>
        <v>0</v>
      </c>
      <c r="W111" s="713">
        <v>0</v>
      </c>
      <c r="X111" s="492">
        <v>0</v>
      </c>
      <c r="Y111" s="492">
        <v>0</v>
      </c>
      <c r="Z111" s="492">
        <f>SUM(W111:Y111)</f>
        <v>0</v>
      </c>
      <c r="AA111" s="492">
        <f>V111+Z111</f>
        <v>0</v>
      </c>
      <c r="AB111" s="74">
        <f>ROUND((V111+W111+X111)*33.8%,0)</f>
        <v>0</v>
      </c>
      <c r="AC111" s="74">
        <f>ROUND(V111*2%,0)</f>
        <v>0</v>
      </c>
      <c r="AD111" s="492">
        <v>0</v>
      </c>
      <c r="AE111" s="492">
        <v>0</v>
      </c>
      <c r="AF111" s="492">
        <f t="shared" si="121"/>
        <v>0</v>
      </c>
      <c r="AG111" s="492">
        <f t="shared" si="122"/>
        <v>0</v>
      </c>
      <c r="AH111" s="493">
        <v>0</v>
      </c>
      <c r="AI111" s="493">
        <v>0</v>
      </c>
      <c r="AJ111" s="493">
        <v>0</v>
      </c>
      <c r="AK111" s="493">
        <v>0</v>
      </c>
      <c r="AL111" s="493">
        <v>0</v>
      </c>
      <c r="AM111" s="493">
        <v>0</v>
      </c>
      <c r="AN111" s="493">
        <v>0</v>
      </c>
      <c r="AO111" s="493">
        <f t="shared" ref="AO111:AO113" si="164">AH111+AJ111+AK111+AM111</f>
        <v>0</v>
      </c>
      <c r="AP111" s="493">
        <f t="shared" ref="AP111:AP113" si="165">AI111+AN111+AL111</f>
        <v>0</v>
      </c>
      <c r="AQ111" s="495">
        <f t="shared" si="123"/>
        <v>0</v>
      </c>
      <c r="AR111" s="501">
        <f>I111+AG111</f>
        <v>6588837</v>
      </c>
      <c r="AS111" s="492">
        <f>J111+V111</f>
        <v>4760564</v>
      </c>
      <c r="AT111" s="492">
        <f t="shared" ref="AT111:AT113" si="166">K111+Z111</f>
        <v>62400</v>
      </c>
      <c r="AU111" s="492">
        <f t="shared" ref="AU111:AV113" si="167">L111+AB111</f>
        <v>1630162</v>
      </c>
      <c r="AV111" s="492">
        <f t="shared" si="167"/>
        <v>95211</v>
      </c>
      <c r="AW111" s="492">
        <f>N111+AF111</f>
        <v>40500</v>
      </c>
      <c r="AX111" s="493">
        <f>O111+AQ111</f>
        <v>10.610000000000001</v>
      </c>
      <c r="AY111" s="493">
        <f t="shared" ref="AY111:AZ113" si="168">P111+AO111</f>
        <v>8</v>
      </c>
      <c r="AZ111" s="495">
        <f t="shared" si="168"/>
        <v>2.6100000000000003</v>
      </c>
    </row>
    <row r="112" spans="1:52" ht="12.95" customHeight="1" x14ac:dyDescent="0.25">
      <c r="A112" s="313">
        <v>20</v>
      </c>
      <c r="B112" s="354">
        <v>5426</v>
      </c>
      <c r="C112" s="355">
        <v>600098761</v>
      </c>
      <c r="D112" s="314">
        <v>72742615</v>
      </c>
      <c r="E112" s="356" t="s">
        <v>410</v>
      </c>
      <c r="F112" s="314">
        <v>3111</v>
      </c>
      <c r="G112" s="364" t="s">
        <v>320</v>
      </c>
      <c r="H112" s="317" t="s">
        <v>279</v>
      </c>
      <c r="I112" s="494">
        <v>801461</v>
      </c>
      <c r="J112" s="489">
        <v>589073</v>
      </c>
      <c r="K112" s="489">
        <v>0</v>
      </c>
      <c r="L112" s="489">
        <v>199107</v>
      </c>
      <c r="M112" s="489">
        <v>11781</v>
      </c>
      <c r="N112" s="489">
        <v>1500</v>
      </c>
      <c r="O112" s="490">
        <v>1.65</v>
      </c>
      <c r="P112" s="491">
        <v>1.65</v>
      </c>
      <c r="Q112" s="500">
        <v>0</v>
      </c>
      <c r="R112" s="502">
        <f t="shared" si="119"/>
        <v>0</v>
      </c>
      <c r="S112" s="492">
        <v>129917</v>
      </c>
      <c r="T112" s="492">
        <v>0</v>
      </c>
      <c r="U112" s="492">
        <v>0</v>
      </c>
      <c r="V112" s="492">
        <f t="shared" si="120"/>
        <v>129917</v>
      </c>
      <c r="W112" s="713">
        <v>0</v>
      </c>
      <c r="X112" s="492">
        <v>0</v>
      </c>
      <c r="Y112" s="492">
        <v>0</v>
      </c>
      <c r="Z112" s="492">
        <f>SUM(W112:Y112)</f>
        <v>0</v>
      </c>
      <c r="AA112" s="492">
        <f>V112+Z112</f>
        <v>129917</v>
      </c>
      <c r="AB112" s="74">
        <f>ROUND((V112+W112+X112)*33.8%,0)</f>
        <v>43912</v>
      </c>
      <c r="AC112" s="74">
        <f>ROUND(V112*2%,0)</f>
        <v>2598</v>
      </c>
      <c r="AD112" s="492">
        <v>3000</v>
      </c>
      <c r="AE112" s="492">
        <v>0</v>
      </c>
      <c r="AF112" s="492">
        <f t="shared" si="121"/>
        <v>3000</v>
      </c>
      <c r="AG112" s="492">
        <f t="shared" si="122"/>
        <v>179427</v>
      </c>
      <c r="AH112" s="493">
        <v>0</v>
      </c>
      <c r="AI112" s="493">
        <v>0</v>
      </c>
      <c r="AJ112" s="493">
        <v>0.38</v>
      </c>
      <c r="AK112" s="493">
        <v>0</v>
      </c>
      <c r="AL112" s="493">
        <v>0</v>
      </c>
      <c r="AM112" s="493">
        <v>0</v>
      </c>
      <c r="AN112" s="493">
        <v>0</v>
      </c>
      <c r="AO112" s="493">
        <f t="shared" si="164"/>
        <v>0.38</v>
      </c>
      <c r="AP112" s="493">
        <f t="shared" si="165"/>
        <v>0</v>
      </c>
      <c r="AQ112" s="495">
        <f t="shared" si="123"/>
        <v>0.38</v>
      </c>
      <c r="AR112" s="501">
        <f>I112+AG112</f>
        <v>980888</v>
      </c>
      <c r="AS112" s="492">
        <f>J112+V112</f>
        <v>718990</v>
      </c>
      <c r="AT112" s="492">
        <f t="shared" si="166"/>
        <v>0</v>
      </c>
      <c r="AU112" s="492">
        <f t="shared" si="167"/>
        <v>243019</v>
      </c>
      <c r="AV112" s="492">
        <f t="shared" si="167"/>
        <v>14379</v>
      </c>
      <c r="AW112" s="492">
        <f>N112+AF112</f>
        <v>4500</v>
      </c>
      <c r="AX112" s="493">
        <f>O112+AQ112</f>
        <v>2.0299999999999998</v>
      </c>
      <c r="AY112" s="493">
        <f t="shared" si="168"/>
        <v>2.0299999999999998</v>
      </c>
      <c r="AZ112" s="495">
        <f t="shared" si="168"/>
        <v>0</v>
      </c>
    </row>
    <row r="113" spans="1:52" ht="12.95" customHeight="1" x14ac:dyDescent="0.25">
      <c r="A113" s="313">
        <v>20</v>
      </c>
      <c r="B113" s="354">
        <v>5426</v>
      </c>
      <c r="C113" s="355">
        <v>600098761</v>
      </c>
      <c r="D113" s="314">
        <v>72742615</v>
      </c>
      <c r="E113" s="356" t="s">
        <v>410</v>
      </c>
      <c r="F113" s="314">
        <v>3141</v>
      </c>
      <c r="G113" s="356" t="s">
        <v>316</v>
      </c>
      <c r="H113" s="317" t="s">
        <v>279</v>
      </c>
      <c r="I113" s="494">
        <v>1041844</v>
      </c>
      <c r="J113" s="489">
        <v>763261</v>
      </c>
      <c r="K113" s="489">
        <v>0</v>
      </c>
      <c r="L113" s="489">
        <v>257982</v>
      </c>
      <c r="M113" s="489">
        <v>15265</v>
      </c>
      <c r="N113" s="489">
        <v>5336</v>
      </c>
      <c r="O113" s="490">
        <v>2.4</v>
      </c>
      <c r="P113" s="491">
        <v>0</v>
      </c>
      <c r="Q113" s="500">
        <v>2.4</v>
      </c>
      <c r="R113" s="502">
        <f t="shared" si="119"/>
        <v>0</v>
      </c>
      <c r="S113" s="492">
        <v>0</v>
      </c>
      <c r="T113" s="492">
        <v>0</v>
      </c>
      <c r="U113" s="492">
        <v>0</v>
      </c>
      <c r="V113" s="492">
        <f t="shared" si="120"/>
        <v>0</v>
      </c>
      <c r="W113" s="713">
        <v>0</v>
      </c>
      <c r="X113" s="492">
        <v>0</v>
      </c>
      <c r="Y113" s="492">
        <v>0</v>
      </c>
      <c r="Z113" s="492">
        <f>SUM(W113:Y113)</f>
        <v>0</v>
      </c>
      <c r="AA113" s="492">
        <f>V113+Z113</f>
        <v>0</v>
      </c>
      <c r="AB113" s="74">
        <f>ROUND((V113+W113+X113)*33.8%,0)</f>
        <v>0</v>
      </c>
      <c r="AC113" s="74">
        <f>ROUND(V113*2%,0)</f>
        <v>0</v>
      </c>
      <c r="AD113" s="492">
        <v>0</v>
      </c>
      <c r="AE113" s="492">
        <v>0</v>
      </c>
      <c r="AF113" s="492">
        <f t="shared" si="121"/>
        <v>0</v>
      </c>
      <c r="AG113" s="492">
        <f t="shared" si="122"/>
        <v>0</v>
      </c>
      <c r="AH113" s="493">
        <v>0</v>
      </c>
      <c r="AI113" s="493">
        <v>0</v>
      </c>
      <c r="AJ113" s="493">
        <v>0</v>
      </c>
      <c r="AK113" s="493">
        <v>0</v>
      </c>
      <c r="AL113" s="493">
        <v>0</v>
      </c>
      <c r="AM113" s="493">
        <v>0</v>
      </c>
      <c r="AN113" s="493">
        <v>0</v>
      </c>
      <c r="AO113" s="493">
        <f t="shared" si="164"/>
        <v>0</v>
      </c>
      <c r="AP113" s="493">
        <f t="shared" si="165"/>
        <v>0</v>
      </c>
      <c r="AQ113" s="495">
        <f t="shared" si="123"/>
        <v>0</v>
      </c>
      <c r="AR113" s="501">
        <f>I113+AG113</f>
        <v>1041844</v>
      </c>
      <c r="AS113" s="492">
        <f>J113+V113</f>
        <v>763261</v>
      </c>
      <c r="AT113" s="492">
        <f t="shared" si="166"/>
        <v>0</v>
      </c>
      <c r="AU113" s="492">
        <f t="shared" si="167"/>
        <v>257982</v>
      </c>
      <c r="AV113" s="492">
        <f t="shared" si="167"/>
        <v>15265</v>
      </c>
      <c r="AW113" s="492">
        <f>N113+AF113</f>
        <v>5336</v>
      </c>
      <c r="AX113" s="493">
        <f>O113+AQ113</f>
        <v>2.4</v>
      </c>
      <c r="AY113" s="493">
        <f t="shared" si="168"/>
        <v>0</v>
      </c>
      <c r="AZ113" s="495">
        <f t="shared" si="168"/>
        <v>2.4</v>
      </c>
    </row>
    <row r="114" spans="1:52" ht="12.95" customHeight="1" x14ac:dyDescent="0.25">
      <c r="A114" s="357">
        <v>20</v>
      </c>
      <c r="B114" s="358">
        <v>5426</v>
      </c>
      <c r="C114" s="359">
        <v>600098761</v>
      </c>
      <c r="D114" s="358">
        <v>72742615</v>
      </c>
      <c r="E114" s="360" t="s">
        <v>411</v>
      </c>
      <c r="F114" s="324"/>
      <c r="G114" s="362"/>
      <c r="H114" s="325"/>
      <c r="I114" s="607">
        <v>8432142</v>
      </c>
      <c r="J114" s="604">
        <v>6112898</v>
      </c>
      <c r="K114" s="604">
        <v>62400</v>
      </c>
      <c r="L114" s="604">
        <v>2087251</v>
      </c>
      <c r="M114" s="604">
        <v>122257</v>
      </c>
      <c r="N114" s="604">
        <v>47336</v>
      </c>
      <c r="O114" s="605">
        <v>14.660000000000002</v>
      </c>
      <c r="P114" s="605">
        <v>9.65</v>
      </c>
      <c r="Q114" s="609">
        <v>5.01</v>
      </c>
      <c r="R114" s="607">
        <f t="shared" ref="R114:AZ114" si="169">SUM(R111:R113)</f>
        <v>0</v>
      </c>
      <c r="S114" s="604">
        <f t="shared" si="169"/>
        <v>129917</v>
      </c>
      <c r="T114" s="604">
        <f t="shared" si="169"/>
        <v>0</v>
      </c>
      <c r="U114" s="604">
        <f t="shared" si="169"/>
        <v>0</v>
      </c>
      <c r="V114" s="604">
        <f t="shared" si="169"/>
        <v>129917</v>
      </c>
      <c r="W114" s="604">
        <f t="shared" si="169"/>
        <v>0</v>
      </c>
      <c r="X114" s="604">
        <f t="shared" si="169"/>
        <v>0</v>
      </c>
      <c r="Y114" s="604">
        <f t="shared" si="169"/>
        <v>0</v>
      </c>
      <c r="Z114" s="604">
        <f t="shared" si="169"/>
        <v>0</v>
      </c>
      <c r="AA114" s="604">
        <f t="shared" si="169"/>
        <v>129917</v>
      </c>
      <c r="AB114" s="604">
        <f t="shared" si="169"/>
        <v>43912</v>
      </c>
      <c r="AC114" s="604">
        <f t="shared" si="169"/>
        <v>2598</v>
      </c>
      <c r="AD114" s="604">
        <f t="shared" si="169"/>
        <v>3000</v>
      </c>
      <c r="AE114" s="604">
        <f t="shared" si="169"/>
        <v>0</v>
      </c>
      <c r="AF114" s="604">
        <f t="shared" si="169"/>
        <v>3000</v>
      </c>
      <c r="AG114" s="604">
        <f t="shared" si="169"/>
        <v>179427</v>
      </c>
      <c r="AH114" s="605">
        <f t="shared" si="169"/>
        <v>0</v>
      </c>
      <c r="AI114" s="605">
        <f t="shared" si="169"/>
        <v>0</v>
      </c>
      <c r="AJ114" s="605">
        <f t="shared" si="169"/>
        <v>0.38</v>
      </c>
      <c r="AK114" s="605">
        <f t="shared" si="169"/>
        <v>0</v>
      </c>
      <c r="AL114" s="605">
        <f t="shared" si="169"/>
        <v>0</v>
      </c>
      <c r="AM114" s="605">
        <f t="shared" si="169"/>
        <v>0</v>
      </c>
      <c r="AN114" s="605">
        <f t="shared" si="169"/>
        <v>0</v>
      </c>
      <c r="AO114" s="605">
        <f t="shared" si="169"/>
        <v>0.38</v>
      </c>
      <c r="AP114" s="605">
        <f t="shared" si="169"/>
        <v>0</v>
      </c>
      <c r="AQ114" s="366">
        <f t="shared" si="169"/>
        <v>0.38</v>
      </c>
      <c r="AR114" s="611">
        <f t="shared" si="169"/>
        <v>8611569</v>
      </c>
      <c r="AS114" s="604">
        <f t="shared" si="169"/>
        <v>6242815</v>
      </c>
      <c r="AT114" s="604">
        <f t="shared" si="169"/>
        <v>62400</v>
      </c>
      <c r="AU114" s="604">
        <f t="shared" si="169"/>
        <v>2131163</v>
      </c>
      <c r="AV114" s="604">
        <f t="shared" si="169"/>
        <v>124855</v>
      </c>
      <c r="AW114" s="604">
        <f t="shared" si="169"/>
        <v>50336</v>
      </c>
      <c r="AX114" s="605">
        <f t="shared" si="169"/>
        <v>15.040000000000001</v>
      </c>
      <c r="AY114" s="605">
        <f t="shared" si="169"/>
        <v>10.029999999999999</v>
      </c>
      <c r="AZ114" s="366">
        <f t="shared" si="169"/>
        <v>5.01</v>
      </c>
    </row>
    <row r="115" spans="1:52" ht="12.95" customHeight="1" x14ac:dyDescent="0.25">
      <c r="A115" s="313">
        <v>21</v>
      </c>
      <c r="B115" s="354">
        <v>5423</v>
      </c>
      <c r="C115" s="355">
        <v>600098516</v>
      </c>
      <c r="D115" s="314">
        <v>72742453</v>
      </c>
      <c r="E115" s="356" t="s">
        <v>412</v>
      </c>
      <c r="F115" s="314">
        <v>3111</v>
      </c>
      <c r="G115" s="356" t="s">
        <v>326</v>
      </c>
      <c r="H115" s="317" t="s">
        <v>278</v>
      </c>
      <c r="I115" s="494">
        <v>10047041</v>
      </c>
      <c r="J115" s="489">
        <v>7354007</v>
      </c>
      <c r="K115" s="489">
        <v>0</v>
      </c>
      <c r="L115" s="489">
        <v>2485654</v>
      </c>
      <c r="M115" s="489">
        <v>147080</v>
      </c>
      <c r="N115" s="489">
        <v>60300</v>
      </c>
      <c r="O115" s="490">
        <v>16.567700000000002</v>
      </c>
      <c r="P115" s="491">
        <v>11.967700000000001</v>
      </c>
      <c r="Q115" s="500">
        <v>4.5999999999999996</v>
      </c>
      <c r="R115" s="502">
        <f t="shared" si="119"/>
        <v>0</v>
      </c>
      <c r="S115" s="492">
        <v>0</v>
      </c>
      <c r="T115" s="492">
        <v>0</v>
      </c>
      <c r="U115" s="492">
        <v>0</v>
      </c>
      <c r="V115" s="492">
        <f t="shared" si="120"/>
        <v>0</v>
      </c>
      <c r="W115" s="492">
        <v>0</v>
      </c>
      <c r="X115" s="492">
        <v>0</v>
      </c>
      <c r="Y115" s="492">
        <v>0</v>
      </c>
      <c r="Z115" s="492">
        <f>SUM(W115:Y115)</f>
        <v>0</v>
      </c>
      <c r="AA115" s="492">
        <f>V115+Z115</f>
        <v>0</v>
      </c>
      <c r="AB115" s="74">
        <f>ROUND((V115+W115+X115)*33.8%,0)</f>
        <v>0</v>
      </c>
      <c r="AC115" s="74">
        <f>ROUND(V115*2%,0)</f>
        <v>0</v>
      </c>
      <c r="AD115" s="492">
        <v>0</v>
      </c>
      <c r="AE115" s="492">
        <v>0</v>
      </c>
      <c r="AF115" s="492">
        <f t="shared" si="121"/>
        <v>0</v>
      </c>
      <c r="AG115" s="492">
        <f t="shared" si="122"/>
        <v>0</v>
      </c>
      <c r="AH115" s="493">
        <v>0</v>
      </c>
      <c r="AI115" s="493">
        <v>0</v>
      </c>
      <c r="AJ115" s="493">
        <v>0</v>
      </c>
      <c r="AK115" s="493">
        <v>0</v>
      </c>
      <c r="AL115" s="493">
        <v>0</v>
      </c>
      <c r="AM115" s="493">
        <v>0</v>
      </c>
      <c r="AN115" s="493">
        <v>0</v>
      </c>
      <c r="AO115" s="493">
        <f t="shared" ref="AO115:AO117" si="170">AH115+AJ115+AK115+AM115</f>
        <v>0</v>
      </c>
      <c r="AP115" s="493">
        <f t="shared" ref="AP115:AP117" si="171">AI115+AN115+AL115</f>
        <v>0</v>
      </c>
      <c r="AQ115" s="495">
        <f t="shared" si="123"/>
        <v>0</v>
      </c>
      <c r="AR115" s="501">
        <f>I115+AG115</f>
        <v>10047041</v>
      </c>
      <c r="AS115" s="492">
        <f>J115+V115</f>
        <v>7354007</v>
      </c>
      <c r="AT115" s="492">
        <f t="shared" ref="AT115:AT117" si="172">K115+Z115</f>
        <v>0</v>
      </c>
      <c r="AU115" s="492">
        <f t="shared" ref="AU115:AV117" si="173">L115+AB115</f>
        <v>2485654</v>
      </c>
      <c r="AV115" s="492">
        <f t="shared" si="173"/>
        <v>147080</v>
      </c>
      <c r="AW115" s="492">
        <f>N115+AF115</f>
        <v>60300</v>
      </c>
      <c r="AX115" s="493">
        <f>O115+AQ115</f>
        <v>16.567700000000002</v>
      </c>
      <c r="AY115" s="493">
        <f t="shared" ref="AY115:AZ117" si="174">P115+AO115</f>
        <v>11.967700000000001</v>
      </c>
      <c r="AZ115" s="495">
        <f t="shared" si="174"/>
        <v>4.5999999999999996</v>
      </c>
    </row>
    <row r="116" spans="1:52" ht="12.95" customHeight="1" x14ac:dyDescent="0.25">
      <c r="A116" s="313">
        <v>21</v>
      </c>
      <c r="B116" s="354">
        <v>5423</v>
      </c>
      <c r="C116" s="355">
        <v>600098516</v>
      </c>
      <c r="D116" s="314">
        <v>72742453</v>
      </c>
      <c r="E116" s="356" t="s">
        <v>412</v>
      </c>
      <c r="F116" s="314">
        <v>3111</v>
      </c>
      <c r="G116" s="356" t="s">
        <v>320</v>
      </c>
      <c r="H116" s="317" t="s">
        <v>279</v>
      </c>
      <c r="I116" s="494">
        <v>431264</v>
      </c>
      <c r="J116" s="489">
        <v>317573</v>
      </c>
      <c r="K116" s="489">
        <v>0</v>
      </c>
      <c r="L116" s="489">
        <v>107340</v>
      </c>
      <c r="M116" s="489">
        <v>6351</v>
      </c>
      <c r="N116" s="489">
        <v>0</v>
      </c>
      <c r="O116" s="490">
        <v>0.90999999999999992</v>
      </c>
      <c r="P116" s="491">
        <v>0.90999999999999992</v>
      </c>
      <c r="Q116" s="500">
        <v>0</v>
      </c>
      <c r="R116" s="502">
        <f t="shared" si="119"/>
        <v>0</v>
      </c>
      <c r="S116" s="492">
        <v>0</v>
      </c>
      <c r="T116" s="492">
        <v>0</v>
      </c>
      <c r="U116" s="492">
        <v>0</v>
      </c>
      <c r="V116" s="492">
        <f t="shared" si="120"/>
        <v>0</v>
      </c>
      <c r="W116" s="492">
        <v>0</v>
      </c>
      <c r="X116" s="492">
        <v>0</v>
      </c>
      <c r="Y116" s="492">
        <v>0</v>
      </c>
      <c r="Z116" s="492">
        <f>SUM(W116:Y116)</f>
        <v>0</v>
      </c>
      <c r="AA116" s="492">
        <f>V116+Z116</f>
        <v>0</v>
      </c>
      <c r="AB116" s="74">
        <f>ROUND((V116+W116+X116)*33.8%,0)</f>
        <v>0</v>
      </c>
      <c r="AC116" s="74">
        <f>ROUND(V116*2%,0)</f>
        <v>0</v>
      </c>
      <c r="AD116" s="492">
        <v>0</v>
      </c>
      <c r="AE116" s="492">
        <v>0</v>
      </c>
      <c r="AF116" s="492">
        <f t="shared" si="121"/>
        <v>0</v>
      </c>
      <c r="AG116" s="492">
        <f t="shared" si="122"/>
        <v>0</v>
      </c>
      <c r="AH116" s="493">
        <v>0</v>
      </c>
      <c r="AI116" s="493">
        <v>0</v>
      </c>
      <c r="AJ116" s="493">
        <v>0</v>
      </c>
      <c r="AK116" s="493">
        <v>0</v>
      </c>
      <c r="AL116" s="493">
        <v>0</v>
      </c>
      <c r="AM116" s="493">
        <v>0</v>
      </c>
      <c r="AN116" s="493">
        <v>0</v>
      </c>
      <c r="AO116" s="493">
        <f t="shared" si="170"/>
        <v>0</v>
      </c>
      <c r="AP116" s="493">
        <f t="shared" si="171"/>
        <v>0</v>
      </c>
      <c r="AQ116" s="495">
        <f t="shared" si="123"/>
        <v>0</v>
      </c>
      <c r="AR116" s="501">
        <f>I116+AG116</f>
        <v>431264</v>
      </c>
      <c r="AS116" s="492">
        <f>J116+V116</f>
        <v>317573</v>
      </c>
      <c r="AT116" s="492">
        <f t="shared" si="172"/>
        <v>0</v>
      </c>
      <c r="AU116" s="492">
        <f t="shared" si="173"/>
        <v>107340</v>
      </c>
      <c r="AV116" s="492">
        <f t="shared" si="173"/>
        <v>6351</v>
      </c>
      <c r="AW116" s="492">
        <f>N116+AF116</f>
        <v>0</v>
      </c>
      <c r="AX116" s="493">
        <f>O116+AQ116</f>
        <v>0.90999999999999992</v>
      </c>
      <c r="AY116" s="493">
        <f t="shared" si="174"/>
        <v>0.90999999999999992</v>
      </c>
      <c r="AZ116" s="495">
        <f t="shared" si="174"/>
        <v>0</v>
      </c>
    </row>
    <row r="117" spans="1:52" ht="12.95" customHeight="1" x14ac:dyDescent="0.25">
      <c r="A117" s="313">
        <v>21</v>
      </c>
      <c r="B117" s="354">
        <v>5423</v>
      </c>
      <c r="C117" s="355">
        <v>600098516</v>
      </c>
      <c r="D117" s="314">
        <v>72742453</v>
      </c>
      <c r="E117" s="356" t="s">
        <v>412</v>
      </c>
      <c r="F117" s="314">
        <v>3141</v>
      </c>
      <c r="G117" s="356" t="s">
        <v>316</v>
      </c>
      <c r="H117" s="317" t="s">
        <v>279</v>
      </c>
      <c r="I117" s="494">
        <v>1676143</v>
      </c>
      <c r="J117" s="489">
        <v>1227855</v>
      </c>
      <c r="K117" s="489">
        <v>0</v>
      </c>
      <c r="L117" s="489">
        <v>415015</v>
      </c>
      <c r="M117" s="489">
        <v>24557</v>
      </c>
      <c r="N117" s="489">
        <v>8716</v>
      </c>
      <c r="O117" s="490">
        <v>3.87</v>
      </c>
      <c r="P117" s="491">
        <v>0</v>
      </c>
      <c r="Q117" s="500">
        <v>3.87</v>
      </c>
      <c r="R117" s="502">
        <f t="shared" si="119"/>
        <v>0</v>
      </c>
      <c r="S117" s="492">
        <v>0</v>
      </c>
      <c r="T117" s="492">
        <v>0</v>
      </c>
      <c r="U117" s="492">
        <v>0</v>
      </c>
      <c r="V117" s="492">
        <f t="shared" si="120"/>
        <v>0</v>
      </c>
      <c r="W117" s="492">
        <v>0</v>
      </c>
      <c r="X117" s="492">
        <v>0</v>
      </c>
      <c r="Y117" s="492">
        <v>0</v>
      </c>
      <c r="Z117" s="492">
        <f>SUM(W117:Y117)</f>
        <v>0</v>
      </c>
      <c r="AA117" s="492">
        <f>V117+Z117</f>
        <v>0</v>
      </c>
      <c r="AB117" s="74">
        <f>ROUND((V117+W117+X117)*33.8%,0)</f>
        <v>0</v>
      </c>
      <c r="AC117" s="74">
        <f>ROUND(V117*2%,0)</f>
        <v>0</v>
      </c>
      <c r="AD117" s="492">
        <v>0</v>
      </c>
      <c r="AE117" s="492">
        <v>0</v>
      </c>
      <c r="AF117" s="492">
        <f t="shared" si="121"/>
        <v>0</v>
      </c>
      <c r="AG117" s="492">
        <f t="shared" si="122"/>
        <v>0</v>
      </c>
      <c r="AH117" s="493">
        <v>0</v>
      </c>
      <c r="AI117" s="493">
        <v>0</v>
      </c>
      <c r="AJ117" s="493">
        <v>0</v>
      </c>
      <c r="AK117" s="493">
        <v>0</v>
      </c>
      <c r="AL117" s="493">
        <v>0</v>
      </c>
      <c r="AM117" s="493">
        <v>0</v>
      </c>
      <c r="AN117" s="493">
        <v>0</v>
      </c>
      <c r="AO117" s="493">
        <f t="shared" si="170"/>
        <v>0</v>
      </c>
      <c r="AP117" s="493">
        <f t="shared" si="171"/>
        <v>0</v>
      </c>
      <c r="AQ117" s="495">
        <f t="shared" si="123"/>
        <v>0</v>
      </c>
      <c r="AR117" s="501">
        <f>I117+AG117</f>
        <v>1676143</v>
      </c>
      <c r="AS117" s="492">
        <f>J117+V117</f>
        <v>1227855</v>
      </c>
      <c r="AT117" s="492">
        <f t="shared" si="172"/>
        <v>0</v>
      </c>
      <c r="AU117" s="492">
        <f t="shared" si="173"/>
        <v>415015</v>
      </c>
      <c r="AV117" s="492">
        <f t="shared" si="173"/>
        <v>24557</v>
      </c>
      <c r="AW117" s="492">
        <f>N117+AF117</f>
        <v>8716</v>
      </c>
      <c r="AX117" s="493">
        <f>O117+AQ117</f>
        <v>3.87</v>
      </c>
      <c r="AY117" s="493">
        <f t="shared" si="174"/>
        <v>0</v>
      </c>
      <c r="AZ117" s="495">
        <f t="shared" si="174"/>
        <v>3.87</v>
      </c>
    </row>
    <row r="118" spans="1:52" ht="12.95" customHeight="1" x14ac:dyDescent="0.25">
      <c r="A118" s="357">
        <v>21</v>
      </c>
      <c r="B118" s="358">
        <v>5423</v>
      </c>
      <c r="C118" s="359">
        <v>600098516</v>
      </c>
      <c r="D118" s="358">
        <v>72742453</v>
      </c>
      <c r="E118" s="360" t="s">
        <v>413</v>
      </c>
      <c r="F118" s="324"/>
      <c r="G118" s="362"/>
      <c r="H118" s="325"/>
      <c r="I118" s="606">
        <v>12154448</v>
      </c>
      <c r="J118" s="602">
        <v>8899435</v>
      </c>
      <c r="K118" s="602">
        <v>0</v>
      </c>
      <c r="L118" s="602">
        <v>3008009</v>
      </c>
      <c r="M118" s="602">
        <v>177988</v>
      </c>
      <c r="N118" s="602">
        <v>69016</v>
      </c>
      <c r="O118" s="603">
        <v>21.347700000000003</v>
      </c>
      <c r="P118" s="603">
        <v>12.877700000000001</v>
      </c>
      <c r="Q118" s="608">
        <v>8.4699999999999989</v>
      </c>
      <c r="R118" s="606">
        <f t="shared" ref="R118:AZ118" si="175">SUM(R115:R117)</f>
        <v>0</v>
      </c>
      <c r="S118" s="602">
        <f t="shared" si="175"/>
        <v>0</v>
      </c>
      <c r="T118" s="602">
        <f t="shared" si="175"/>
        <v>0</v>
      </c>
      <c r="U118" s="602">
        <f t="shared" si="175"/>
        <v>0</v>
      </c>
      <c r="V118" s="602">
        <f t="shared" si="175"/>
        <v>0</v>
      </c>
      <c r="W118" s="602">
        <f t="shared" si="175"/>
        <v>0</v>
      </c>
      <c r="X118" s="602">
        <f t="shared" si="175"/>
        <v>0</v>
      </c>
      <c r="Y118" s="602">
        <f t="shared" si="175"/>
        <v>0</v>
      </c>
      <c r="Z118" s="602">
        <f t="shared" si="175"/>
        <v>0</v>
      </c>
      <c r="AA118" s="602">
        <f t="shared" si="175"/>
        <v>0</v>
      </c>
      <c r="AB118" s="602">
        <f t="shared" si="175"/>
        <v>0</v>
      </c>
      <c r="AC118" s="602">
        <f t="shared" si="175"/>
        <v>0</v>
      </c>
      <c r="AD118" s="602">
        <f t="shared" si="175"/>
        <v>0</v>
      </c>
      <c r="AE118" s="602">
        <f t="shared" si="175"/>
        <v>0</v>
      </c>
      <c r="AF118" s="602">
        <f t="shared" si="175"/>
        <v>0</v>
      </c>
      <c r="AG118" s="602">
        <f t="shared" si="175"/>
        <v>0</v>
      </c>
      <c r="AH118" s="603">
        <f t="shared" si="175"/>
        <v>0</v>
      </c>
      <c r="AI118" s="603">
        <f t="shared" si="175"/>
        <v>0</v>
      </c>
      <c r="AJ118" s="603">
        <f t="shared" si="175"/>
        <v>0</v>
      </c>
      <c r="AK118" s="603">
        <f t="shared" si="175"/>
        <v>0</v>
      </c>
      <c r="AL118" s="603">
        <f t="shared" si="175"/>
        <v>0</v>
      </c>
      <c r="AM118" s="603">
        <f t="shared" si="175"/>
        <v>0</v>
      </c>
      <c r="AN118" s="603">
        <f t="shared" si="175"/>
        <v>0</v>
      </c>
      <c r="AO118" s="603">
        <f t="shared" si="175"/>
        <v>0</v>
      </c>
      <c r="AP118" s="603">
        <f t="shared" si="175"/>
        <v>0</v>
      </c>
      <c r="AQ118" s="361">
        <f t="shared" si="175"/>
        <v>0</v>
      </c>
      <c r="AR118" s="610">
        <f t="shared" si="175"/>
        <v>12154448</v>
      </c>
      <c r="AS118" s="602">
        <f t="shared" si="175"/>
        <v>8899435</v>
      </c>
      <c r="AT118" s="602">
        <f t="shared" si="175"/>
        <v>0</v>
      </c>
      <c r="AU118" s="602">
        <f t="shared" si="175"/>
        <v>3008009</v>
      </c>
      <c r="AV118" s="602">
        <f t="shared" si="175"/>
        <v>177988</v>
      </c>
      <c r="AW118" s="602">
        <f t="shared" si="175"/>
        <v>69016</v>
      </c>
      <c r="AX118" s="603">
        <f t="shared" si="175"/>
        <v>21.347700000000003</v>
      </c>
      <c r="AY118" s="603">
        <f t="shared" si="175"/>
        <v>12.877700000000001</v>
      </c>
      <c r="AZ118" s="361">
        <f t="shared" si="175"/>
        <v>8.4699999999999989</v>
      </c>
    </row>
    <row r="119" spans="1:52" ht="12.75" customHeight="1" x14ac:dyDescent="0.25">
      <c r="A119" s="313">
        <v>22</v>
      </c>
      <c r="B119" s="354">
        <v>5422</v>
      </c>
      <c r="C119" s="355">
        <v>600099181</v>
      </c>
      <c r="D119" s="314">
        <v>854751</v>
      </c>
      <c r="E119" s="356" t="s">
        <v>414</v>
      </c>
      <c r="F119" s="314">
        <v>3113</v>
      </c>
      <c r="G119" s="356" t="s">
        <v>330</v>
      </c>
      <c r="H119" s="317" t="s">
        <v>278</v>
      </c>
      <c r="I119" s="494">
        <v>38679051</v>
      </c>
      <c r="J119" s="489">
        <v>27744026</v>
      </c>
      <c r="K119" s="489">
        <v>58500</v>
      </c>
      <c r="L119" s="489">
        <v>9397254</v>
      </c>
      <c r="M119" s="489">
        <v>554881</v>
      </c>
      <c r="N119" s="489">
        <v>924390</v>
      </c>
      <c r="O119" s="490">
        <v>49.683999999999997</v>
      </c>
      <c r="P119" s="491">
        <v>38.095199999999998</v>
      </c>
      <c r="Q119" s="500">
        <v>11.588799999999999</v>
      </c>
      <c r="R119" s="502">
        <f t="shared" si="119"/>
        <v>0</v>
      </c>
      <c r="S119" s="492">
        <v>0</v>
      </c>
      <c r="T119" s="492">
        <v>0</v>
      </c>
      <c r="U119" s="492">
        <v>0</v>
      </c>
      <c r="V119" s="492">
        <f t="shared" si="120"/>
        <v>0</v>
      </c>
      <c r="W119" s="713">
        <v>0</v>
      </c>
      <c r="X119" s="492">
        <v>0</v>
      </c>
      <c r="Y119" s="492">
        <v>0</v>
      </c>
      <c r="Z119" s="492">
        <f>SUM(W119:Y119)</f>
        <v>0</v>
      </c>
      <c r="AA119" s="492">
        <f>V119+Z119</f>
        <v>0</v>
      </c>
      <c r="AB119" s="74">
        <f>ROUND((V119+W119+X119)*33.8%,0)</f>
        <v>0</v>
      </c>
      <c r="AC119" s="74">
        <f>ROUND(V119*2%,0)</f>
        <v>0</v>
      </c>
      <c r="AD119" s="492">
        <v>0</v>
      </c>
      <c r="AE119" s="492">
        <v>0</v>
      </c>
      <c r="AF119" s="492">
        <f t="shared" si="121"/>
        <v>0</v>
      </c>
      <c r="AG119" s="492">
        <f t="shared" si="122"/>
        <v>0</v>
      </c>
      <c r="AH119" s="493">
        <v>0</v>
      </c>
      <c r="AI119" s="493">
        <v>0</v>
      </c>
      <c r="AJ119" s="493">
        <v>0</v>
      </c>
      <c r="AK119" s="493">
        <v>0</v>
      </c>
      <c r="AL119" s="493">
        <v>0</v>
      </c>
      <c r="AM119" s="493">
        <v>0</v>
      </c>
      <c r="AN119" s="493">
        <v>0</v>
      </c>
      <c r="AO119" s="493">
        <f t="shared" ref="AO119:AO123" si="176">AH119+AJ119+AK119+AM119</f>
        <v>0</v>
      </c>
      <c r="AP119" s="493">
        <f t="shared" ref="AP119:AP123" si="177">AI119+AN119+AL119</f>
        <v>0</v>
      </c>
      <c r="AQ119" s="495">
        <f t="shared" si="123"/>
        <v>0</v>
      </c>
      <c r="AR119" s="501">
        <f>I119+AG119</f>
        <v>38679051</v>
      </c>
      <c r="AS119" s="492">
        <f>J119+V119</f>
        <v>27744026</v>
      </c>
      <c r="AT119" s="492">
        <f t="shared" ref="AT119:AT123" si="178">K119+Z119</f>
        <v>58500</v>
      </c>
      <c r="AU119" s="492">
        <f t="shared" ref="AU119:AV123" si="179">L119+AB119</f>
        <v>9397254</v>
      </c>
      <c r="AV119" s="492">
        <f t="shared" si="179"/>
        <v>554881</v>
      </c>
      <c r="AW119" s="492">
        <f>N119+AF119</f>
        <v>924390</v>
      </c>
      <c r="AX119" s="493">
        <f>O119+AQ119</f>
        <v>49.683999999999997</v>
      </c>
      <c r="AY119" s="493">
        <f t="shared" ref="AY119:AZ123" si="180">P119+AO119</f>
        <v>38.095199999999998</v>
      </c>
      <c r="AZ119" s="495">
        <f t="shared" si="180"/>
        <v>11.588799999999999</v>
      </c>
    </row>
    <row r="120" spans="1:52" ht="12.95" customHeight="1" x14ac:dyDescent="0.25">
      <c r="A120" s="313">
        <v>22</v>
      </c>
      <c r="B120" s="354">
        <v>5422</v>
      </c>
      <c r="C120" s="355">
        <v>600099181</v>
      </c>
      <c r="D120" s="314">
        <v>854751</v>
      </c>
      <c r="E120" s="356" t="s">
        <v>414</v>
      </c>
      <c r="F120" s="314">
        <v>3113</v>
      </c>
      <c r="G120" s="356" t="s">
        <v>320</v>
      </c>
      <c r="H120" s="317" t="s">
        <v>279</v>
      </c>
      <c r="I120" s="494">
        <v>3317928</v>
      </c>
      <c r="J120" s="489">
        <v>2442730</v>
      </c>
      <c r="K120" s="489">
        <v>0</v>
      </c>
      <c r="L120" s="489">
        <v>825643</v>
      </c>
      <c r="M120" s="489">
        <v>48855</v>
      </c>
      <c r="N120" s="489">
        <v>700</v>
      </c>
      <c r="O120" s="490">
        <v>6.94</v>
      </c>
      <c r="P120" s="491">
        <v>6.94</v>
      </c>
      <c r="Q120" s="500">
        <v>0</v>
      </c>
      <c r="R120" s="502">
        <f t="shared" si="119"/>
        <v>0</v>
      </c>
      <c r="S120" s="492">
        <v>0</v>
      </c>
      <c r="T120" s="492">
        <v>0</v>
      </c>
      <c r="U120" s="492">
        <v>0</v>
      </c>
      <c r="V120" s="492">
        <f t="shared" si="120"/>
        <v>0</v>
      </c>
      <c r="W120" s="713">
        <v>0</v>
      </c>
      <c r="X120" s="492">
        <v>0</v>
      </c>
      <c r="Y120" s="492">
        <v>0</v>
      </c>
      <c r="Z120" s="492">
        <f>SUM(W120:Y120)</f>
        <v>0</v>
      </c>
      <c r="AA120" s="492">
        <f>V120+Z120</f>
        <v>0</v>
      </c>
      <c r="AB120" s="74">
        <f>ROUND((V120+W120+X120)*33.8%,0)</f>
        <v>0</v>
      </c>
      <c r="AC120" s="74">
        <f>ROUND(V120*2%,0)</f>
        <v>0</v>
      </c>
      <c r="AD120" s="492">
        <v>0</v>
      </c>
      <c r="AE120" s="492">
        <v>0</v>
      </c>
      <c r="AF120" s="492">
        <f t="shared" si="121"/>
        <v>0</v>
      </c>
      <c r="AG120" s="492">
        <f t="shared" si="122"/>
        <v>0</v>
      </c>
      <c r="AH120" s="493">
        <v>0</v>
      </c>
      <c r="AI120" s="493">
        <v>0</v>
      </c>
      <c r="AJ120" s="493">
        <v>0</v>
      </c>
      <c r="AK120" s="493">
        <v>0</v>
      </c>
      <c r="AL120" s="493">
        <v>0</v>
      </c>
      <c r="AM120" s="493">
        <v>0</v>
      </c>
      <c r="AN120" s="493">
        <v>0</v>
      </c>
      <c r="AO120" s="493">
        <f t="shared" si="176"/>
        <v>0</v>
      </c>
      <c r="AP120" s="493">
        <f t="shared" si="177"/>
        <v>0</v>
      </c>
      <c r="AQ120" s="495">
        <f t="shared" si="123"/>
        <v>0</v>
      </c>
      <c r="AR120" s="501">
        <f>I120+AG120</f>
        <v>3317928</v>
      </c>
      <c r="AS120" s="492">
        <f>J120+V120</f>
        <v>2442730</v>
      </c>
      <c r="AT120" s="492">
        <f t="shared" si="178"/>
        <v>0</v>
      </c>
      <c r="AU120" s="492">
        <f t="shared" si="179"/>
        <v>825643</v>
      </c>
      <c r="AV120" s="492">
        <f t="shared" si="179"/>
        <v>48855</v>
      </c>
      <c r="AW120" s="492">
        <f>N120+AF120</f>
        <v>700</v>
      </c>
      <c r="AX120" s="493">
        <f>O120+AQ120</f>
        <v>6.94</v>
      </c>
      <c r="AY120" s="493">
        <f t="shared" si="180"/>
        <v>6.94</v>
      </c>
      <c r="AZ120" s="495">
        <f t="shared" si="180"/>
        <v>0</v>
      </c>
    </row>
    <row r="121" spans="1:52" ht="12.95" customHeight="1" x14ac:dyDescent="0.25">
      <c r="A121" s="313">
        <v>22</v>
      </c>
      <c r="B121" s="354">
        <v>5422</v>
      </c>
      <c r="C121" s="355">
        <v>600099181</v>
      </c>
      <c r="D121" s="314">
        <v>854751</v>
      </c>
      <c r="E121" s="356" t="s">
        <v>414</v>
      </c>
      <c r="F121" s="314">
        <v>3141</v>
      </c>
      <c r="G121" s="356" t="s">
        <v>316</v>
      </c>
      <c r="H121" s="317" t="s">
        <v>279</v>
      </c>
      <c r="I121" s="494">
        <v>3821656</v>
      </c>
      <c r="J121" s="489">
        <v>2780612</v>
      </c>
      <c r="K121" s="489">
        <v>6500</v>
      </c>
      <c r="L121" s="489">
        <v>942044</v>
      </c>
      <c r="M121" s="489">
        <v>55612</v>
      </c>
      <c r="N121" s="489">
        <v>36888</v>
      </c>
      <c r="O121" s="490">
        <v>8.7799999999999994</v>
      </c>
      <c r="P121" s="491">
        <v>0</v>
      </c>
      <c r="Q121" s="500">
        <v>8.7799999999999994</v>
      </c>
      <c r="R121" s="502">
        <f t="shared" si="119"/>
        <v>0</v>
      </c>
      <c r="S121" s="492">
        <v>0</v>
      </c>
      <c r="T121" s="492">
        <v>0</v>
      </c>
      <c r="U121" s="492">
        <v>0</v>
      </c>
      <c r="V121" s="492">
        <f t="shared" si="120"/>
        <v>0</v>
      </c>
      <c r="W121" s="713">
        <v>0</v>
      </c>
      <c r="X121" s="492">
        <v>0</v>
      </c>
      <c r="Y121" s="492">
        <v>0</v>
      </c>
      <c r="Z121" s="492">
        <f>SUM(W121:Y121)</f>
        <v>0</v>
      </c>
      <c r="AA121" s="492">
        <f>V121+Z121</f>
        <v>0</v>
      </c>
      <c r="AB121" s="74">
        <f>ROUND((V121+W121+X121)*33.8%,0)</f>
        <v>0</v>
      </c>
      <c r="AC121" s="74">
        <f>ROUND(V121*2%,0)</f>
        <v>0</v>
      </c>
      <c r="AD121" s="492">
        <v>0</v>
      </c>
      <c r="AE121" s="492">
        <v>0</v>
      </c>
      <c r="AF121" s="492">
        <f t="shared" si="121"/>
        <v>0</v>
      </c>
      <c r="AG121" s="492">
        <f t="shared" si="122"/>
        <v>0</v>
      </c>
      <c r="AH121" s="493">
        <v>0</v>
      </c>
      <c r="AI121" s="493">
        <v>0</v>
      </c>
      <c r="AJ121" s="493">
        <v>0</v>
      </c>
      <c r="AK121" s="493">
        <v>0</v>
      </c>
      <c r="AL121" s="493">
        <v>0</v>
      </c>
      <c r="AM121" s="493">
        <v>0</v>
      </c>
      <c r="AN121" s="493">
        <v>0</v>
      </c>
      <c r="AO121" s="493">
        <f t="shared" si="176"/>
        <v>0</v>
      </c>
      <c r="AP121" s="493">
        <f t="shared" si="177"/>
        <v>0</v>
      </c>
      <c r="AQ121" s="495">
        <f t="shared" si="123"/>
        <v>0</v>
      </c>
      <c r="AR121" s="501">
        <f>I121+AG121</f>
        <v>3821656</v>
      </c>
      <c r="AS121" s="492">
        <f>J121+V121</f>
        <v>2780612</v>
      </c>
      <c r="AT121" s="492">
        <f t="shared" si="178"/>
        <v>6500</v>
      </c>
      <c r="AU121" s="492">
        <f t="shared" si="179"/>
        <v>942044</v>
      </c>
      <c r="AV121" s="492">
        <f t="shared" si="179"/>
        <v>55612</v>
      </c>
      <c r="AW121" s="492">
        <f>N121+AF121</f>
        <v>36888</v>
      </c>
      <c r="AX121" s="493">
        <f>O121+AQ121</f>
        <v>8.7799999999999994</v>
      </c>
      <c r="AY121" s="493">
        <f t="shared" si="180"/>
        <v>0</v>
      </c>
      <c r="AZ121" s="495">
        <f t="shared" si="180"/>
        <v>8.7799999999999994</v>
      </c>
    </row>
    <row r="122" spans="1:52" ht="12.95" customHeight="1" x14ac:dyDescent="0.25">
      <c r="A122" s="313">
        <v>22</v>
      </c>
      <c r="B122" s="354">
        <v>5422</v>
      </c>
      <c r="C122" s="355">
        <v>600099181</v>
      </c>
      <c r="D122" s="314">
        <v>854751</v>
      </c>
      <c r="E122" s="356" t="s">
        <v>414</v>
      </c>
      <c r="F122" s="314">
        <v>3143</v>
      </c>
      <c r="G122" s="356" t="s">
        <v>629</v>
      </c>
      <c r="H122" s="317" t="s">
        <v>278</v>
      </c>
      <c r="I122" s="494">
        <v>2208860</v>
      </c>
      <c r="J122" s="489">
        <v>1626554</v>
      </c>
      <c r="K122" s="489">
        <v>0</v>
      </c>
      <c r="L122" s="489">
        <v>549775</v>
      </c>
      <c r="M122" s="489">
        <v>32531</v>
      </c>
      <c r="N122" s="489">
        <v>0</v>
      </c>
      <c r="O122" s="490">
        <v>3.4821</v>
      </c>
      <c r="P122" s="491">
        <v>3.4821</v>
      </c>
      <c r="Q122" s="500">
        <v>0</v>
      </c>
      <c r="R122" s="502">
        <f t="shared" si="119"/>
        <v>0</v>
      </c>
      <c r="S122" s="492">
        <v>0</v>
      </c>
      <c r="T122" s="492">
        <v>0</v>
      </c>
      <c r="U122" s="492">
        <v>0</v>
      </c>
      <c r="V122" s="492">
        <f t="shared" si="120"/>
        <v>0</v>
      </c>
      <c r="W122" s="713">
        <v>0</v>
      </c>
      <c r="X122" s="492">
        <v>0</v>
      </c>
      <c r="Y122" s="492">
        <v>0</v>
      </c>
      <c r="Z122" s="492">
        <f>SUM(W122:Y122)</f>
        <v>0</v>
      </c>
      <c r="AA122" s="492">
        <f>V122+Z122</f>
        <v>0</v>
      </c>
      <c r="AB122" s="74">
        <f>ROUND((V122+W122+X122)*33.8%,0)</f>
        <v>0</v>
      </c>
      <c r="AC122" s="74">
        <f>ROUND(V122*2%,0)</f>
        <v>0</v>
      </c>
      <c r="AD122" s="492">
        <v>0</v>
      </c>
      <c r="AE122" s="492">
        <v>0</v>
      </c>
      <c r="AF122" s="492">
        <f t="shared" si="121"/>
        <v>0</v>
      </c>
      <c r="AG122" s="492">
        <f t="shared" si="122"/>
        <v>0</v>
      </c>
      <c r="AH122" s="493">
        <v>0</v>
      </c>
      <c r="AI122" s="493">
        <v>0</v>
      </c>
      <c r="AJ122" s="493">
        <v>0</v>
      </c>
      <c r="AK122" s="493">
        <v>0</v>
      </c>
      <c r="AL122" s="493">
        <v>0</v>
      </c>
      <c r="AM122" s="493">
        <v>0</v>
      </c>
      <c r="AN122" s="493">
        <v>0</v>
      </c>
      <c r="AO122" s="493">
        <f t="shared" si="176"/>
        <v>0</v>
      </c>
      <c r="AP122" s="493">
        <f t="shared" si="177"/>
        <v>0</v>
      </c>
      <c r="AQ122" s="495">
        <f t="shared" si="123"/>
        <v>0</v>
      </c>
      <c r="AR122" s="501">
        <f>I122+AG122</f>
        <v>2208860</v>
      </c>
      <c r="AS122" s="492">
        <f>J122+V122</f>
        <v>1626554</v>
      </c>
      <c r="AT122" s="492">
        <f t="shared" si="178"/>
        <v>0</v>
      </c>
      <c r="AU122" s="492">
        <f t="shared" si="179"/>
        <v>549775</v>
      </c>
      <c r="AV122" s="492">
        <f t="shared" si="179"/>
        <v>32531</v>
      </c>
      <c r="AW122" s="492">
        <f>N122+AF122</f>
        <v>0</v>
      </c>
      <c r="AX122" s="493">
        <f>O122+AQ122</f>
        <v>3.4821</v>
      </c>
      <c r="AY122" s="493">
        <f t="shared" si="180"/>
        <v>3.4821</v>
      </c>
      <c r="AZ122" s="495">
        <f t="shared" si="180"/>
        <v>0</v>
      </c>
    </row>
    <row r="123" spans="1:52" ht="12.95" customHeight="1" x14ac:dyDescent="0.25">
      <c r="A123" s="313">
        <v>22</v>
      </c>
      <c r="B123" s="354">
        <v>5422</v>
      </c>
      <c r="C123" s="355">
        <v>600099181</v>
      </c>
      <c r="D123" s="314">
        <v>854751</v>
      </c>
      <c r="E123" s="356" t="s">
        <v>414</v>
      </c>
      <c r="F123" s="314">
        <v>3143</v>
      </c>
      <c r="G123" s="356" t="s">
        <v>630</v>
      </c>
      <c r="H123" s="317" t="s">
        <v>279</v>
      </c>
      <c r="I123" s="494">
        <v>74844</v>
      </c>
      <c r="J123" s="489">
        <v>52926</v>
      </c>
      <c r="K123" s="489">
        <v>0</v>
      </c>
      <c r="L123" s="489">
        <v>17889</v>
      </c>
      <c r="M123" s="489">
        <v>1059</v>
      </c>
      <c r="N123" s="489">
        <v>2970</v>
      </c>
      <c r="O123" s="490">
        <v>0.21</v>
      </c>
      <c r="P123" s="491">
        <v>0</v>
      </c>
      <c r="Q123" s="500">
        <v>0.21</v>
      </c>
      <c r="R123" s="502">
        <f t="shared" si="119"/>
        <v>0</v>
      </c>
      <c r="S123" s="492">
        <v>0</v>
      </c>
      <c r="T123" s="492">
        <v>0</v>
      </c>
      <c r="U123" s="492">
        <v>0</v>
      </c>
      <c r="V123" s="492">
        <f t="shared" si="120"/>
        <v>0</v>
      </c>
      <c r="W123" s="713">
        <v>0</v>
      </c>
      <c r="X123" s="492">
        <v>0</v>
      </c>
      <c r="Y123" s="492">
        <v>0</v>
      </c>
      <c r="Z123" s="492">
        <f>SUM(W123:Y123)</f>
        <v>0</v>
      </c>
      <c r="AA123" s="492">
        <f>V123+Z123</f>
        <v>0</v>
      </c>
      <c r="AB123" s="74">
        <f>ROUND((V123+W123+X123)*33.8%,0)</f>
        <v>0</v>
      </c>
      <c r="AC123" s="74">
        <f>ROUND(V123*2%,0)</f>
        <v>0</v>
      </c>
      <c r="AD123" s="492">
        <v>0</v>
      </c>
      <c r="AE123" s="492">
        <v>0</v>
      </c>
      <c r="AF123" s="492">
        <f t="shared" si="121"/>
        <v>0</v>
      </c>
      <c r="AG123" s="492">
        <f t="shared" si="122"/>
        <v>0</v>
      </c>
      <c r="AH123" s="493">
        <v>0</v>
      </c>
      <c r="AI123" s="493">
        <v>0</v>
      </c>
      <c r="AJ123" s="493">
        <v>0</v>
      </c>
      <c r="AK123" s="493">
        <v>0</v>
      </c>
      <c r="AL123" s="493">
        <v>0</v>
      </c>
      <c r="AM123" s="493">
        <v>0</v>
      </c>
      <c r="AN123" s="493">
        <v>0</v>
      </c>
      <c r="AO123" s="493">
        <f t="shared" si="176"/>
        <v>0</v>
      </c>
      <c r="AP123" s="493">
        <f t="shared" si="177"/>
        <v>0</v>
      </c>
      <c r="AQ123" s="495">
        <f t="shared" si="123"/>
        <v>0</v>
      </c>
      <c r="AR123" s="501">
        <f>I123+AG123</f>
        <v>74844</v>
      </c>
      <c r="AS123" s="492">
        <f>J123+V123</f>
        <v>52926</v>
      </c>
      <c r="AT123" s="492">
        <f t="shared" si="178"/>
        <v>0</v>
      </c>
      <c r="AU123" s="492">
        <f t="shared" si="179"/>
        <v>17889</v>
      </c>
      <c r="AV123" s="492">
        <f t="shared" si="179"/>
        <v>1059</v>
      </c>
      <c r="AW123" s="492">
        <f>N123+AF123</f>
        <v>2970</v>
      </c>
      <c r="AX123" s="493">
        <f>O123+AQ123</f>
        <v>0.21</v>
      </c>
      <c r="AY123" s="493">
        <f t="shared" si="180"/>
        <v>0</v>
      </c>
      <c r="AZ123" s="495">
        <f t="shared" si="180"/>
        <v>0.21</v>
      </c>
    </row>
    <row r="124" spans="1:52" ht="12.95" customHeight="1" x14ac:dyDescent="0.25">
      <c r="A124" s="357">
        <v>22</v>
      </c>
      <c r="B124" s="358">
        <v>5422</v>
      </c>
      <c r="C124" s="359">
        <v>600099181</v>
      </c>
      <c r="D124" s="358">
        <v>854751</v>
      </c>
      <c r="E124" s="360" t="s">
        <v>415</v>
      </c>
      <c r="F124" s="324"/>
      <c r="G124" s="362"/>
      <c r="H124" s="325"/>
      <c r="I124" s="606">
        <v>48102339</v>
      </c>
      <c r="J124" s="602">
        <v>34646848</v>
      </c>
      <c r="K124" s="602">
        <v>65000</v>
      </c>
      <c r="L124" s="602">
        <v>11732605</v>
      </c>
      <c r="M124" s="602">
        <v>692938</v>
      </c>
      <c r="N124" s="602">
        <v>964948</v>
      </c>
      <c r="O124" s="603">
        <v>69.096099999999993</v>
      </c>
      <c r="P124" s="603">
        <v>48.517299999999999</v>
      </c>
      <c r="Q124" s="608">
        <v>20.578800000000001</v>
      </c>
      <c r="R124" s="606">
        <f t="shared" ref="R124:AZ124" si="181">SUM(R119:R123)</f>
        <v>0</v>
      </c>
      <c r="S124" s="602">
        <f t="shared" si="181"/>
        <v>0</v>
      </c>
      <c r="T124" s="602">
        <f t="shared" si="181"/>
        <v>0</v>
      </c>
      <c r="U124" s="602">
        <f t="shared" si="181"/>
        <v>0</v>
      </c>
      <c r="V124" s="602">
        <f t="shared" si="181"/>
        <v>0</v>
      </c>
      <c r="W124" s="602">
        <f t="shared" si="181"/>
        <v>0</v>
      </c>
      <c r="X124" s="602">
        <f t="shared" si="181"/>
        <v>0</v>
      </c>
      <c r="Y124" s="602">
        <f t="shared" si="181"/>
        <v>0</v>
      </c>
      <c r="Z124" s="602">
        <f t="shared" si="181"/>
        <v>0</v>
      </c>
      <c r="AA124" s="602">
        <f t="shared" si="181"/>
        <v>0</v>
      </c>
      <c r="AB124" s="602">
        <f t="shared" si="181"/>
        <v>0</v>
      </c>
      <c r="AC124" s="602">
        <f t="shared" si="181"/>
        <v>0</v>
      </c>
      <c r="AD124" s="602">
        <f t="shared" si="181"/>
        <v>0</v>
      </c>
      <c r="AE124" s="602">
        <f t="shared" si="181"/>
        <v>0</v>
      </c>
      <c r="AF124" s="602">
        <f t="shared" si="181"/>
        <v>0</v>
      </c>
      <c r="AG124" s="602">
        <f t="shared" si="181"/>
        <v>0</v>
      </c>
      <c r="AH124" s="603">
        <f t="shared" si="181"/>
        <v>0</v>
      </c>
      <c r="AI124" s="603">
        <f t="shared" si="181"/>
        <v>0</v>
      </c>
      <c r="AJ124" s="603">
        <f t="shared" si="181"/>
        <v>0</v>
      </c>
      <c r="AK124" s="603">
        <f t="shared" si="181"/>
        <v>0</v>
      </c>
      <c r="AL124" s="603">
        <f t="shared" si="181"/>
        <v>0</v>
      </c>
      <c r="AM124" s="603">
        <f t="shared" si="181"/>
        <v>0</v>
      </c>
      <c r="AN124" s="603">
        <f t="shared" si="181"/>
        <v>0</v>
      </c>
      <c r="AO124" s="603">
        <f t="shared" si="181"/>
        <v>0</v>
      </c>
      <c r="AP124" s="603">
        <f t="shared" si="181"/>
        <v>0</v>
      </c>
      <c r="AQ124" s="361">
        <f t="shared" si="181"/>
        <v>0</v>
      </c>
      <c r="AR124" s="610">
        <f t="shared" si="181"/>
        <v>48102339</v>
      </c>
      <c r="AS124" s="602">
        <f t="shared" si="181"/>
        <v>34646848</v>
      </c>
      <c r="AT124" s="602">
        <f t="shared" si="181"/>
        <v>65000</v>
      </c>
      <c r="AU124" s="602">
        <f t="shared" si="181"/>
        <v>11732605</v>
      </c>
      <c r="AV124" s="602">
        <f t="shared" si="181"/>
        <v>692938</v>
      </c>
      <c r="AW124" s="602">
        <f t="shared" si="181"/>
        <v>964948</v>
      </c>
      <c r="AX124" s="603">
        <f t="shared" si="181"/>
        <v>69.096099999999993</v>
      </c>
      <c r="AY124" s="603">
        <f t="shared" si="181"/>
        <v>48.517299999999999</v>
      </c>
      <c r="AZ124" s="361">
        <f t="shared" si="181"/>
        <v>20.578800000000001</v>
      </c>
    </row>
    <row r="125" spans="1:52" ht="12.95" customHeight="1" x14ac:dyDescent="0.25">
      <c r="A125" s="313">
        <v>23</v>
      </c>
      <c r="B125" s="354">
        <v>5424</v>
      </c>
      <c r="C125" s="355">
        <v>600099431</v>
      </c>
      <c r="D125" s="314">
        <v>72742372</v>
      </c>
      <c r="E125" s="356" t="s">
        <v>416</v>
      </c>
      <c r="F125" s="314">
        <v>3114</v>
      </c>
      <c r="G125" s="364" t="s">
        <v>559</v>
      </c>
      <c r="H125" s="317" t="s">
        <v>278</v>
      </c>
      <c r="I125" s="494">
        <v>5291274</v>
      </c>
      <c r="J125" s="489">
        <v>3846495</v>
      </c>
      <c r="K125" s="489">
        <v>14300</v>
      </c>
      <c r="L125" s="489">
        <v>1304949</v>
      </c>
      <c r="M125" s="489">
        <v>76930</v>
      </c>
      <c r="N125" s="489">
        <v>48600</v>
      </c>
      <c r="O125" s="490">
        <v>6.8726999999999991</v>
      </c>
      <c r="P125" s="491">
        <v>5.1773999999999996</v>
      </c>
      <c r="Q125" s="500">
        <v>1.6953</v>
      </c>
      <c r="R125" s="502">
        <f t="shared" si="119"/>
        <v>0</v>
      </c>
      <c r="S125" s="492">
        <v>0</v>
      </c>
      <c r="T125" s="492">
        <v>0</v>
      </c>
      <c r="U125" s="492">
        <v>0</v>
      </c>
      <c r="V125" s="492">
        <f t="shared" si="120"/>
        <v>0</v>
      </c>
      <c r="W125" s="713">
        <v>0</v>
      </c>
      <c r="X125" s="492">
        <v>0</v>
      </c>
      <c r="Y125" s="492">
        <v>0</v>
      </c>
      <c r="Z125" s="492">
        <f>SUM(W125:Y125)</f>
        <v>0</v>
      </c>
      <c r="AA125" s="492">
        <f>V125+Z125</f>
        <v>0</v>
      </c>
      <c r="AB125" s="74">
        <f>ROUND((V125+W125+X125)*33.8%,0)</f>
        <v>0</v>
      </c>
      <c r="AC125" s="74">
        <f>ROUND(V125*2%,0)</f>
        <v>0</v>
      </c>
      <c r="AD125" s="492">
        <v>0</v>
      </c>
      <c r="AE125" s="492">
        <v>0</v>
      </c>
      <c r="AF125" s="492">
        <f t="shared" si="121"/>
        <v>0</v>
      </c>
      <c r="AG125" s="492">
        <f t="shared" si="122"/>
        <v>0</v>
      </c>
      <c r="AH125" s="493">
        <v>0</v>
      </c>
      <c r="AI125" s="493">
        <v>0</v>
      </c>
      <c r="AJ125" s="493">
        <v>0</v>
      </c>
      <c r="AK125" s="493">
        <v>0</v>
      </c>
      <c r="AL125" s="493">
        <v>0</v>
      </c>
      <c r="AM125" s="493">
        <v>0</v>
      </c>
      <c r="AN125" s="493">
        <v>0</v>
      </c>
      <c r="AO125" s="493">
        <f t="shared" ref="AO125:AO126" si="182">AH125+AJ125+AK125+AM125</f>
        <v>0</v>
      </c>
      <c r="AP125" s="493">
        <f t="shared" ref="AP125:AP126" si="183">AI125+AN125+AL125</f>
        <v>0</v>
      </c>
      <c r="AQ125" s="495">
        <f t="shared" si="123"/>
        <v>0</v>
      </c>
      <c r="AR125" s="501">
        <f>I125+AG125</f>
        <v>5291274</v>
      </c>
      <c r="AS125" s="492">
        <f>J125+V125</f>
        <v>3846495</v>
      </c>
      <c r="AT125" s="492">
        <f t="shared" ref="AT125:AT126" si="184">K125+Z125</f>
        <v>14300</v>
      </c>
      <c r="AU125" s="492">
        <f>L125+AB125</f>
        <v>1304949</v>
      </c>
      <c r="AV125" s="492">
        <f>M125+AC125</f>
        <v>76930</v>
      </c>
      <c r="AW125" s="492">
        <f>N125+AF125</f>
        <v>48600</v>
      </c>
      <c r="AX125" s="493">
        <f>O125+AQ125</f>
        <v>6.8726999999999991</v>
      </c>
      <c r="AY125" s="493">
        <f>P125+AO125</f>
        <v>5.1773999999999996</v>
      </c>
      <c r="AZ125" s="495">
        <f>Q125+AP125</f>
        <v>1.6953</v>
      </c>
    </row>
    <row r="126" spans="1:52" ht="12.95" customHeight="1" x14ac:dyDescent="0.25">
      <c r="A126" s="313">
        <v>23</v>
      </c>
      <c r="B126" s="354">
        <v>5424</v>
      </c>
      <c r="C126" s="355">
        <v>600099431</v>
      </c>
      <c r="D126" s="314">
        <v>72742372</v>
      </c>
      <c r="E126" s="356" t="s">
        <v>416</v>
      </c>
      <c r="F126" s="314">
        <v>3114</v>
      </c>
      <c r="G126" s="364" t="s">
        <v>314</v>
      </c>
      <c r="H126" s="317" t="s">
        <v>278</v>
      </c>
      <c r="I126" s="494">
        <v>535161</v>
      </c>
      <c r="J126" s="489">
        <v>394080</v>
      </c>
      <c r="K126" s="489">
        <v>0</v>
      </c>
      <c r="L126" s="489">
        <v>133199</v>
      </c>
      <c r="M126" s="489">
        <v>7882</v>
      </c>
      <c r="N126" s="489">
        <v>0</v>
      </c>
      <c r="O126" s="490">
        <v>1</v>
      </c>
      <c r="P126" s="491">
        <v>1</v>
      </c>
      <c r="Q126" s="500">
        <v>0</v>
      </c>
      <c r="R126" s="502">
        <f t="shared" si="119"/>
        <v>0</v>
      </c>
      <c r="S126" s="492">
        <v>0</v>
      </c>
      <c r="T126" s="492">
        <v>0</v>
      </c>
      <c r="U126" s="492">
        <v>0</v>
      </c>
      <c r="V126" s="492">
        <f t="shared" si="120"/>
        <v>0</v>
      </c>
      <c r="W126" s="713">
        <v>0</v>
      </c>
      <c r="X126" s="492">
        <v>0</v>
      </c>
      <c r="Y126" s="492">
        <v>0</v>
      </c>
      <c r="Z126" s="492">
        <f>SUM(W126:Y126)</f>
        <v>0</v>
      </c>
      <c r="AA126" s="492">
        <f>V126+Z126</f>
        <v>0</v>
      </c>
      <c r="AB126" s="74">
        <f>ROUND((V126+W126+X126)*33.8%,0)</f>
        <v>0</v>
      </c>
      <c r="AC126" s="74">
        <f>ROUND(V126*2%,0)</f>
        <v>0</v>
      </c>
      <c r="AD126" s="492">
        <v>0</v>
      </c>
      <c r="AE126" s="492">
        <v>0</v>
      </c>
      <c r="AF126" s="492">
        <f t="shared" si="121"/>
        <v>0</v>
      </c>
      <c r="AG126" s="492">
        <f t="shared" si="122"/>
        <v>0</v>
      </c>
      <c r="AH126" s="493">
        <v>0</v>
      </c>
      <c r="AI126" s="493">
        <v>0</v>
      </c>
      <c r="AJ126" s="493">
        <v>0</v>
      </c>
      <c r="AK126" s="493">
        <v>0</v>
      </c>
      <c r="AL126" s="493">
        <v>0</v>
      </c>
      <c r="AM126" s="493">
        <v>0</v>
      </c>
      <c r="AN126" s="493">
        <v>0</v>
      </c>
      <c r="AO126" s="493">
        <f t="shared" si="182"/>
        <v>0</v>
      </c>
      <c r="AP126" s="493">
        <f t="shared" si="183"/>
        <v>0</v>
      </c>
      <c r="AQ126" s="495">
        <f t="shared" si="123"/>
        <v>0</v>
      </c>
      <c r="AR126" s="501">
        <f>I126+AG126</f>
        <v>535161</v>
      </c>
      <c r="AS126" s="492">
        <f>J126+V126</f>
        <v>394080</v>
      </c>
      <c r="AT126" s="492">
        <f t="shared" si="184"/>
        <v>0</v>
      </c>
      <c r="AU126" s="492">
        <f>L126+AB126</f>
        <v>133199</v>
      </c>
      <c r="AV126" s="492">
        <f>M126+AC126</f>
        <v>7882</v>
      </c>
      <c r="AW126" s="492">
        <f>N126+AF126</f>
        <v>0</v>
      </c>
      <c r="AX126" s="493">
        <f>O126+AQ126</f>
        <v>1</v>
      </c>
      <c r="AY126" s="493">
        <f>P126+AO126</f>
        <v>1</v>
      </c>
      <c r="AZ126" s="495">
        <f>Q126+AP126</f>
        <v>0</v>
      </c>
    </row>
    <row r="127" spans="1:52" ht="12.95" customHeight="1" x14ac:dyDescent="0.25">
      <c r="A127" s="357">
        <v>23</v>
      </c>
      <c r="B127" s="358">
        <v>5424</v>
      </c>
      <c r="C127" s="359">
        <v>600099431</v>
      </c>
      <c r="D127" s="358">
        <v>72742372</v>
      </c>
      <c r="E127" s="360" t="s">
        <v>417</v>
      </c>
      <c r="F127" s="324"/>
      <c r="G127" s="362"/>
      <c r="H127" s="325"/>
      <c r="I127" s="606">
        <v>5826435</v>
      </c>
      <c r="J127" s="602">
        <v>4240575</v>
      </c>
      <c r="K127" s="602">
        <v>14300</v>
      </c>
      <c r="L127" s="602">
        <v>1438148</v>
      </c>
      <c r="M127" s="602">
        <v>84812</v>
      </c>
      <c r="N127" s="602">
        <v>48600</v>
      </c>
      <c r="O127" s="603">
        <v>7.8726999999999991</v>
      </c>
      <c r="P127" s="603">
        <v>6.1773999999999996</v>
      </c>
      <c r="Q127" s="608">
        <v>1.6953</v>
      </c>
      <c r="R127" s="606">
        <f t="shared" ref="R127:AZ127" si="185">SUM(R125:R126)</f>
        <v>0</v>
      </c>
      <c r="S127" s="602">
        <f t="shared" si="185"/>
        <v>0</v>
      </c>
      <c r="T127" s="602">
        <f t="shared" si="185"/>
        <v>0</v>
      </c>
      <c r="U127" s="602">
        <f t="shared" si="185"/>
        <v>0</v>
      </c>
      <c r="V127" s="602">
        <f t="shared" si="185"/>
        <v>0</v>
      </c>
      <c r="W127" s="602">
        <f t="shared" si="185"/>
        <v>0</v>
      </c>
      <c r="X127" s="602">
        <f t="shared" si="185"/>
        <v>0</v>
      </c>
      <c r="Y127" s="602">
        <f t="shared" si="185"/>
        <v>0</v>
      </c>
      <c r="Z127" s="602">
        <f t="shared" si="185"/>
        <v>0</v>
      </c>
      <c r="AA127" s="602">
        <f t="shared" si="185"/>
        <v>0</v>
      </c>
      <c r="AB127" s="602">
        <f t="shared" si="185"/>
        <v>0</v>
      </c>
      <c r="AC127" s="602">
        <f t="shared" si="185"/>
        <v>0</v>
      </c>
      <c r="AD127" s="602">
        <f t="shared" si="185"/>
        <v>0</v>
      </c>
      <c r="AE127" s="602">
        <f t="shared" si="185"/>
        <v>0</v>
      </c>
      <c r="AF127" s="602">
        <f t="shared" si="185"/>
        <v>0</v>
      </c>
      <c r="AG127" s="602">
        <f t="shared" si="185"/>
        <v>0</v>
      </c>
      <c r="AH127" s="603">
        <f t="shared" si="185"/>
        <v>0</v>
      </c>
      <c r="AI127" s="603">
        <f t="shared" si="185"/>
        <v>0</v>
      </c>
      <c r="AJ127" s="603">
        <f t="shared" si="185"/>
        <v>0</v>
      </c>
      <c r="AK127" s="603">
        <f t="shared" si="185"/>
        <v>0</v>
      </c>
      <c r="AL127" s="603">
        <f t="shared" si="185"/>
        <v>0</v>
      </c>
      <c r="AM127" s="603">
        <f t="shared" si="185"/>
        <v>0</v>
      </c>
      <c r="AN127" s="603">
        <f t="shared" si="185"/>
        <v>0</v>
      </c>
      <c r="AO127" s="603">
        <f t="shared" si="185"/>
        <v>0</v>
      </c>
      <c r="AP127" s="603">
        <f t="shared" si="185"/>
        <v>0</v>
      </c>
      <c r="AQ127" s="361">
        <f t="shared" si="185"/>
        <v>0</v>
      </c>
      <c r="AR127" s="610">
        <f t="shared" si="185"/>
        <v>5826435</v>
      </c>
      <c r="AS127" s="602">
        <f t="shared" si="185"/>
        <v>4240575</v>
      </c>
      <c r="AT127" s="602">
        <f t="shared" si="185"/>
        <v>14300</v>
      </c>
      <c r="AU127" s="602">
        <f t="shared" si="185"/>
        <v>1438148</v>
      </c>
      <c r="AV127" s="602">
        <f t="shared" si="185"/>
        <v>84812</v>
      </c>
      <c r="AW127" s="602">
        <f t="shared" si="185"/>
        <v>48600</v>
      </c>
      <c r="AX127" s="603">
        <f t="shared" si="185"/>
        <v>7.8726999999999991</v>
      </c>
      <c r="AY127" s="603">
        <f t="shared" si="185"/>
        <v>6.1773999999999996</v>
      </c>
      <c r="AZ127" s="361">
        <f t="shared" si="185"/>
        <v>1.6953</v>
      </c>
    </row>
    <row r="128" spans="1:52" ht="12.95" customHeight="1" x14ac:dyDescent="0.25">
      <c r="A128" s="313">
        <v>24</v>
      </c>
      <c r="B128" s="354">
        <v>5427</v>
      </c>
      <c r="C128" s="355">
        <v>600099407</v>
      </c>
      <c r="D128" s="314">
        <v>72742534</v>
      </c>
      <c r="E128" s="356" t="s">
        <v>418</v>
      </c>
      <c r="F128" s="314">
        <v>3231</v>
      </c>
      <c r="G128" s="356" t="s">
        <v>419</v>
      </c>
      <c r="H128" s="317" t="s">
        <v>278</v>
      </c>
      <c r="I128" s="494">
        <v>10116903</v>
      </c>
      <c r="J128" s="489">
        <v>7422587</v>
      </c>
      <c r="K128" s="489">
        <v>0</v>
      </c>
      <c r="L128" s="489">
        <v>2508834</v>
      </c>
      <c r="M128" s="489">
        <v>148452</v>
      </c>
      <c r="N128" s="489">
        <v>37030</v>
      </c>
      <c r="O128" s="490">
        <v>13.834199999999999</v>
      </c>
      <c r="P128" s="491">
        <v>12.1707</v>
      </c>
      <c r="Q128" s="500">
        <v>1.6635</v>
      </c>
      <c r="R128" s="502">
        <f t="shared" si="119"/>
        <v>0</v>
      </c>
      <c r="S128" s="492">
        <v>0</v>
      </c>
      <c r="T128" s="492">
        <v>0</v>
      </c>
      <c r="U128" s="492">
        <v>0</v>
      </c>
      <c r="V128" s="492">
        <f t="shared" si="120"/>
        <v>0</v>
      </c>
      <c r="W128" s="492">
        <v>0</v>
      </c>
      <c r="X128" s="492">
        <v>0</v>
      </c>
      <c r="Y128" s="492">
        <v>0</v>
      </c>
      <c r="Z128" s="492">
        <f>SUM(W128:Y128)</f>
        <v>0</v>
      </c>
      <c r="AA128" s="492">
        <f>V128+Z128</f>
        <v>0</v>
      </c>
      <c r="AB128" s="74">
        <f>ROUND((V128+W128+X128)*33.8%,0)</f>
        <v>0</v>
      </c>
      <c r="AC128" s="74">
        <f>ROUND(V128*2%,0)</f>
        <v>0</v>
      </c>
      <c r="AD128" s="492">
        <v>0</v>
      </c>
      <c r="AE128" s="492">
        <v>0</v>
      </c>
      <c r="AF128" s="492">
        <f t="shared" si="121"/>
        <v>0</v>
      </c>
      <c r="AG128" s="492">
        <f t="shared" si="122"/>
        <v>0</v>
      </c>
      <c r="AH128" s="493">
        <v>0</v>
      </c>
      <c r="AI128" s="493">
        <v>0</v>
      </c>
      <c r="AJ128" s="493">
        <v>0</v>
      </c>
      <c r="AK128" s="493">
        <v>0</v>
      </c>
      <c r="AL128" s="493">
        <v>0</v>
      </c>
      <c r="AM128" s="493">
        <v>0</v>
      </c>
      <c r="AN128" s="493">
        <v>0</v>
      </c>
      <c r="AO128" s="493">
        <f t="shared" ref="AO128:AO129" si="186">AH128+AJ128+AK128+AM128</f>
        <v>0</v>
      </c>
      <c r="AP128" s="493">
        <f t="shared" ref="AP128:AP129" si="187">AI128+AN128+AL128</f>
        <v>0</v>
      </c>
      <c r="AQ128" s="495">
        <f t="shared" si="123"/>
        <v>0</v>
      </c>
      <c r="AR128" s="501">
        <f>I128+AG128</f>
        <v>10116903</v>
      </c>
      <c r="AS128" s="492">
        <f>J128+V128</f>
        <v>7422587</v>
      </c>
      <c r="AT128" s="492">
        <f t="shared" ref="AT128:AT129" si="188">K128+Z128</f>
        <v>0</v>
      </c>
      <c r="AU128" s="492">
        <f>L128+AB128</f>
        <v>2508834</v>
      </c>
      <c r="AV128" s="492">
        <f>M128+AC128</f>
        <v>148452</v>
      </c>
      <c r="AW128" s="492">
        <f>N128+AF128</f>
        <v>37030</v>
      </c>
      <c r="AX128" s="493">
        <f>O128+AQ128</f>
        <v>13.834199999999999</v>
      </c>
      <c r="AY128" s="493">
        <f>P128+AO128</f>
        <v>12.1707</v>
      </c>
      <c r="AZ128" s="495">
        <f>Q128+AP128</f>
        <v>1.6635</v>
      </c>
    </row>
    <row r="129" spans="1:52" ht="12.95" customHeight="1" x14ac:dyDescent="0.25">
      <c r="A129" s="313">
        <v>24</v>
      </c>
      <c r="B129" s="354">
        <v>5427</v>
      </c>
      <c r="C129" s="355">
        <v>600099407</v>
      </c>
      <c r="D129" s="314">
        <v>72742534</v>
      </c>
      <c r="E129" s="356" t="s">
        <v>418</v>
      </c>
      <c r="F129" s="314">
        <v>3231</v>
      </c>
      <c r="G129" s="356" t="s">
        <v>320</v>
      </c>
      <c r="H129" s="317" t="s">
        <v>279</v>
      </c>
      <c r="I129" s="494">
        <v>117618</v>
      </c>
      <c r="J129" s="489">
        <v>86611</v>
      </c>
      <c r="K129" s="489">
        <v>0</v>
      </c>
      <c r="L129" s="489">
        <v>29275</v>
      </c>
      <c r="M129" s="489">
        <v>1732</v>
      </c>
      <c r="N129" s="489">
        <v>0</v>
      </c>
      <c r="O129" s="490">
        <v>0.25</v>
      </c>
      <c r="P129" s="491">
        <v>0.25</v>
      </c>
      <c r="Q129" s="500">
        <v>0</v>
      </c>
      <c r="R129" s="502">
        <f t="shared" si="119"/>
        <v>0</v>
      </c>
      <c r="S129" s="492">
        <v>0</v>
      </c>
      <c r="T129" s="492">
        <v>0</v>
      </c>
      <c r="U129" s="492">
        <v>0</v>
      </c>
      <c r="V129" s="492">
        <f t="shared" si="120"/>
        <v>0</v>
      </c>
      <c r="W129" s="492">
        <v>0</v>
      </c>
      <c r="X129" s="492">
        <v>0</v>
      </c>
      <c r="Y129" s="492">
        <v>0</v>
      </c>
      <c r="Z129" s="492">
        <f>SUM(W129:Y129)</f>
        <v>0</v>
      </c>
      <c r="AA129" s="492">
        <f>V129+Z129</f>
        <v>0</v>
      </c>
      <c r="AB129" s="74">
        <f>ROUND((V129+W129+X129)*33.8%,0)</f>
        <v>0</v>
      </c>
      <c r="AC129" s="74">
        <f>ROUND(V129*2%,0)</f>
        <v>0</v>
      </c>
      <c r="AD129" s="492">
        <v>0</v>
      </c>
      <c r="AE129" s="492">
        <v>0</v>
      </c>
      <c r="AF129" s="492">
        <f t="shared" si="121"/>
        <v>0</v>
      </c>
      <c r="AG129" s="492">
        <f t="shared" si="122"/>
        <v>0</v>
      </c>
      <c r="AH129" s="493">
        <v>0</v>
      </c>
      <c r="AI129" s="493">
        <v>0</v>
      </c>
      <c r="AJ129" s="493">
        <v>0</v>
      </c>
      <c r="AK129" s="493">
        <v>0</v>
      </c>
      <c r="AL129" s="493">
        <v>0</v>
      </c>
      <c r="AM129" s="493">
        <v>0</v>
      </c>
      <c r="AN129" s="493">
        <v>0</v>
      </c>
      <c r="AO129" s="493">
        <f t="shared" si="186"/>
        <v>0</v>
      </c>
      <c r="AP129" s="493">
        <f t="shared" si="187"/>
        <v>0</v>
      </c>
      <c r="AQ129" s="495">
        <f t="shared" si="123"/>
        <v>0</v>
      </c>
      <c r="AR129" s="501">
        <f>I129+AG129</f>
        <v>117618</v>
      </c>
      <c r="AS129" s="492">
        <f>J129+V129</f>
        <v>86611</v>
      </c>
      <c r="AT129" s="492">
        <f t="shared" si="188"/>
        <v>0</v>
      </c>
      <c r="AU129" s="492">
        <f>L129+AB129</f>
        <v>29275</v>
      </c>
      <c r="AV129" s="492">
        <f>M129+AC129</f>
        <v>1732</v>
      </c>
      <c r="AW129" s="492">
        <f>N129+AF129</f>
        <v>0</v>
      </c>
      <c r="AX129" s="493">
        <f>O129+AQ129</f>
        <v>0.25</v>
      </c>
      <c r="AY129" s="493">
        <f>P129+AO129</f>
        <v>0.25</v>
      </c>
      <c r="AZ129" s="495">
        <f>Q129+AP129</f>
        <v>0</v>
      </c>
    </row>
    <row r="130" spans="1:52" ht="12.95" customHeight="1" x14ac:dyDescent="0.25">
      <c r="A130" s="357">
        <v>24</v>
      </c>
      <c r="B130" s="358">
        <v>5427</v>
      </c>
      <c r="C130" s="359">
        <v>600099431</v>
      </c>
      <c r="D130" s="358">
        <v>72742534</v>
      </c>
      <c r="E130" s="360" t="s">
        <v>420</v>
      </c>
      <c r="F130" s="324"/>
      <c r="G130" s="362"/>
      <c r="H130" s="325"/>
      <c r="I130" s="606">
        <v>10234521</v>
      </c>
      <c r="J130" s="602">
        <v>7509198</v>
      </c>
      <c r="K130" s="602">
        <v>0</v>
      </c>
      <c r="L130" s="602">
        <v>2538109</v>
      </c>
      <c r="M130" s="602">
        <v>150184</v>
      </c>
      <c r="N130" s="602">
        <v>37030</v>
      </c>
      <c r="O130" s="603">
        <v>14.084199999999999</v>
      </c>
      <c r="P130" s="603">
        <v>12.4207</v>
      </c>
      <c r="Q130" s="608">
        <v>1.6635</v>
      </c>
      <c r="R130" s="606">
        <f t="shared" ref="R130:AZ130" si="189">SUM(R128:R129)</f>
        <v>0</v>
      </c>
      <c r="S130" s="602">
        <f t="shared" si="189"/>
        <v>0</v>
      </c>
      <c r="T130" s="602">
        <f t="shared" si="189"/>
        <v>0</v>
      </c>
      <c r="U130" s="602">
        <f t="shared" si="189"/>
        <v>0</v>
      </c>
      <c r="V130" s="602">
        <f t="shared" si="189"/>
        <v>0</v>
      </c>
      <c r="W130" s="602">
        <f t="shared" si="189"/>
        <v>0</v>
      </c>
      <c r="X130" s="602">
        <f t="shared" si="189"/>
        <v>0</v>
      </c>
      <c r="Y130" s="602">
        <f t="shared" si="189"/>
        <v>0</v>
      </c>
      <c r="Z130" s="602">
        <f t="shared" si="189"/>
        <v>0</v>
      </c>
      <c r="AA130" s="602">
        <f t="shared" si="189"/>
        <v>0</v>
      </c>
      <c r="AB130" s="602">
        <f t="shared" si="189"/>
        <v>0</v>
      </c>
      <c r="AC130" s="602">
        <f t="shared" si="189"/>
        <v>0</v>
      </c>
      <c r="AD130" s="602">
        <f t="shared" si="189"/>
        <v>0</v>
      </c>
      <c r="AE130" s="602">
        <f t="shared" si="189"/>
        <v>0</v>
      </c>
      <c r="AF130" s="602">
        <f t="shared" si="189"/>
        <v>0</v>
      </c>
      <c r="AG130" s="602">
        <f t="shared" si="189"/>
        <v>0</v>
      </c>
      <c r="AH130" s="603">
        <f t="shared" si="189"/>
        <v>0</v>
      </c>
      <c r="AI130" s="603">
        <f t="shared" si="189"/>
        <v>0</v>
      </c>
      <c r="AJ130" s="603">
        <f t="shared" si="189"/>
        <v>0</v>
      </c>
      <c r="AK130" s="603">
        <f t="shared" si="189"/>
        <v>0</v>
      </c>
      <c r="AL130" s="603">
        <f t="shared" si="189"/>
        <v>0</v>
      </c>
      <c r="AM130" s="603">
        <f t="shared" si="189"/>
        <v>0</v>
      </c>
      <c r="AN130" s="603">
        <f t="shared" si="189"/>
        <v>0</v>
      </c>
      <c r="AO130" s="603">
        <f t="shared" si="189"/>
        <v>0</v>
      </c>
      <c r="AP130" s="603">
        <f t="shared" si="189"/>
        <v>0</v>
      </c>
      <c r="AQ130" s="361">
        <f t="shared" si="189"/>
        <v>0</v>
      </c>
      <c r="AR130" s="610">
        <f t="shared" si="189"/>
        <v>10234521</v>
      </c>
      <c r="AS130" s="602">
        <f t="shared" si="189"/>
        <v>7509198</v>
      </c>
      <c r="AT130" s="602">
        <f t="shared" si="189"/>
        <v>0</v>
      </c>
      <c r="AU130" s="602">
        <f t="shared" si="189"/>
        <v>2538109</v>
      </c>
      <c r="AV130" s="602">
        <f t="shared" si="189"/>
        <v>150184</v>
      </c>
      <c r="AW130" s="602">
        <f t="shared" si="189"/>
        <v>37030</v>
      </c>
      <c r="AX130" s="603">
        <f t="shared" si="189"/>
        <v>14.084199999999999</v>
      </c>
      <c r="AY130" s="603">
        <f t="shared" si="189"/>
        <v>12.4207</v>
      </c>
      <c r="AZ130" s="361">
        <f t="shared" si="189"/>
        <v>1.6635</v>
      </c>
    </row>
    <row r="131" spans="1:52" ht="12.95" customHeight="1" x14ac:dyDescent="0.25">
      <c r="A131" s="313">
        <v>25</v>
      </c>
      <c r="B131" s="354">
        <v>5432</v>
      </c>
      <c r="C131" s="355">
        <v>600099024</v>
      </c>
      <c r="D131" s="314">
        <v>71003819</v>
      </c>
      <c r="E131" s="356" t="s">
        <v>421</v>
      </c>
      <c r="F131" s="314">
        <v>3111</v>
      </c>
      <c r="G131" s="356" t="s">
        <v>326</v>
      </c>
      <c r="H131" s="317" t="s">
        <v>278</v>
      </c>
      <c r="I131" s="494">
        <v>1586154</v>
      </c>
      <c r="J131" s="489">
        <v>1156521</v>
      </c>
      <c r="K131" s="489">
        <v>3250</v>
      </c>
      <c r="L131" s="489">
        <v>392003</v>
      </c>
      <c r="M131" s="489">
        <v>23130</v>
      </c>
      <c r="N131" s="489">
        <v>11250</v>
      </c>
      <c r="O131" s="490">
        <v>2.5108999999999999</v>
      </c>
      <c r="P131" s="491">
        <v>2</v>
      </c>
      <c r="Q131" s="500">
        <v>0.51090000000000002</v>
      </c>
      <c r="R131" s="502">
        <f t="shared" si="119"/>
        <v>0</v>
      </c>
      <c r="S131" s="492">
        <v>0</v>
      </c>
      <c r="T131" s="492">
        <v>0</v>
      </c>
      <c r="U131" s="492">
        <v>0</v>
      </c>
      <c r="V131" s="492">
        <f t="shared" si="120"/>
        <v>0</v>
      </c>
      <c r="W131" s="713">
        <v>0</v>
      </c>
      <c r="X131" s="492">
        <v>0</v>
      </c>
      <c r="Y131" s="492">
        <v>0</v>
      </c>
      <c r="Z131" s="492">
        <f t="shared" ref="Z131:Z136" si="190">SUM(W131:Y131)</f>
        <v>0</v>
      </c>
      <c r="AA131" s="492">
        <f t="shared" ref="AA131:AA136" si="191">V131+Z131</f>
        <v>0</v>
      </c>
      <c r="AB131" s="74">
        <f t="shared" ref="AB131:AB136" si="192">ROUND((V131+W131+X131)*33.8%,0)</f>
        <v>0</v>
      </c>
      <c r="AC131" s="74">
        <f t="shared" ref="AC131:AC136" si="193">ROUND(V131*2%,0)</f>
        <v>0</v>
      </c>
      <c r="AD131" s="492">
        <v>0</v>
      </c>
      <c r="AE131" s="492">
        <v>0</v>
      </c>
      <c r="AF131" s="492">
        <f t="shared" si="121"/>
        <v>0</v>
      </c>
      <c r="AG131" s="492">
        <f t="shared" si="122"/>
        <v>0</v>
      </c>
      <c r="AH131" s="493">
        <v>0</v>
      </c>
      <c r="AI131" s="493">
        <v>0</v>
      </c>
      <c r="AJ131" s="493">
        <v>0</v>
      </c>
      <c r="AK131" s="493">
        <v>0</v>
      </c>
      <c r="AL131" s="493">
        <v>0</v>
      </c>
      <c r="AM131" s="493">
        <v>0</v>
      </c>
      <c r="AN131" s="493">
        <v>0</v>
      </c>
      <c r="AO131" s="493">
        <f t="shared" ref="AO131:AO136" si="194">AH131+AJ131+AK131+AM131</f>
        <v>0</v>
      </c>
      <c r="AP131" s="493">
        <f t="shared" ref="AP131:AP136" si="195">AI131+AN131+AL131</f>
        <v>0</v>
      </c>
      <c r="AQ131" s="495">
        <f t="shared" si="123"/>
        <v>0</v>
      </c>
      <c r="AR131" s="501">
        <f t="shared" ref="AR131:AR136" si="196">I131+AG131</f>
        <v>1586154</v>
      </c>
      <c r="AS131" s="492">
        <f t="shared" ref="AS131:AS136" si="197">J131+V131</f>
        <v>1156521</v>
      </c>
      <c r="AT131" s="492">
        <f t="shared" ref="AT131:AT136" si="198">K131+Z131</f>
        <v>3250</v>
      </c>
      <c r="AU131" s="492">
        <f t="shared" ref="AU131:AV136" si="199">L131+AB131</f>
        <v>392003</v>
      </c>
      <c r="AV131" s="492">
        <f t="shared" si="199"/>
        <v>23130</v>
      </c>
      <c r="AW131" s="492">
        <f t="shared" ref="AW131:AW136" si="200">N131+AF131</f>
        <v>11250</v>
      </c>
      <c r="AX131" s="493">
        <f t="shared" ref="AX131:AX136" si="201">O131+AQ131</f>
        <v>2.5108999999999999</v>
      </c>
      <c r="AY131" s="493">
        <f t="shared" ref="AY131:AZ136" si="202">P131+AO131</f>
        <v>2</v>
      </c>
      <c r="AZ131" s="495">
        <f t="shared" si="202"/>
        <v>0.51090000000000002</v>
      </c>
    </row>
    <row r="132" spans="1:52" ht="12.95" customHeight="1" x14ac:dyDescent="0.25">
      <c r="A132" s="313">
        <v>25</v>
      </c>
      <c r="B132" s="354">
        <v>5432</v>
      </c>
      <c r="C132" s="355">
        <v>600099024</v>
      </c>
      <c r="D132" s="314">
        <v>71003819</v>
      </c>
      <c r="E132" s="356" t="s">
        <v>421</v>
      </c>
      <c r="F132" s="314">
        <v>3117</v>
      </c>
      <c r="G132" s="356" t="s">
        <v>315</v>
      </c>
      <c r="H132" s="317" t="s">
        <v>278</v>
      </c>
      <c r="I132" s="494">
        <v>2622786</v>
      </c>
      <c r="J132" s="489">
        <v>1892900</v>
      </c>
      <c r="K132" s="489">
        <v>3250</v>
      </c>
      <c r="L132" s="489">
        <v>640898</v>
      </c>
      <c r="M132" s="489">
        <v>37858</v>
      </c>
      <c r="N132" s="489">
        <v>47880</v>
      </c>
      <c r="O132" s="490">
        <v>3.8367</v>
      </c>
      <c r="P132" s="491">
        <v>2.6362999999999999</v>
      </c>
      <c r="Q132" s="500">
        <v>1.2004000000000001</v>
      </c>
      <c r="R132" s="502">
        <f t="shared" si="119"/>
        <v>0</v>
      </c>
      <c r="S132" s="492">
        <v>0</v>
      </c>
      <c r="T132" s="492">
        <v>0</v>
      </c>
      <c r="U132" s="492">
        <v>0</v>
      </c>
      <c r="V132" s="492">
        <f t="shared" si="120"/>
        <v>0</v>
      </c>
      <c r="W132" s="713">
        <v>0</v>
      </c>
      <c r="X132" s="492">
        <v>0</v>
      </c>
      <c r="Y132" s="492">
        <v>0</v>
      </c>
      <c r="Z132" s="492">
        <f t="shared" si="190"/>
        <v>0</v>
      </c>
      <c r="AA132" s="492">
        <f t="shared" si="191"/>
        <v>0</v>
      </c>
      <c r="AB132" s="74">
        <f t="shared" si="192"/>
        <v>0</v>
      </c>
      <c r="AC132" s="74">
        <f t="shared" si="193"/>
        <v>0</v>
      </c>
      <c r="AD132" s="492">
        <v>0</v>
      </c>
      <c r="AE132" s="492">
        <v>0</v>
      </c>
      <c r="AF132" s="492">
        <f t="shared" si="121"/>
        <v>0</v>
      </c>
      <c r="AG132" s="492">
        <f t="shared" si="122"/>
        <v>0</v>
      </c>
      <c r="AH132" s="493">
        <v>0</v>
      </c>
      <c r="AI132" s="493">
        <v>0</v>
      </c>
      <c r="AJ132" s="493">
        <v>0</v>
      </c>
      <c r="AK132" s="493">
        <v>0</v>
      </c>
      <c r="AL132" s="493">
        <v>0</v>
      </c>
      <c r="AM132" s="493">
        <v>0</v>
      </c>
      <c r="AN132" s="493">
        <v>0</v>
      </c>
      <c r="AO132" s="493">
        <f t="shared" si="194"/>
        <v>0</v>
      </c>
      <c r="AP132" s="493">
        <f t="shared" si="195"/>
        <v>0</v>
      </c>
      <c r="AQ132" s="495">
        <f t="shared" si="123"/>
        <v>0</v>
      </c>
      <c r="AR132" s="501">
        <f t="shared" si="196"/>
        <v>2622786</v>
      </c>
      <c r="AS132" s="492">
        <f t="shared" si="197"/>
        <v>1892900</v>
      </c>
      <c r="AT132" s="492">
        <f t="shared" si="198"/>
        <v>3250</v>
      </c>
      <c r="AU132" s="492">
        <f t="shared" si="199"/>
        <v>640898</v>
      </c>
      <c r="AV132" s="492">
        <f t="shared" si="199"/>
        <v>37858</v>
      </c>
      <c r="AW132" s="492">
        <f t="shared" si="200"/>
        <v>47880</v>
      </c>
      <c r="AX132" s="493">
        <f t="shared" si="201"/>
        <v>3.8367</v>
      </c>
      <c r="AY132" s="493">
        <f t="shared" si="202"/>
        <v>2.6362999999999999</v>
      </c>
      <c r="AZ132" s="495">
        <f t="shared" si="202"/>
        <v>1.2004000000000001</v>
      </c>
    </row>
    <row r="133" spans="1:52" ht="12.95" customHeight="1" x14ac:dyDescent="0.25">
      <c r="A133" s="313">
        <v>25</v>
      </c>
      <c r="B133" s="354">
        <v>5432</v>
      </c>
      <c r="C133" s="355">
        <v>600099024</v>
      </c>
      <c r="D133" s="314">
        <v>71003819</v>
      </c>
      <c r="E133" s="356" t="s">
        <v>421</v>
      </c>
      <c r="F133" s="314">
        <v>3117</v>
      </c>
      <c r="G133" s="356" t="s">
        <v>320</v>
      </c>
      <c r="H133" s="317" t="s">
        <v>279</v>
      </c>
      <c r="I133" s="494">
        <v>0</v>
      </c>
      <c r="J133" s="489">
        <v>0</v>
      </c>
      <c r="K133" s="489">
        <v>0</v>
      </c>
      <c r="L133" s="489">
        <v>0</v>
      </c>
      <c r="M133" s="489">
        <v>0</v>
      </c>
      <c r="N133" s="489">
        <v>0</v>
      </c>
      <c r="O133" s="490">
        <v>0</v>
      </c>
      <c r="P133" s="491">
        <v>0</v>
      </c>
      <c r="Q133" s="500">
        <v>0</v>
      </c>
      <c r="R133" s="502">
        <f t="shared" si="119"/>
        <v>0</v>
      </c>
      <c r="S133" s="492">
        <v>0</v>
      </c>
      <c r="T133" s="492">
        <v>0</v>
      </c>
      <c r="U133" s="492">
        <v>0</v>
      </c>
      <c r="V133" s="492">
        <f t="shared" si="120"/>
        <v>0</v>
      </c>
      <c r="W133" s="713">
        <v>0</v>
      </c>
      <c r="X133" s="492">
        <v>0</v>
      </c>
      <c r="Y133" s="492">
        <v>0</v>
      </c>
      <c r="Z133" s="492">
        <f t="shared" si="190"/>
        <v>0</v>
      </c>
      <c r="AA133" s="492">
        <f t="shared" si="191"/>
        <v>0</v>
      </c>
      <c r="AB133" s="74">
        <f t="shared" si="192"/>
        <v>0</v>
      </c>
      <c r="AC133" s="74">
        <f t="shared" si="193"/>
        <v>0</v>
      </c>
      <c r="AD133" s="492">
        <v>0</v>
      </c>
      <c r="AE133" s="492">
        <v>0</v>
      </c>
      <c r="AF133" s="492">
        <f t="shared" si="121"/>
        <v>0</v>
      </c>
      <c r="AG133" s="492">
        <f t="shared" si="122"/>
        <v>0</v>
      </c>
      <c r="AH133" s="493">
        <v>0</v>
      </c>
      <c r="AI133" s="493">
        <v>0</v>
      </c>
      <c r="AJ133" s="493">
        <v>0</v>
      </c>
      <c r="AK133" s="493">
        <v>0</v>
      </c>
      <c r="AL133" s="493">
        <v>0</v>
      </c>
      <c r="AM133" s="493">
        <v>0</v>
      </c>
      <c r="AN133" s="493">
        <v>0</v>
      </c>
      <c r="AO133" s="493">
        <f t="shared" si="194"/>
        <v>0</v>
      </c>
      <c r="AP133" s="493">
        <f t="shared" si="195"/>
        <v>0</v>
      </c>
      <c r="AQ133" s="495">
        <f t="shared" si="123"/>
        <v>0</v>
      </c>
      <c r="AR133" s="501">
        <f t="shared" si="196"/>
        <v>0</v>
      </c>
      <c r="AS133" s="492">
        <f t="shared" si="197"/>
        <v>0</v>
      </c>
      <c r="AT133" s="492">
        <f t="shared" si="198"/>
        <v>0</v>
      </c>
      <c r="AU133" s="492">
        <f t="shared" si="199"/>
        <v>0</v>
      </c>
      <c r="AV133" s="492">
        <f t="shared" si="199"/>
        <v>0</v>
      </c>
      <c r="AW133" s="492">
        <f t="shared" si="200"/>
        <v>0</v>
      </c>
      <c r="AX133" s="493">
        <f t="shared" si="201"/>
        <v>0</v>
      </c>
      <c r="AY133" s="493">
        <f t="shared" si="202"/>
        <v>0</v>
      </c>
      <c r="AZ133" s="495">
        <f t="shared" si="202"/>
        <v>0</v>
      </c>
    </row>
    <row r="134" spans="1:52" ht="12.95" customHeight="1" x14ac:dyDescent="0.25">
      <c r="A134" s="313">
        <v>25</v>
      </c>
      <c r="B134" s="354">
        <v>5432</v>
      </c>
      <c r="C134" s="355">
        <v>600099024</v>
      </c>
      <c r="D134" s="314">
        <v>71003819</v>
      </c>
      <c r="E134" s="356" t="s">
        <v>421</v>
      </c>
      <c r="F134" s="314">
        <v>3141</v>
      </c>
      <c r="G134" s="356" t="s">
        <v>316</v>
      </c>
      <c r="H134" s="317" t="s">
        <v>279</v>
      </c>
      <c r="I134" s="494">
        <v>756569</v>
      </c>
      <c r="J134" s="489">
        <v>551654</v>
      </c>
      <c r="K134" s="489">
        <v>3250</v>
      </c>
      <c r="L134" s="489">
        <v>187558</v>
      </c>
      <c r="M134" s="489">
        <v>11033</v>
      </c>
      <c r="N134" s="489">
        <v>3074</v>
      </c>
      <c r="O134" s="490">
        <v>1.75</v>
      </c>
      <c r="P134" s="491">
        <v>0</v>
      </c>
      <c r="Q134" s="500">
        <v>1.75</v>
      </c>
      <c r="R134" s="502">
        <f t="shared" si="119"/>
        <v>0</v>
      </c>
      <c r="S134" s="492">
        <v>0</v>
      </c>
      <c r="T134" s="492">
        <v>0</v>
      </c>
      <c r="U134" s="492">
        <v>0</v>
      </c>
      <c r="V134" s="492">
        <f t="shared" si="120"/>
        <v>0</v>
      </c>
      <c r="W134" s="713">
        <v>0</v>
      </c>
      <c r="X134" s="492">
        <v>0</v>
      </c>
      <c r="Y134" s="492">
        <v>0</v>
      </c>
      <c r="Z134" s="492">
        <f t="shared" si="190"/>
        <v>0</v>
      </c>
      <c r="AA134" s="492">
        <f t="shared" si="191"/>
        <v>0</v>
      </c>
      <c r="AB134" s="74">
        <f t="shared" si="192"/>
        <v>0</v>
      </c>
      <c r="AC134" s="74">
        <f t="shared" si="193"/>
        <v>0</v>
      </c>
      <c r="AD134" s="492">
        <v>0</v>
      </c>
      <c r="AE134" s="492">
        <v>0</v>
      </c>
      <c r="AF134" s="492">
        <f t="shared" si="121"/>
        <v>0</v>
      </c>
      <c r="AG134" s="492">
        <f t="shared" si="122"/>
        <v>0</v>
      </c>
      <c r="AH134" s="493">
        <v>0</v>
      </c>
      <c r="AI134" s="493">
        <v>0</v>
      </c>
      <c r="AJ134" s="493">
        <v>0</v>
      </c>
      <c r="AK134" s="493">
        <v>0</v>
      </c>
      <c r="AL134" s="493">
        <v>0</v>
      </c>
      <c r="AM134" s="493">
        <v>0</v>
      </c>
      <c r="AN134" s="493">
        <v>0</v>
      </c>
      <c r="AO134" s="493">
        <f t="shared" si="194"/>
        <v>0</v>
      </c>
      <c r="AP134" s="493">
        <f t="shared" si="195"/>
        <v>0</v>
      </c>
      <c r="AQ134" s="495">
        <f t="shared" si="123"/>
        <v>0</v>
      </c>
      <c r="AR134" s="501">
        <f t="shared" si="196"/>
        <v>756569</v>
      </c>
      <c r="AS134" s="492">
        <f t="shared" si="197"/>
        <v>551654</v>
      </c>
      <c r="AT134" s="492">
        <f t="shared" si="198"/>
        <v>3250</v>
      </c>
      <c r="AU134" s="492">
        <f t="shared" si="199"/>
        <v>187558</v>
      </c>
      <c r="AV134" s="492">
        <f t="shared" si="199"/>
        <v>11033</v>
      </c>
      <c r="AW134" s="492">
        <f t="shared" si="200"/>
        <v>3074</v>
      </c>
      <c r="AX134" s="493">
        <f t="shared" si="201"/>
        <v>1.75</v>
      </c>
      <c r="AY134" s="493">
        <f t="shared" si="202"/>
        <v>0</v>
      </c>
      <c r="AZ134" s="495">
        <f t="shared" si="202"/>
        <v>1.75</v>
      </c>
    </row>
    <row r="135" spans="1:52" ht="12.95" customHeight="1" x14ac:dyDescent="0.25">
      <c r="A135" s="313">
        <v>25</v>
      </c>
      <c r="B135" s="354">
        <v>5432</v>
      </c>
      <c r="C135" s="355">
        <v>600099024</v>
      </c>
      <c r="D135" s="314">
        <v>71003819</v>
      </c>
      <c r="E135" s="356" t="s">
        <v>421</v>
      </c>
      <c r="F135" s="314">
        <v>3143</v>
      </c>
      <c r="G135" s="356" t="s">
        <v>629</v>
      </c>
      <c r="H135" s="317" t="s">
        <v>278</v>
      </c>
      <c r="I135" s="494">
        <v>514542</v>
      </c>
      <c r="J135" s="489">
        <v>378897</v>
      </c>
      <c r="K135" s="489">
        <v>0</v>
      </c>
      <c r="L135" s="489">
        <v>128067</v>
      </c>
      <c r="M135" s="489">
        <v>7578</v>
      </c>
      <c r="N135" s="489">
        <v>0</v>
      </c>
      <c r="O135" s="490">
        <v>0.81640000000000001</v>
      </c>
      <c r="P135" s="491">
        <v>0.81640000000000001</v>
      </c>
      <c r="Q135" s="500">
        <v>0</v>
      </c>
      <c r="R135" s="502">
        <f t="shared" si="119"/>
        <v>0</v>
      </c>
      <c r="S135" s="492">
        <v>0</v>
      </c>
      <c r="T135" s="492">
        <v>0</v>
      </c>
      <c r="U135" s="492">
        <v>0</v>
      </c>
      <c r="V135" s="492">
        <f t="shared" si="120"/>
        <v>0</v>
      </c>
      <c r="W135" s="713">
        <v>0</v>
      </c>
      <c r="X135" s="492">
        <v>0</v>
      </c>
      <c r="Y135" s="492">
        <v>0</v>
      </c>
      <c r="Z135" s="492">
        <f t="shared" si="190"/>
        <v>0</v>
      </c>
      <c r="AA135" s="492">
        <f t="shared" si="191"/>
        <v>0</v>
      </c>
      <c r="AB135" s="74">
        <f t="shared" si="192"/>
        <v>0</v>
      </c>
      <c r="AC135" s="74">
        <f t="shared" si="193"/>
        <v>0</v>
      </c>
      <c r="AD135" s="492">
        <v>0</v>
      </c>
      <c r="AE135" s="492">
        <v>0</v>
      </c>
      <c r="AF135" s="492">
        <f t="shared" si="121"/>
        <v>0</v>
      </c>
      <c r="AG135" s="492">
        <f t="shared" si="122"/>
        <v>0</v>
      </c>
      <c r="AH135" s="493">
        <v>0</v>
      </c>
      <c r="AI135" s="493">
        <v>0</v>
      </c>
      <c r="AJ135" s="493">
        <v>0</v>
      </c>
      <c r="AK135" s="493">
        <v>0</v>
      </c>
      <c r="AL135" s="493">
        <v>0</v>
      </c>
      <c r="AM135" s="493">
        <v>0</v>
      </c>
      <c r="AN135" s="493">
        <v>0</v>
      </c>
      <c r="AO135" s="493">
        <f t="shared" si="194"/>
        <v>0</v>
      </c>
      <c r="AP135" s="493">
        <f t="shared" si="195"/>
        <v>0</v>
      </c>
      <c r="AQ135" s="495">
        <f t="shared" si="123"/>
        <v>0</v>
      </c>
      <c r="AR135" s="501">
        <f t="shared" si="196"/>
        <v>514542</v>
      </c>
      <c r="AS135" s="492">
        <f t="shared" si="197"/>
        <v>378897</v>
      </c>
      <c r="AT135" s="492">
        <f t="shared" si="198"/>
        <v>0</v>
      </c>
      <c r="AU135" s="492">
        <f t="shared" si="199"/>
        <v>128067</v>
      </c>
      <c r="AV135" s="492">
        <f t="shared" si="199"/>
        <v>7578</v>
      </c>
      <c r="AW135" s="492">
        <f t="shared" si="200"/>
        <v>0</v>
      </c>
      <c r="AX135" s="493">
        <f t="shared" si="201"/>
        <v>0.81640000000000001</v>
      </c>
      <c r="AY135" s="493">
        <f t="shared" si="202"/>
        <v>0.81640000000000001</v>
      </c>
      <c r="AZ135" s="495">
        <f t="shared" si="202"/>
        <v>0</v>
      </c>
    </row>
    <row r="136" spans="1:52" ht="12.95" customHeight="1" x14ac:dyDescent="0.25">
      <c r="A136" s="313">
        <v>25</v>
      </c>
      <c r="B136" s="354">
        <v>5432</v>
      </c>
      <c r="C136" s="355">
        <v>600099024</v>
      </c>
      <c r="D136" s="314">
        <v>71003819</v>
      </c>
      <c r="E136" s="356" t="s">
        <v>421</v>
      </c>
      <c r="F136" s="314">
        <v>3143</v>
      </c>
      <c r="G136" s="356" t="s">
        <v>630</v>
      </c>
      <c r="H136" s="317" t="s">
        <v>279</v>
      </c>
      <c r="I136" s="494">
        <v>18080</v>
      </c>
      <c r="J136" s="489">
        <v>9581</v>
      </c>
      <c r="K136" s="489">
        <v>3250</v>
      </c>
      <c r="L136" s="489">
        <v>4337</v>
      </c>
      <c r="M136" s="489">
        <v>192</v>
      </c>
      <c r="N136" s="489">
        <v>720</v>
      </c>
      <c r="O136" s="490">
        <v>0.05</v>
      </c>
      <c r="P136" s="491">
        <v>0</v>
      </c>
      <c r="Q136" s="500">
        <v>0.05</v>
      </c>
      <c r="R136" s="502">
        <f t="shared" si="119"/>
        <v>0</v>
      </c>
      <c r="S136" s="492">
        <v>0</v>
      </c>
      <c r="T136" s="492">
        <v>0</v>
      </c>
      <c r="U136" s="492">
        <v>0</v>
      </c>
      <c r="V136" s="492">
        <f t="shared" si="120"/>
        <v>0</v>
      </c>
      <c r="W136" s="713">
        <v>0</v>
      </c>
      <c r="X136" s="492">
        <v>0</v>
      </c>
      <c r="Y136" s="492">
        <v>0</v>
      </c>
      <c r="Z136" s="492">
        <f t="shared" si="190"/>
        <v>0</v>
      </c>
      <c r="AA136" s="492">
        <f t="shared" si="191"/>
        <v>0</v>
      </c>
      <c r="AB136" s="74">
        <f t="shared" si="192"/>
        <v>0</v>
      </c>
      <c r="AC136" s="74">
        <f t="shared" si="193"/>
        <v>0</v>
      </c>
      <c r="AD136" s="492">
        <v>0</v>
      </c>
      <c r="AE136" s="492">
        <v>0</v>
      </c>
      <c r="AF136" s="492">
        <f t="shared" si="121"/>
        <v>0</v>
      </c>
      <c r="AG136" s="492">
        <f t="shared" si="122"/>
        <v>0</v>
      </c>
      <c r="AH136" s="493">
        <v>0</v>
      </c>
      <c r="AI136" s="493">
        <v>0</v>
      </c>
      <c r="AJ136" s="493">
        <v>0</v>
      </c>
      <c r="AK136" s="493">
        <v>0</v>
      </c>
      <c r="AL136" s="493">
        <v>0</v>
      </c>
      <c r="AM136" s="493">
        <v>0</v>
      </c>
      <c r="AN136" s="493">
        <v>0</v>
      </c>
      <c r="AO136" s="493">
        <f t="shared" si="194"/>
        <v>0</v>
      </c>
      <c r="AP136" s="493">
        <f t="shared" si="195"/>
        <v>0</v>
      </c>
      <c r="AQ136" s="495">
        <f t="shared" si="123"/>
        <v>0</v>
      </c>
      <c r="AR136" s="501">
        <f t="shared" si="196"/>
        <v>18080</v>
      </c>
      <c r="AS136" s="492">
        <f t="shared" si="197"/>
        <v>9581</v>
      </c>
      <c r="AT136" s="492">
        <f t="shared" si="198"/>
        <v>3250</v>
      </c>
      <c r="AU136" s="492">
        <f t="shared" si="199"/>
        <v>4337</v>
      </c>
      <c r="AV136" s="492">
        <f t="shared" si="199"/>
        <v>192</v>
      </c>
      <c r="AW136" s="492">
        <f t="shared" si="200"/>
        <v>720</v>
      </c>
      <c r="AX136" s="493">
        <f t="shared" si="201"/>
        <v>0.05</v>
      </c>
      <c r="AY136" s="493">
        <f t="shared" si="202"/>
        <v>0</v>
      </c>
      <c r="AZ136" s="495">
        <f t="shared" si="202"/>
        <v>0.05</v>
      </c>
    </row>
    <row r="137" spans="1:52" ht="12.95" customHeight="1" x14ac:dyDescent="0.25">
      <c r="A137" s="357">
        <v>25</v>
      </c>
      <c r="B137" s="358">
        <v>5432</v>
      </c>
      <c r="C137" s="359">
        <v>600099024</v>
      </c>
      <c r="D137" s="358">
        <v>71003819</v>
      </c>
      <c r="E137" s="360" t="s">
        <v>422</v>
      </c>
      <c r="F137" s="324"/>
      <c r="G137" s="362"/>
      <c r="H137" s="325"/>
      <c r="I137" s="606">
        <v>5498131</v>
      </c>
      <c r="J137" s="602">
        <v>3989553</v>
      </c>
      <c r="K137" s="602">
        <v>13000</v>
      </c>
      <c r="L137" s="602">
        <v>1352863</v>
      </c>
      <c r="M137" s="602">
        <v>79791</v>
      </c>
      <c r="N137" s="602">
        <v>62924</v>
      </c>
      <c r="O137" s="603">
        <v>8.9640000000000004</v>
      </c>
      <c r="P137" s="603">
        <v>5.4527000000000001</v>
      </c>
      <c r="Q137" s="608">
        <v>3.5112999999999999</v>
      </c>
      <c r="R137" s="606">
        <f t="shared" ref="R137:AZ137" si="203">SUM(R131:R136)</f>
        <v>0</v>
      </c>
      <c r="S137" s="602">
        <f t="shared" si="203"/>
        <v>0</v>
      </c>
      <c r="T137" s="602">
        <f t="shared" si="203"/>
        <v>0</v>
      </c>
      <c r="U137" s="602">
        <f t="shared" si="203"/>
        <v>0</v>
      </c>
      <c r="V137" s="602">
        <f t="shared" si="203"/>
        <v>0</v>
      </c>
      <c r="W137" s="602">
        <f t="shared" si="203"/>
        <v>0</v>
      </c>
      <c r="X137" s="602">
        <f t="shared" si="203"/>
        <v>0</v>
      </c>
      <c r="Y137" s="602">
        <f t="shared" si="203"/>
        <v>0</v>
      </c>
      <c r="Z137" s="602">
        <f t="shared" si="203"/>
        <v>0</v>
      </c>
      <c r="AA137" s="602">
        <f t="shared" si="203"/>
        <v>0</v>
      </c>
      <c r="AB137" s="602">
        <f t="shared" si="203"/>
        <v>0</v>
      </c>
      <c r="AC137" s="602">
        <f t="shared" si="203"/>
        <v>0</v>
      </c>
      <c r="AD137" s="602">
        <f t="shared" si="203"/>
        <v>0</v>
      </c>
      <c r="AE137" s="602">
        <f t="shared" si="203"/>
        <v>0</v>
      </c>
      <c r="AF137" s="602">
        <f t="shared" si="203"/>
        <v>0</v>
      </c>
      <c r="AG137" s="602">
        <f t="shared" si="203"/>
        <v>0</v>
      </c>
      <c r="AH137" s="603">
        <f t="shared" si="203"/>
        <v>0</v>
      </c>
      <c r="AI137" s="603">
        <f t="shared" si="203"/>
        <v>0</v>
      </c>
      <c r="AJ137" s="603">
        <f t="shared" si="203"/>
        <v>0</v>
      </c>
      <c r="AK137" s="603">
        <f t="shared" si="203"/>
        <v>0</v>
      </c>
      <c r="AL137" s="603">
        <f t="shared" si="203"/>
        <v>0</v>
      </c>
      <c r="AM137" s="603">
        <f t="shared" si="203"/>
        <v>0</v>
      </c>
      <c r="AN137" s="603">
        <f t="shared" si="203"/>
        <v>0</v>
      </c>
      <c r="AO137" s="603">
        <f t="shared" si="203"/>
        <v>0</v>
      </c>
      <c r="AP137" s="603">
        <f t="shared" si="203"/>
        <v>0</v>
      </c>
      <c r="AQ137" s="361">
        <f t="shared" si="203"/>
        <v>0</v>
      </c>
      <c r="AR137" s="610">
        <f t="shared" si="203"/>
        <v>5498131</v>
      </c>
      <c r="AS137" s="602">
        <f t="shared" si="203"/>
        <v>3989553</v>
      </c>
      <c r="AT137" s="602">
        <f t="shared" si="203"/>
        <v>13000</v>
      </c>
      <c r="AU137" s="602">
        <f t="shared" si="203"/>
        <v>1352863</v>
      </c>
      <c r="AV137" s="602">
        <f t="shared" si="203"/>
        <v>79791</v>
      </c>
      <c r="AW137" s="602">
        <f t="shared" si="203"/>
        <v>62924</v>
      </c>
      <c r="AX137" s="603">
        <f t="shared" si="203"/>
        <v>8.9640000000000004</v>
      </c>
      <c r="AY137" s="603">
        <f t="shared" si="203"/>
        <v>5.4527000000000001</v>
      </c>
      <c r="AZ137" s="361">
        <f t="shared" si="203"/>
        <v>3.5112999999999999</v>
      </c>
    </row>
    <row r="138" spans="1:52" ht="12.95" customHeight="1" x14ac:dyDescent="0.25">
      <c r="A138" s="313">
        <v>26</v>
      </c>
      <c r="B138" s="354">
        <v>5452</v>
      </c>
      <c r="C138" s="355">
        <v>600099245</v>
      </c>
      <c r="D138" s="314">
        <v>70188416</v>
      </c>
      <c r="E138" s="356" t="s">
        <v>423</v>
      </c>
      <c r="F138" s="314">
        <v>3111</v>
      </c>
      <c r="G138" s="356" t="s">
        <v>326</v>
      </c>
      <c r="H138" s="317" t="s">
        <v>278</v>
      </c>
      <c r="I138" s="494">
        <v>1526298</v>
      </c>
      <c r="J138" s="489">
        <v>1113438</v>
      </c>
      <c r="K138" s="489">
        <v>3250</v>
      </c>
      <c r="L138" s="489">
        <v>377441</v>
      </c>
      <c r="M138" s="489">
        <v>22269</v>
      </c>
      <c r="N138" s="489">
        <v>9900</v>
      </c>
      <c r="O138" s="490">
        <v>2.4363000000000001</v>
      </c>
      <c r="P138" s="491">
        <v>1.9254</v>
      </c>
      <c r="Q138" s="500">
        <v>0.51090000000000002</v>
      </c>
      <c r="R138" s="502">
        <f t="shared" si="119"/>
        <v>0</v>
      </c>
      <c r="S138" s="492">
        <v>0</v>
      </c>
      <c r="T138" s="492">
        <v>0</v>
      </c>
      <c r="U138" s="492">
        <v>0</v>
      </c>
      <c r="V138" s="492">
        <f t="shared" si="120"/>
        <v>0</v>
      </c>
      <c r="W138" s="713">
        <v>0</v>
      </c>
      <c r="X138" s="492">
        <v>0</v>
      </c>
      <c r="Y138" s="492">
        <v>0</v>
      </c>
      <c r="Z138" s="492">
        <f t="shared" ref="Z138:Z143" si="204">SUM(W138:Y138)</f>
        <v>0</v>
      </c>
      <c r="AA138" s="492">
        <f t="shared" ref="AA138:AA143" si="205">V138+Z138</f>
        <v>0</v>
      </c>
      <c r="AB138" s="74">
        <f t="shared" ref="AB138:AB143" si="206">ROUND((V138+W138+X138)*33.8%,0)</f>
        <v>0</v>
      </c>
      <c r="AC138" s="74">
        <f t="shared" ref="AC138:AC143" si="207">ROUND(V138*2%,0)</f>
        <v>0</v>
      </c>
      <c r="AD138" s="492">
        <v>0</v>
      </c>
      <c r="AE138" s="492">
        <v>0</v>
      </c>
      <c r="AF138" s="492">
        <f t="shared" si="121"/>
        <v>0</v>
      </c>
      <c r="AG138" s="492">
        <f t="shared" si="122"/>
        <v>0</v>
      </c>
      <c r="AH138" s="493">
        <v>0</v>
      </c>
      <c r="AI138" s="493">
        <v>0</v>
      </c>
      <c r="AJ138" s="493">
        <v>0</v>
      </c>
      <c r="AK138" s="493">
        <v>0</v>
      </c>
      <c r="AL138" s="493">
        <v>0</v>
      </c>
      <c r="AM138" s="493">
        <v>0</v>
      </c>
      <c r="AN138" s="493">
        <v>0</v>
      </c>
      <c r="AO138" s="493">
        <f t="shared" ref="AO138:AO143" si="208">AH138+AJ138+AK138+AM138</f>
        <v>0</v>
      </c>
      <c r="AP138" s="493">
        <f t="shared" ref="AP138:AP143" si="209">AI138+AN138+AL138</f>
        <v>0</v>
      </c>
      <c r="AQ138" s="495">
        <f t="shared" si="123"/>
        <v>0</v>
      </c>
      <c r="AR138" s="501">
        <f t="shared" ref="AR138:AR143" si="210">I138+AG138</f>
        <v>1526298</v>
      </c>
      <c r="AS138" s="492">
        <f t="shared" ref="AS138:AS143" si="211">J138+V138</f>
        <v>1113438</v>
      </c>
      <c r="AT138" s="492">
        <f t="shared" ref="AT138:AT143" si="212">K138+Z138</f>
        <v>3250</v>
      </c>
      <c r="AU138" s="492">
        <f t="shared" ref="AU138:AV143" si="213">L138+AB138</f>
        <v>377441</v>
      </c>
      <c r="AV138" s="492">
        <f t="shared" si="213"/>
        <v>22269</v>
      </c>
      <c r="AW138" s="492">
        <f t="shared" ref="AW138:AW143" si="214">N138+AF138</f>
        <v>9900</v>
      </c>
      <c r="AX138" s="493">
        <f t="shared" ref="AX138:AX143" si="215">O138+AQ138</f>
        <v>2.4363000000000001</v>
      </c>
      <c r="AY138" s="493">
        <f t="shared" ref="AY138:AZ143" si="216">P138+AO138</f>
        <v>1.9254</v>
      </c>
      <c r="AZ138" s="495">
        <f t="shared" si="216"/>
        <v>0.51090000000000002</v>
      </c>
    </row>
    <row r="139" spans="1:52" ht="12.95" customHeight="1" x14ac:dyDescent="0.25">
      <c r="A139" s="313">
        <v>26</v>
      </c>
      <c r="B139" s="354">
        <v>5452</v>
      </c>
      <c r="C139" s="355">
        <v>600099245</v>
      </c>
      <c r="D139" s="314">
        <v>70188416</v>
      </c>
      <c r="E139" s="356" t="s">
        <v>423</v>
      </c>
      <c r="F139" s="314">
        <v>3117</v>
      </c>
      <c r="G139" s="356" t="s">
        <v>315</v>
      </c>
      <c r="H139" s="317" t="s">
        <v>278</v>
      </c>
      <c r="I139" s="494">
        <v>3546446</v>
      </c>
      <c r="J139" s="489">
        <v>2555217</v>
      </c>
      <c r="K139" s="489">
        <v>16250</v>
      </c>
      <c r="L139" s="489">
        <v>869155</v>
      </c>
      <c r="M139" s="489">
        <v>51104</v>
      </c>
      <c r="N139" s="489">
        <v>54720</v>
      </c>
      <c r="O139" s="490">
        <v>5.2286999999999999</v>
      </c>
      <c r="P139" s="491">
        <v>3.4089999999999998</v>
      </c>
      <c r="Q139" s="500">
        <v>1.8197000000000001</v>
      </c>
      <c r="R139" s="502">
        <f t="shared" si="119"/>
        <v>0</v>
      </c>
      <c r="S139" s="492">
        <v>0</v>
      </c>
      <c r="T139" s="492">
        <v>0</v>
      </c>
      <c r="U139" s="492">
        <v>0</v>
      </c>
      <c r="V139" s="492">
        <f t="shared" si="120"/>
        <v>0</v>
      </c>
      <c r="W139" s="713">
        <v>0</v>
      </c>
      <c r="X139" s="492">
        <v>0</v>
      </c>
      <c r="Y139" s="492">
        <v>0</v>
      </c>
      <c r="Z139" s="492">
        <f t="shared" si="204"/>
        <v>0</v>
      </c>
      <c r="AA139" s="492">
        <f t="shared" si="205"/>
        <v>0</v>
      </c>
      <c r="AB139" s="74">
        <f t="shared" si="206"/>
        <v>0</v>
      </c>
      <c r="AC139" s="74">
        <f t="shared" si="207"/>
        <v>0</v>
      </c>
      <c r="AD139" s="492">
        <v>0</v>
      </c>
      <c r="AE139" s="492">
        <v>0</v>
      </c>
      <c r="AF139" s="492">
        <f t="shared" si="121"/>
        <v>0</v>
      </c>
      <c r="AG139" s="492">
        <f t="shared" si="122"/>
        <v>0</v>
      </c>
      <c r="AH139" s="493">
        <v>0</v>
      </c>
      <c r="AI139" s="493">
        <v>0</v>
      </c>
      <c r="AJ139" s="493">
        <v>0</v>
      </c>
      <c r="AK139" s="493">
        <v>0</v>
      </c>
      <c r="AL139" s="493">
        <v>0</v>
      </c>
      <c r="AM139" s="493">
        <v>0</v>
      </c>
      <c r="AN139" s="493">
        <v>0</v>
      </c>
      <c r="AO139" s="493">
        <f t="shared" si="208"/>
        <v>0</v>
      </c>
      <c r="AP139" s="493">
        <f t="shared" si="209"/>
        <v>0</v>
      </c>
      <c r="AQ139" s="495">
        <f t="shared" si="123"/>
        <v>0</v>
      </c>
      <c r="AR139" s="501">
        <f t="shared" si="210"/>
        <v>3546446</v>
      </c>
      <c r="AS139" s="492">
        <f t="shared" si="211"/>
        <v>2555217</v>
      </c>
      <c r="AT139" s="492">
        <f t="shared" si="212"/>
        <v>16250</v>
      </c>
      <c r="AU139" s="492">
        <f t="shared" si="213"/>
        <v>869155</v>
      </c>
      <c r="AV139" s="492">
        <f t="shared" si="213"/>
        <v>51104</v>
      </c>
      <c r="AW139" s="492">
        <f t="shared" si="214"/>
        <v>54720</v>
      </c>
      <c r="AX139" s="493">
        <f t="shared" si="215"/>
        <v>5.2286999999999999</v>
      </c>
      <c r="AY139" s="493">
        <f t="shared" si="216"/>
        <v>3.4089999999999998</v>
      </c>
      <c r="AZ139" s="495">
        <f t="shared" si="216"/>
        <v>1.8197000000000001</v>
      </c>
    </row>
    <row r="140" spans="1:52" ht="12.95" customHeight="1" x14ac:dyDescent="0.25">
      <c r="A140" s="313">
        <v>26</v>
      </c>
      <c r="B140" s="354">
        <v>5452</v>
      </c>
      <c r="C140" s="355">
        <v>600099245</v>
      </c>
      <c r="D140" s="314">
        <v>70188416</v>
      </c>
      <c r="E140" s="356" t="s">
        <v>423</v>
      </c>
      <c r="F140" s="314">
        <v>3117</v>
      </c>
      <c r="G140" s="356" t="s">
        <v>320</v>
      </c>
      <c r="H140" s="317" t="s">
        <v>279</v>
      </c>
      <c r="I140" s="494">
        <v>1576725</v>
      </c>
      <c r="J140" s="489">
        <v>1158708</v>
      </c>
      <c r="K140" s="489">
        <v>0</v>
      </c>
      <c r="L140" s="489">
        <v>391643</v>
      </c>
      <c r="M140" s="489">
        <v>23174</v>
      </c>
      <c r="N140" s="489">
        <v>3200</v>
      </c>
      <c r="O140" s="490">
        <v>3.33</v>
      </c>
      <c r="P140" s="491">
        <v>3.33</v>
      </c>
      <c r="Q140" s="500">
        <v>0</v>
      </c>
      <c r="R140" s="502">
        <f t="shared" si="119"/>
        <v>0</v>
      </c>
      <c r="S140" s="492">
        <v>0</v>
      </c>
      <c r="T140" s="492">
        <v>0</v>
      </c>
      <c r="U140" s="492">
        <v>0</v>
      </c>
      <c r="V140" s="492">
        <f t="shared" si="120"/>
        <v>0</v>
      </c>
      <c r="W140" s="713">
        <v>0</v>
      </c>
      <c r="X140" s="492">
        <v>0</v>
      </c>
      <c r="Y140" s="492">
        <v>0</v>
      </c>
      <c r="Z140" s="492">
        <f t="shared" si="204"/>
        <v>0</v>
      </c>
      <c r="AA140" s="492">
        <f t="shared" si="205"/>
        <v>0</v>
      </c>
      <c r="AB140" s="74">
        <f t="shared" si="206"/>
        <v>0</v>
      </c>
      <c r="AC140" s="74">
        <f t="shared" si="207"/>
        <v>0</v>
      </c>
      <c r="AD140" s="492">
        <v>0</v>
      </c>
      <c r="AE140" s="492">
        <v>0</v>
      </c>
      <c r="AF140" s="492">
        <f t="shared" si="121"/>
        <v>0</v>
      </c>
      <c r="AG140" s="492">
        <f t="shared" si="122"/>
        <v>0</v>
      </c>
      <c r="AH140" s="493">
        <v>0</v>
      </c>
      <c r="AI140" s="493">
        <v>0</v>
      </c>
      <c r="AJ140" s="493">
        <v>0</v>
      </c>
      <c r="AK140" s="493">
        <v>0</v>
      </c>
      <c r="AL140" s="493">
        <v>0</v>
      </c>
      <c r="AM140" s="493">
        <v>0</v>
      </c>
      <c r="AN140" s="493">
        <v>0</v>
      </c>
      <c r="AO140" s="493">
        <f t="shared" si="208"/>
        <v>0</v>
      </c>
      <c r="AP140" s="493">
        <f t="shared" si="209"/>
        <v>0</v>
      </c>
      <c r="AQ140" s="495">
        <f t="shared" si="123"/>
        <v>0</v>
      </c>
      <c r="AR140" s="501">
        <f t="shared" si="210"/>
        <v>1576725</v>
      </c>
      <c r="AS140" s="492">
        <f t="shared" si="211"/>
        <v>1158708</v>
      </c>
      <c r="AT140" s="492">
        <f t="shared" si="212"/>
        <v>0</v>
      </c>
      <c r="AU140" s="492">
        <f t="shared" si="213"/>
        <v>391643</v>
      </c>
      <c r="AV140" s="492">
        <f t="shared" si="213"/>
        <v>23174</v>
      </c>
      <c r="AW140" s="492">
        <f t="shared" si="214"/>
        <v>3200</v>
      </c>
      <c r="AX140" s="493">
        <f t="shared" si="215"/>
        <v>3.33</v>
      </c>
      <c r="AY140" s="493">
        <f t="shared" si="216"/>
        <v>3.33</v>
      </c>
      <c r="AZ140" s="495">
        <f t="shared" si="216"/>
        <v>0</v>
      </c>
    </row>
    <row r="141" spans="1:52" ht="12.95" customHeight="1" x14ac:dyDescent="0.25">
      <c r="A141" s="313">
        <v>26</v>
      </c>
      <c r="B141" s="354">
        <v>5452</v>
      </c>
      <c r="C141" s="355">
        <v>600099245</v>
      </c>
      <c r="D141" s="314">
        <v>70188416</v>
      </c>
      <c r="E141" s="356" t="s">
        <v>423</v>
      </c>
      <c r="F141" s="314">
        <v>3141</v>
      </c>
      <c r="G141" s="356" t="s">
        <v>316</v>
      </c>
      <c r="H141" s="317" t="s">
        <v>279</v>
      </c>
      <c r="I141" s="494">
        <v>762002</v>
      </c>
      <c r="J141" s="489">
        <v>558815</v>
      </c>
      <c r="K141" s="489">
        <v>0</v>
      </c>
      <c r="L141" s="489">
        <v>188879</v>
      </c>
      <c r="M141" s="489">
        <v>11176</v>
      </c>
      <c r="N141" s="489">
        <v>3132</v>
      </c>
      <c r="O141" s="490">
        <v>1.76</v>
      </c>
      <c r="P141" s="491">
        <v>0</v>
      </c>
      <c r="Q141" s="500">
        <v>1.76</v>
      </c>
      <c r="R141" s="502">
        <f t="shared" ref="R141:R163" si="217">W141*-1</f>
        <v>0</v>
      </c>
      <c r="S141" s="492">
        <v>0</v>
      </c>
      <c r="T141" s="492">
        <v>0</v>
      </c>
      <c r="U141" s="492">
        <v>0</v>
      </c>
      <c r="V141" s="492">
        <f t="shared" ref="V141:V163" si="218">SUM(R141:U141)</f>
        <v>0</v>
      </c>
      <c r="W141" s="713">
        <v>0</v>
      </c>
      <c r="X141" s="492">
        <v>0</v>
      </c>
      <c r="Y141" s="492">
        <v>0</v>
      </c>
      <c r="Z141" s="492">
        <f t="shared" si="204"/>
        <v>0</v>
      </c>
      <c r="AA141" s="492">
        <f t="shared" si="205"/>
        <v>0</v>
      </c>
      <c r="AB141" s="74">
        <f t="shared" si="206"/>
        <v>0</v>
      </c>
      <c r="AC141" s="74">
        <f t="shared" si="207"/>
        <v>0</v>
      </c>
      <c r="AD141" s="492">
        <v>0</v>
      </c>
      <c r="AE141" s="492">
        <v>0</v>
      </c>
      <c r="AF141" s="492">
        <f t="shared" ref="AF141:AF163" si="219">SUM(AD141:AE141)</f>
        <v>0</v>
      </c>
      <c r="AG141" s="492">
        <f t="shared" ref="AG141:AG163" si="220">AA141+AB141+AC141+AF141</f>
        <v>0</v>
      </c>
      <c r="AH141" s="493">
        <v>0</v>
      </c>
      <c r="AI141" s="493">
        <v>0</v>
      </c>
      <c r="AJ141" s="493">
        <v>0</v>
      </c>
      <c r="AK141" s="493">
        <v>0</v>
      </c>
      <c r="AL141" s="493">
        <v>0</v>
      </c>
      <c r="AM141" s="493">
        <v>0</v>
      </c>
      <c r="AN141" s="493">
        <v>0</v>
      </c>
      <c r="AO141" s="493">
        <f t="shared" si="208"/>
        <v>0</v>
      </c>
      <c r="AP141" s="493">
        <f t="shared" si="209"/>
        <v>0</v>
      </c>
      <c r="AQ141" s="495">
        <f t="shared" ref="AQ141:AQ163" si="221">SUM(AO141:AP141)</f>
        <v>0</v>
      </c>
      <c r="AR141" s="501">
        <f t="shared" si="210"/>
        <v>762002</v>
      </c>
      <c r="AS141" s="492">
        <f t="shared" si="211"/>
        <v>558815</v>
      </c>
      <c r="AT141" s="492">
        <f t="shared" si="212"/>
        <v>0</v>
      </c>
      <c r="AU141" s="492">
        <f t="shared" si="213"/>
        <v>188879</v>
      </c>
      <c r="AV141" s="492">
        <f t="shared" si="213"/>
        <v>11176</v>
      </c>
      <c r="AW141" s="492">
        <f t="shared" si="214"/>
        <v>3132</v>
      </c>
      <c r="AX141" s="493">
        <f t="shared" si="215"/>
        <v>1.76</v>
      </c>
      <c r="AY141" s="493">
        <f t="shared" si="216"/>
        <v>0</v>
      </c>
      <c r="AZ141" s="495">
        <f t="shared" si="216"/>
        <v>1.76</v>
      </c>
    </row>
    <row r="142" spans="1:52" ht="12.95" customHeight="1" x14ac:dyDescent="0.25">
      <c r="A142" s="313">
        <v>26</v>
      </c>
      <c r="B142" s="354">
        <v>5452</v>
      </c>
      <c r="C142" s="355">
        <v>600099245</v>
      </c>
      <c r="D142" s="314">
        <v>70188416</v>
      </c>
      <c r="E142" s="356" t="s">
        <v>423</v>
      </c>
      <c r="F142" s="314">
        <v>3143</v>
      </c>
      <c r="G142" s="356" t="s">
        <v>629</v>
      </c>
      <c r="H142" s="317" t="s">
        <v>278</v>
      </c>
      <c r="I142" s="494">
        <v>578765</v>
      </c>
      <c r="J142" s="489">
        <v>426189</v>
      </c>
      <c r="K142" s="489">
        <v>0</v>
      </c>
      <c r="L142" s="489">
        <v>144052</v>
      </c>
      <c r="M142" s="489">
        <v>8524</v>
      </c>
      <c r="N142" s="489">
        <v>0</v>
      </c>
      <c r="O142" s="490">
        <v>0.89649999999999996</v>
      </c>
      <c r="P142" s="491">
        <v>0.89649999999999996</v>
      </c>
      <c r="Q142" s="500">
        <v>0</v>
      </c>
      <c r="R142" s="502">
        <f t="shared" si="217"/>
        <v>0</v>
      </c>
      <c r="S142" s="492">
        <v>0</v>
      </c>
      <c r="T142" s="492">
        <v>0</v>
      </c>
      <c r="U142" s="492">
        <v>0</v>
      </c>
      <c r="V142" s="492">
        <f t="shared" si="218"/>
        <v>0</v>
      </c>
      <c r="W142" s="713">
        <v>0</v>
      </c>
      <c r="X142" s="492">
        <v>0</v>
      </c>
      <c r="Y142" s="492">
        <v>0</v>
      </c>
      <c r="Z142" s="492">
        <f t="shared" si="204"/>
        <v>0</v>
      </c>
      <c r="AA142" s="492">
        <f t="shared" si="205"/>
        <v>0</v>
      </c>
      <c r="AB142" s="74">
        <f t="shared" si="206"/>
        <v>0</v>
      </c>
      <c r="AC142" s="74">
        <f t="shared" si="207"/>
        <v>0</v>
      </c>
      <c r="AD142" s="492">
        <v>0</v>
      </c>
      <c r="AE142" s="492">
        <v>0</v>
      </c>
      <c r="AF142" s="492">
        <f t="shared" si="219"/>
        <v>0</v>
      </c>
      <c r="AG142" s="492">
        <f t="shared" si="220"/>
        <v>0</v>
      </c>
      <c r="AH142" s="493">
        <v>0</v>
      </c>
      <c r="AI142" s="493">
        <v>0</v>
      </c>
      <c r="AJ142" s="493">
        <v>0</v>
      </c>
      <c r="AK142" s="493">
        <v>0</v>
      </c>
      <c r="AL142" s="493">
        <v>0</v>
      </c>
      <c r="AM142" s="493">
        <v>0</v>
      </c>
      <c r="AN142" s="493">
        <v>0</v>
      </c>
      <c r="AO142" s="493">
        <f t="shared" si="208"/>
        <v>0</v>
      </c>
      <c r="AP142" s="493">
        <f t="shared" si="209"/>
        <v>0</v>
      </c>
      <c r="AQ142" s="495">
        <f t="shared" si="221"/>
        <v>0</v>
      </c>
      <c r="AR142" s="501">
        <f t="shared" si="210"/>
        <v>578765</v>
      </c>
      <c r="AS142" s="492">
        <f t="shared" si="211"/>
        <v>426189</v>
      </c>
      <c r="AT142" s="492">
        <f t="shared" si="212"/>
        <v>0</v>
      </c>
      <c r="AU142" s="492">
        <f t="shared" si="213"/>
        <v>144052</v>
      </c>
      <c r="AV142" s="492">
        <f t="shared" si="213"/>
        <v>8524</v>
      </c>
      <c r="AW142" s="492">
        <f t="shared" si="214"/>
        <v>0</v>
      </c>
      <c r="AX142" s="493">
        <f t="shared" si="215"/>
        <v>0.89649999999999996</v>
      </c>
      <c r="AY142" s="493">
        <f t="shared" si="216"/>
        <v>0.89649999999999996</v>
      </c>
      <c r="AZ142" s="495">
        <f t="shared" si="216"/>
        <v>0</v>
      </c>
    </row>
    <row r="143" spans="1:52" ht="12.95" customHeight="1" x14ac:dyDescent="0.25">
      <c r="A143" s="313">
        <v>26</v>
      </c>
      <c r="B143" s="354">
        <v>5452</v>
      </c>
      <c r="C143" s="355">
        <v>600099245</v>
      </c>
      <c r="D143" s="314">
        <v>70188416</v>
      </c>
      <c r="E143" s="689" t="s">
        <v>423</v>
      </c>
      <c r="F143" s="314">
        <v>3143</v>
      </c>
      <c r="G143" s="356" t="s">
        <v>630</v>
      </c>
      <c r="H143" s="317" t="s">
        <v>279</v>
      </c>
      <c r="I143" s="494">
        <v>18899</v>
      </c>
      <c r="J143" s="489">
        <v>13365</v>
      </c>
      <c r="K143" s="489">
        <v>0</v>
      </c>
      <c r="L143" s="489">
        <v>4517</v>
      </c>
      <c r="M143" s="489">
        <v>267</v>
      </c>
      <c r="N143" s="489">
        <v>750</v>
      </c>
      <c r="O143" s="490">
        <v>0.05</v>
      </c>
      <c r="P143" s="491">
        <v>0</v>
      </c>
      <c r="Q143" s="500">
        <v>0.05</v>
      </c>
      <c r="R143" s="502">
        <f t="shared" si="217"/>
        <v>0</v>
      </c>
      <c r="S143" s="492">
        <v>0</v>
      </c>
      <c r="T143" s="492">
        <v>0</v>
      </c>
      <c r="U143" s="492">
        <v>0</v>
      </c>
      <c r="V143" s="492">
        <f t="shared" si="218"/>
        <v>0</v>
      </c>
      <c r="W143" s="713">
        <v>0</v>
      </c>
      <c r="X143" s="492">
        <v>0</v>
      </c>
      <c r="Y143" s="492">
        <v>0</v>
      </c>
      <c r="Z143" s="492">
        <f t="shared" si="204"/>
        <v>0</v>
      </c>
      <c r="AA143" s="492">
        <f t="shared" si="205"/>
        <v>0</v>
      </c>
      <c r="AB143" s="74">
        <f t="shared" si="206"/>
        <v>0</v>
      </c>
      <c r="AC143" s="74">
        <f t="shared" si="207"/>
        <v>0</v>
      </c>
      <c r="AD143" s="492">
        <v>0</v>
      </c>
      <c r="AE143" s="492">
        <v>0</v>
      </c>
      <c r="AF143" s="492">
        <f t="shared" si="219"/>
        <v>0</v>
      </c>
      <c r="AG143" s="492">
        <f t="shared" si="220"/>
        <v>0</v>
      </c>
      <c r="AH143" s="493">
        <v>0</v>
      </c>
      <c r="AI143" s="493">
        <v>0</v>
      </c>
      <c r="AJ143" s="493">
        <v>0</v>
      </c>
      <c r="AK143" s="493">
        <v>0</v>
      </c>
      <c r="AL143" s="493">
        <v>0</v>
      </c>
      <c r="AM143" s="493">
        <v>0</v>
      </c>
      <c r="AN143" s="493">
        <v>0</v>
      </c>
      <c r="AO143" s="493">
        <f t="shared" si="208"/>
        <v>0</v>
      </c>
      <c r="AP143" s="493">
        <f t="shared" si="209"/>
        <v>0</v>
      </c>
      <c r="AQ143" s="495">
        <f t="shared" si="221"/>
        <v>0</v>
      </c>
      <c r="AR143" s="501">
        <f t="shared" si="210"/>
        <v>18899</v>
      </c>
      <c r="AS143" s="492">
        <f t="shared" si="211"/>
        <v>13365</v>
      </c>
      <c r="AT143" s="492">
        <f t="shared" si="212"/>
        <v>0</v>
      </c>
      <c r="AU143" s="492">
        <f t="shared" si="213"/>
        <v>4517</v>
      </c>
      <c r="AV143" s="492">
        <f t="shared" si="213"/>
        <v>267</v>
      </c>
      <c r="AW143" s="492">
        <f t="shared" si="214"/>
        <v>750</v>
      </c>
      <c r="AX143" s="493">
        <f t="shared" si="215"/>
        <v>0.05</v>
      </c>
      <c r="AY143" s="493">
        <f t="shared" si="216"/>
        <v>0</v>
      </c>
      <c r="AZ143" s="495">
        <f t="shared" si="216"/>
        <v>0.05</v>
      </c>
    </row>
    <row r="144" spans="1:52" ht="12.95" customHeight="1" x14ac:dyDescent="0.25">
      <c r="A144" s="357">
        <v>26</v>
      </c>
      <c r="B144" s="358">
        <v>5452</v>
      </c>
      <c r="C144" s="359">
        <v>600099245</v>
      </c>
      <c r="D144" s="358">
        <v>70188416</v>
      </c>
      <c r="E144" s="360" t="s">
        <v>424</v>
      </c>
      <c r="F144" s="324"/>
      <c r="G144" s="362"/>
      <c r="H144" s="325"/>
      <c r="I144" s="606">
        <v>8009135</v>
      </c>
      <c r="J144" s="602">
        <v>5825732</v>
      </c>
      <c r="K144" s="602">
        <v>19500</v>
      </c>
      <c r="L144" s="602">
        <v>1975687</v>
      </c>
      <c r="M144" s="602">
        <v>116514</v>
      </c>
      <c r="N144" s="602">
        <v>71702</v>
      </c>
      <c r="O144" s="603">
        <v>13.701500000000001</v>
      </c>
      <c r="P144" s="603">
        <v>9.5609000000000002</v>
      </c>
      <c r="Q144" s="608">
        <v>4.1406000000000001</v>
      </c>
      <c r="R144" s="606">
        <f t="shared" ref="R144:AZ144" si="222">SUM(R138:R143)</f>
        <v>0</v>
      </c>
      <c r="S144" s="602">
        <f t="shared" si="222"/>
        <v>0</v>
      </c>
      <c r="T144" s="602">
        <f t="shared" si="222"/>
        <v>0</v>
      </c>
      <c r="U144" s="602">
        <f t="shared" si="222"/>
        <v>0</v>
      </c>
      <c r="V144" s="602">
        <f t="shared" si="222"/>
        <v>0</v>
      </c>
      <c r="W144" s="602">
        <f t="shared" si="222"/>
        <v>0</v>
      </c>
      <c r="X144" s="602">
        <f t="shared" si="222"/>
        <v>0</v>
      </c>
      <c r="Y144" s="602">
        <f t="shared" si="222"/>
        <v>0</v>
      </c>
      <c r="Z144" s="602">
        <f t="shared" si="222"/>
        <v>0</v>
      </c>
      <c r="AA144" s="602">
        <f t="shared" si="222"/>
        <v>0</v>
      </c>
      <c r="AB144" s="602">
        <f t="shared" si="222"/>
        <v>0</v>
      </c>
      <c r="AC144" s="602">
        <f t="shared" si="222"/>
        <v>0</v>
      </c>
      <c r="AD144" s="602">
        <f t="shared" si="222"/>
        <v>0</v>
      </c>
      <c r="AE144" s="602">
        <f t="shared" si="222"/>
        <v>0</v>
      </c>
      <c r="AF144" s="602">
        <f t="shared" si="222"/>
        <v>0</v>
      </c>
      <c r="AG144" s="602">
        <f t="shared" si="222"/>
        <v>0</v>
      </c>
      <c r="AH144" s="603">
        <f t="shared" si="222"/>
        <v>0</v>
      </c>
      <c r="AI144" s="603">
        <f t="shared" si="222"/>
        <v>0</v>
      </c>
      <c r="AJ144" s="603">
        <f t="shared" si="222"/>
        <v>0</v>
      </c>
      <c r="AK144" s="603">
        <f t="shared" si="222"/>
        <v>0</v>
      </c>
      <c r="AL144" s="603">
        <f t="shared" si="222"/>
        <v>0</v>
      </c>
      <c r="AM144" s="603">
        <f t="shared" si="222"/>
        <v>0</v>
      </c>
      <c r="AN144" s="603">
        <f t="shared" si="222"/>
        <v>0</v>
      </c>
      <c r="AO144" s="603">
        <f t="shared" si="222"/>
        <v>0</v>
      </c>
      <c r="AP144" s="603">
        <f t="shared" si="222"/>
        <v>0</v>
      </c>
      <c r="AQ144" s="361">
        <f t="shared" si="222"/>
        <v>0</v>
      </c>
      <c r="AR144" s="610">
        <f t="shared" si="222"/>
        <v>8009135</v>
      </c>
      <c r="AS144" s="602">
        <f t="shared" si="222"/>
        <v>5825732</v>
      </c>
      <c r="AT144" s="602">
        <f t="shared" si="222"/>
        <v>19500</v>
      </c>
      <c r="AU144" s="602">
        <f t="shared" si="222"/>
        <v>1975687</v>
      </c>
      <c r="AV144" s="602">
        <f t="shared" si="222"/>
        <v>116514</v>
      </c>
      <c r="AW144" s="602">
        <f t="shared" si="222"/>
        <v>71702</v>
      </c>
      <c r="AX144" s="603">
        <f t="shared" si="222"/>
        <v>13.701500000000001</v>
      </c>
      <c r="AY144" s="603">
        <f t="shared" si="222"/>
        <v>9.5609000000000002</v>
      </c>
      <c r="AZ144" s="361">
        <f t="shared" si="222"/>
        <v>4.1406000000000001</v>
      </c>
    </row>
    <row r="145" spans="1:52" ht="12.95" customHeight="1" x14ac:dyDescent="0.25">
      <c r="A145" s="313">
        <v>27</v>
      </c>
      <c r="B145" s="354">
        <v>5428</v>
      </c>
      <c r="C145" s="355">
        <v>600099059</v>
      </c>
      <c r="D145" s="314">
        <v>70985740</v>
      </c>
      <c r="E145" s="356" t="s">
        <v>425</v>
      </c>
      <c r="F145" s="314">
        <v>3111</v>
      </c>
      <c r="G145" s="356" t="s">
        <v>326</v>
      </c>
      <c r="H145" s="317" t="s">
        <v>278</v>
      </c>
      <c r="I145" s="494">
        <v>1410573</v>
      </c>
      <c r="J145" s="489">
        <v>1024070</v>
      </c>
      <c r="K145" s="489">
        <v>7800</v>
      </c>
      <c r="L145" s="489">
        <v>348772</v>
      </c>
      <c r="M145" s="489">
        <v>20481</v>
      </c>
      <c r="N145" s="489">
        <v>9450</v>
      </c>
      <c r="O145" s="490">
        <v>2.3658000000000001</v>
      </c>
      <c r="P145" s="491">
        <v>1.8549</v>
      </c>
      <c r="Q145" s="500">
        <v>0.51090000000000002</v>
      </c>
      <c r="R145" s="502">
        <f t="shared" si="217"/>
        <v>0</v>
      </c>
      <c r="S145" s="492">
        <v>0</v>
      </c>
      <c r="T145" s="492">
        <v>0</v>
      </c>
      <c r="U145" s="492">
        <v>0</v>
      </c>
      <c r="V145" s="492">
        <f t="shared" si="218"/>
        <v>0</v>
      </c>
      <c r="W145" s="713">
        <v>0</v>
      </c>
      <c r="X145" s="492">
        <v>0</v>
      </c>
      <c r="Y145" s="492">
        <v>0</v>
      </c>
      <c r="Z145" s="492">
        <f t="shared" ref="Z145:Z150" si="223">SUM(W145:Y145)</f>
        <v>0</v>
      </c>
      <c r="AA145" s="492">
        <f t="shared" ref="AA145:AA150" si="224">V145+Z145</f>
        <v>0</v>
      </c>
      <c r="AB145" s="74">
        <f t="shared" ref="AB145:AB150" si="225">ROUND((V145+W145+X145)*33.8%,0)</f>
        <v>0</v>
      </c>
      <c r="AC145" s="74">
        <f t="shared" ref="AC145:AC150" si="226">ROUND(V145*2%,0)</f>
        <v>0</v>
      </c>
      <c r="AD145" s="492">
        <v>0</v>
      </c>
      <c r="AE145" s="492">
        <v>0</v>
      </c>
      <c r="AF145" s="492">
        <f t="shared" si="219"/>
        <v>0</v>
      </c>
      <c r="AG145" s="492">
        <f t="shared" si="220"/>
        <v>0</v>
      </c>
      <c r="AH145" s="493">
        <v>0</v>
      </c>
      <c r="AI145" s="493">
        <v>0</v>
      </c>
      <c r="AJ145" s="493">
        <v>0</v>
      </c>
      <c r="AK145" s="493">
        <v>0</v>
      </c>
      <c r="AL145" s="493">
        <v>0</v>
      </c>
      <c r="AM145" s="493">
        <v>0</v>
      </c>
      <c r="AN145" s="493">
        <v>0</v>
      </c>
      <c r="AO145" s="493">
        <f t="shared" ref="AO145:AO150" si="227">AH145+AJ145+AK145+AM145</f>
        <v>0</v>
      </c>
      <c r="AP145" s="493">
        <f t="shared" ref="AP145:AP150" si="228">AI145+AN145+AL145</f>
        <v>0</v>
      </c>
      <c r="AQ145" s="495">
        <f t="shared" si="221"/>
        <v>0</v>
      </c>
      <c r="AR145" s="501">
        <f t="shared" ref="AR145:AR150" si="229">I145+AG145</f>
        <v>1410573</v>
      </c>
      <c r="AS145" s="492">
        <f t="shared" ref="AS145:AS150" si="230">J145+V145</f>
        <v>1024070</v>
      </c>
      <c r="AT145" s="492">
        <f t="shared" ref="AT145:AT150" si="231">K145+Z145</f>
        <v>7800</v>
      </c>
      <c r="AU145" s="492">
        <f t="shared" ref="AU145:AV150" si="232">L145+AB145</f>
        <v>348772</v>
      </c>
      <c r="AV145" s="492">
        <f t="shared" si="232"/>
        <v>20481</v>
      </c>
      <c r="AW145" s="492">
        <f t="shared" ref="AW145:AW150" si="233">N145+AF145</f>
        <v>9450</v>
      </c>
      <c r="AX145" s="493">
        <f t="shared" ref="AX145:AX150" si="234">O145+AQ145</f>
        <v>2.3658000000000001</v>
      </c>
      <c r="AY145" s="493">
        <f t="shared" ref="AY145:AZ150" si="235">P145+AO145</f>
        <v>1.8549</v>
      </c>
      <c r="AZ145" s="495">
        <f t="shared" si="235"/>
        <v>0.51090000000000002</v>
      </c>
    </row>
    <row r="146" spans="1:52" ht="12.95" customHeight="1" x14ac:dyDescent="0.25">
      <c r="A146" s="313">
        <v>27</v>
      </c>
      <c r="B146" s="354">
        <v>5428</v>
      </c>
      <c r="C146" s="355">
        <v>600099059</v>
      </c>
      <c r="D146" s="314">
        <v>70985740</v>
      </c>
      <c r="E146" s="356" t="s">
        <v>425</v>
      </c>
      <c r="F146" s="314">
        <v>3117</v>
      </c>
      <c r="G146" s="356" t="s">
        <v>315</v>
      </c>
      <c r="H146" s="317" t="s">
        <v>278</v>
      </c>
      <c r="I146" s="494">
        <v>2360314</v>
      </c>
      <c r="J146" s="489">
        <v>1653159</v>
      </c>
      <c r="K146" s="489">
        <v>67020</v>
      </c>
      <c r="L146" s="489">
        <v>581421</v>
      </c>
      <c r="M146" s="489">
        <v>33064</v>
      </c>
      <c r="N146" s="489">
        <v>25650</v>
      </c>
      <c r="O146" s="490">
        <v>3.1402999999999999</v>
      </c>
      <c r="P146" s="491">
        <v>2.1158999999999999</v>
      </c>
      <c r="Q146" s="500">
        <v>1.0244</v>
      </c>
      <c r="R146" s="502">
        <f t="shared" si="217"/>
        <v>0</v>
      </c>
      <c r="S146" s="492">
        <v>0</v>
      </c>
      <c r="T146" s="492">
        <v>0</v>
      </c>
      <c r="U146" s="492">
        <v>0</v>
      </c>
      <c r="V146" s="492">
        <f t="shared" si="218"/>
        <v>0</v>
      </c>
      <c r="W146" s="713">
        <v>0</v>
      </c>
      <c r="X146" s="492">
        <v>0</v>
      </c>
      <c r="Y146" s="492">
        <v>0</v>
      </c>
      <c r="Z146" s="492">
        <f t="shared" si="223"/>
        <v>0</v>
      </c>
      <c r="AA146" s="492">
        <f t="shared" si="224"/>
        <v>0</v>
      </c>
      <c r="AB146" s="74">
        <f t="shared" si="225"/>
        <v>0</v>
      </c>
      <c r="AC146" s="74">
        <f t="shared" si="226"/>
        <v>0</v>
      </c>
      <c r="AD146" s="492">
        <v>0</v>
      </c>
      <c r="AE146" s="492">
        <v>0</v>
      </c>
      <c r="AF146" s="492">
        <f t="shared" si="219"/>
        <v>0</v>
      </c>
      <c r="AG146" s="492">
        <f t="shared" si="220"/>
        <v>0</v>
      </c>
      <c r="AH146" s="493">
        <v>0</v>
      </c>
      <c r="AI146" s="493">
        <v>0</v>
      </c>
      <c r="AJ146" s="493">
        <v>0</v>
      </c>
      <c r="AK146" s="493">
        <v>0</v>
      </c>
      <c r="AL146" s="493">
        <v>0</v>
      </c>
      <c r="AM146" s="493">
        <v>0</v>
      </c>
      <c r="AN146" s="493">
        <v>0</v>
      </c>
      <c r="AO146" s="493">
        <f t="shared" si="227"/>
        <v>0</v>
      </c>
      <c r="AP146" s="493">
        <f t="shared" si="228"/>
        <v>0</v>
      </c>
      <c r="AQ146" s="495">
        <f t="shared" si="221"/>
        <v>0</v>
      </c>
      <c r="AR146" s="501">
        <f t="shared" si="229"/>
        <v>2360314</v>
      </c>
      <c r="AS146" s="492">
        <f t="shared" si="230"/>
        <v>1653159</v>
      </c>
      <c r="AT146" s="492">
        <f t="shared" si="231"/>
        <v>67020</v>
      </c>
      <c r="AU146" s="492">
        <f t="shared" si="232"/>
        <v>581421</v>
      </c>
      <c r="AV146" s="492">
        <f t="shared" si="232"/>
        <v>33064</v>
      </c>
      <c r="AW146" s="492">
        <f t="shared" si="233"/>
        <v>25650</v>
      </c>
      <c r="AX146" s="493">
        <f t="shared" si="234"/>
        <v>3.1402999999999999</v>
      </c>
      <c r="AY146" s="493">
        <f t="shared" si="235"/>
        <v>2.1158999999999999</v>
      </c>
      <c r="AZ146" s="495">
        <f t="shared" si="235"/>
        <v>1.0244</v>
      </c>
    </row>
    <row r="147" spans="1:52" ht="12.95" customHeight="1" x14ac:dyDescent="0.25">
      <c r="A147" s="313">
        <v>27</v>
      </c>
      <c r="B147" s="354">
        <v>5428</v>
      </c>
      <c r="C147" s="355">
        <v>600099059</v>
      </c>
      <c r="D147" s="314">
        <v>70985740</v>
      </c>
      <c r="E147" s="356" t="s">
        <v>425</v>
      </c>
      <c r="F147" s="314">
        <v>3117</v>
      </c>
      <c r="G147" s="356" t="s">
        <v>320</v>
      </c>
      <c r="H147" s="317" t="s">
        <v>279</v>
      </c>
      <c r="I147" s="494">
        <v>700</v>
      </c>
      <c r="J147" s="489">
        <v>0</v>
      </c>
      <c r="K147" s="489">
        <v>0</v>
      </c>
      <c r="L147" s="489">
        <v>0</v>
      </c>
      <c r="M147" s="489">
        <v>0</v>
      </c>
      <c r="N147" s="489">
        <v>700</v>
      </c>
      <c r="O147" s="490">
        <v>0</v>
      </c>
      <c r="P147" s="491">
        <v>0</v>
      </c>
      <c r="Q147" s="500">
        <v>0</v>
      </c>
      <c r="R147" s="502">
        <f t="shared" si="217"/>
        <v>0</v>
      </c>
      <c r="S147" s="492">
        <v>0</v>
      </c>
      <c r="T147" s="492">
        <v>0</v>
      </c>
      <c r="U147" s="492">
        <v>0</v>
      </c>
      <c r="V147" s="492">
        <f t="shared" si="218"/>
        <v>0</v>
      </c>
      <c r="W147" s="713">
        <v>0</v>
      </c>
      <c r="X147" s="492">
        <v>0</v>
      </c>
      <c r="Y147" s="492">
        <v>0</v>
      </c>
      <c r="Z147" s="492">
        <f t="shared" si="223"/>
        <v>0</v>
      </c>
      <c r="AA147" s="492">
        <f t="shared" si="224"/>
        <v>0</v>
      </c>
      <c r="AB147" s="74">
        <f t="shared" si="225"/>
        <v>0</v>
      </c>
      <c r="AC147" s="74">
        <f t="shared" si="226"/>
        <v>0</v>
      </c>
      <c r="AD147" s="492">
        <v>0</v>
      </c>
      <c r="AE147" s="492">
        <v>0</v>
      </c>
      <c r="AF147" s="492">
        <f t="shared" si="219"/>
        <v>0</v>
      </c>
      <c r="AG147" s="492">
        <f t="shared" si="220"/>
        <v>0</v>
      </c>
      <c r="AH147" s="493">
        <v>0</v>
      </c>
      <c r="AI147" s="493">
        <v>0</v>
      </c>
      <c r="AJ147" s="493">
        <v>0</v>
      </c>
      <c r="AK147" s="493">
        <v>0</v>
      </c>
      <c r="AL147" s="493">
        <v>0</v>
      </c>
      <c r="AM147" s="493">
        <v>0</v>
      </c>
      <c r="AN147" s="493">
        <v>0</v>
      </c>
      <c r="AO147" s="493">
        <f t="shared" si="227"/>
        <v>0</v>
      </c>
      <c r="AP147" s="493">
        <f t="shared" si="228"/>
        <v>0</v>
      </c>
      <c r="AQ147" s="495">
        <f t="shared" si="221"/>
        <v>0</v>
      </c>
      <c r="AR147" s="501">
        <f t="shared" si="229"/>
        <v>700</v>
      </c>
      <c r="AS147" s="492">
        <f t="shared" si="230"/>
        <v>0</v>
      </c>
      <c r="AT147" s="492">
        <f t="shared" si="231"/>
        <v>0</v>
      </c>
      <c r="AU147" s="492">
        <f t="shared" si="232"/>
        <v>0</v>
      </c>
      <c r="AV147" s="492">
        <f t="shared" si="232"/>
        <v>0</v>
      </c>
      <c r="AW147" s="492">
        <f t="shared" si="233"/>
        <v>700</v>
      </c>
      <c r="AX147" s="493">
        <f t="shared" si="234"/>
        <v>0</v>
      </c>
      <c r="AY147" s="493">
        <f t="shared" si="235"/>
        <v>0</v>
      </c>
      <c r="AZ147" s="495">
        <f t="shared" si="235"/>
        <v>0</v>
      </c>
    </row>
    <row r="148" spans="1:52" ht="12.95" customHeight="1" x14ac:dyDescent="0.25">
      <c r="A148" s="313">
        <v>27</v>
      </c>
      <c r="B148" s="354">
        <v>5428</v>
      </c>
      <c r="C148" s="355">
        <v>600099059</v>
      </c>
      <c r="D148" s="314">
        <v>70985740</v>
      </c>
      <c r="E148" s="356" t="s">
        <v>425</v>
      </c>
      <c r="F148" s="314">
        <v>3141</v>
      </c>
      <c r="G148" s="356" t="s">
        <v>316</v>
      </c>
      <c r="H148" s="317" t="s">
        <v>279</v>
      </c>
      <c r="I148" s="494">
        <v>546438</v>
      </c>
      <c r="J148" s="489">
        <v>400847</v>
      </c>
      <c r="K148" s="489">
        <v>0</v>
      </c>
      <c r="L148" s="489">
        <v>135486</v>
      </c>
      <c r="M148" s="489">
        <v>8017</v>
      </c>
      <c r="N148" s="489">
        <v>2088</v>
      </c>
      <c r="O148" s="490">
        <v>1.26</v>
      </c>
      <c r="P148" s="491">
        <v>0</v>
      </c>
      <c r="Q148" s="500">
        <v>1.26</v>
      </c>
      <c r="R148" s="502">
        <f t="shared" si="217"/>
        <v>0</v>
      </c>
      <c r="S148" s="492">
        <v>0</v>
      </c>
      <c r="T148" s="492">
        <v>0</v>
      </c>
      <c r="U148" s="492">
        <v>0</v>
      </c>
      <c r="V148" s="492">
        <f t="shared" si="218"/>
        <v>0</v>
      </c>
      <c r="W148" s="713">
        <v>0</v>
      </c>
      <c r="X148" s="492">
        <v>0</v>
      </c>
      <c r="Y148" s="492">
        <v>0</v>
      </c>
      <c r="Z148" s="492">
        <f t="shared" si="223"/>
        <v>0</v>
      </c>
      <c r="AA148" s="492">
        <f t="shared" si="224"/>
        <v>0</v>
      </c>
      <c r="AB148" s="74">
        <f t="shared" si="225"/>
        <v>0</v>
      </c>
      <c r="AC148" s="74">
        <f t="shared" si="226"/>
        <v>0</v>
      </c>
      <c r="AD148" s="492">
        <v>0</v>
      </c>
      <c r="AE148" s="492">
        <v>0</v>
      </c>
      <c r="AF148" s="492">
        <f t="shared" si="219"/>
        <v>0</v>
      </c>
      <c r="AG148" s="492">
        <f t="shared" si="220"/>
        <v>0</v>
      </c>
      <c r="AH148" s="493">
        <v>0</v>
      </c>
      <c r="AI148" s="493">
        <v>0</v>
      </c>
      <c r="AJ148" s="493">
        <v>0</v>
      </c>
      <c r="AK148" s="493">
        <v>0</v>
      </c>
      <c r="AL148" s="493">
        <v>0</v>
      </c>
      <c r="AM148" s="493">
        <v>0</v>
      </c>
      <c r="AN148" s="493">
        <v>0</v>
      </c>
      <c r="AO148" s="493">
        <f t="shared" si="227"/>
        <v>0</v>
      </c>
      <c r="AP148" s="493">
        <f t="shared" si="228"/>
        <v>0</v>
      </c>
      <c r="AQ148" s="495">
        <f t="shared" si="221"/>
        <v>0</v>
      </c>
      <c r="AR148" s="501">
        <f t="shared" si="229"/>
        <v>546438</v>
      </c>
      <c r="AS148" s="492">
        <f t="shared" si="230"/>
        <v>400847</v>
      </c>
      <c r="AT148" s="492">
        <f t="shared" si="231"/>
        <v>0</v>
      </c>
      <c r="AU148" s="492">
        <f t="shared" si="232"/>
        <v>135486</v>
      </c>
      <c r="AV148" s="492">
        <f t="shared" si="232"/>
        <v>8017</v>
      </c>
      <c r="AW148" s="492">
        <f t="shared" si="233"/>
        <v>2088</v>
      </c>
      <c r="AX148" s="493">
        <f t="shared" si="234"/>
        <v>1.26</v>
      </c>
      <c r="AY148" s="493">
        <f t="shared" si="235"/>
        <v>0</v>
      </c>
      <c r="AZ148" s="495">
        <f t="shared" si="235"/>
        <v>1.26</v>
      </c>
    </row>
    <row r="149" spans="1:52" ht="12.95" customHeight="1" x14ac:dyDescent="0.25">
      <c r="A149" s="313">
        <v>27</v>
      </c>
      <c r="B149" s="354">
        <v>5428</v>
      </c>
      <c r="C149" s="355">
        <v>600099059</v>
      </c>
      <c r="D149" s="314">
        <v>70985740</v>
      </c>
      <c r="E149" s="356" t="s">
        <v>425</v>
      </c>
      <c r="F149" s="314">
        <v>3143</v>
      </c>
      <c r="G149" s="356" t="s">
        <v>629</v>
      </c>
      <c r="H149" s="317" t="s">
        <v>278</v>
      </c>
      <c r="I149" s="494">
        <v>543883</v>
      </c>
      <c r="J149" s="489">
        <v>400503</v>
      </c>
      <c r="K149" s="489">
        <v>0</v>
      </c>
      <c r="L149" s="489">
        <v>135370</v>
      </c>
      <c r="M149" s="489">
        <v>8010</v>
      </c>
      <c r="N149" s="489">
        <v>0</v>
      </c>
      <c r="O149" s="490">
        <v>0.8417</v>
      </c>
      <c r="P149" s="491">
        <v>0.8417</v>
      </c>
      <c r="Q149" s="500">
        <v>0</v>
      </c>
      <c r="R149" s="502">
        <f t="shared" si="217"/>
        <v>0</v>
      </c>
      <c r="S149" s="492">
        <v>0</v>
      </c>
      <c r="T149" s="492">
        <v>0</v>
      </c>
      <c r="U149" s="492">
        <v>0</v>
      </c>
      <c r="V149" s="492">
        <f t="shared" si="218"/>
        <v>0</v>
      </c>
      <c r="W149" s="713">
        <v>0</v>
      </c>
      <c r="X149" s="492">
        <v>0</v>
      </c>
      <c r="Y149" s="492">
        <v>0</v>
      </c>
      <c r="Z149" s="492">
        <f t="shared" si="223"/>
        <v>0</v>
      </c>
      <c r="AA149" s="492">
        <f t="shared" si="224"/>
        <v>0</v>
      </c>
      <c r="AB149" s="74">
        <f t="shared" si="225"/>
        <v>0</v>
      </c>
      <c r="AC149" s="74">
        <f t="shared" si="226"/>
        <v>0</v>
      </c>
      <c r="AD149" s="492">
        <v>0</v>
      </c>
      <c r="AE149" s="492">
        <v>0</v>
      </c>
      <c r="AF149" s="492">
        <f t="shared" si="219"/>
        <v>0</v>
      </c>
      <c r="AG149" s="492">
        <f t="shared" si="220"/>
        <v>0</v>
      </c>
      <c r="AH149" s="493">
        <v>0</v>
      </c>
      <c r="AI149" s="493">
        <v>0</v>
      </c>
      <c r="AJ149" s="493">
        <v>0</v>
      </c>
      <c r="AK149" s="493">
        <v>0</v>
      </c>
      <c r="AL149" s="493">
        <v>0</v>
      </c>
      <c r="AM149" s="493">
        <v>0</v>
      </c>
      <c r="AN149" s="493">
        <v>0</v>
      </c>
      <c r="AO149" s="493">
        <f t="shared" si="227"/>
        <v>0</v>
      </c>
      <c r="AP149" s="493">
        <f t="shared" si="228"/>
        <v>0</v>
      </c>
      <c r="AQ149" s="495">
        <f t="shared" si="221"/>
        <v>0</v>
      </c>
      <c r="AR149" s="501">
        <f t="shared" si="229"/>
        <v>543883</v>
      </c>
      <c r="AS149" s="492">
        <f t="shared" si="230"/>
        <v>400503</v>
      </c>
      <c r="AT149" s="492">
        <f t="shared" si="231"/>
        <v>0</v>
      </c>
      <c r="AU149" s="492">
        <f t="shared" si="232"/>
        <v>135370</v>
      </c>
      <c r="AV149" s="492">
        <f t="shared" si="232"/>
        <v>8010</v>
      </c>
      <c r="AW149" s="492">
        <f t="shared" si="233"/>
        <v>0</v>
      </c>
      <c r="AX149" s="493">
        <f t="shared" si="234"/>
        <v>0.8417</v>
      </c>
      <c r="AY149" s="493">
        <f t="shared" si="235"/>
        <v>0.8417</v>
      </c>
      <c r="AZ149" s="495">
        <f t="shared" si="235"/>
        <v>0</v>
      </c>
    </row>
    <row r="150" spans="1:52" ht="12.95" customHeight="1" x14ac:dyDescent="0.25">
      <c r="A150" s="313">
        <v>27</v>
      </c>
      <c r="B150" s="354">
        <v>5428</v>
      </c>
      <c r="C150" s="355">
        <v>600099059</v>
      </c>
      <c r="D150" s="314">
        <v>70985740</v>
      </c>
      <c r="E150" s="356" t="s">
        <v>425</v>
      </c>
      <c r="F150" s="314">
        <v>3143</v>
      </c>
      <c r="G150" s="356" t="s">
        <v>630</v>
      </c>
      <c r="H150" s="317" t="s">
        <v>279</v>
      </c>
      <c r="I150" s="494">
        <v>10455</v>
      </c>
      <c r="J150" s="489">
        <v>985</v>
      </c>
      <c r="K150" s="489">
        <v>6500</v>
      </c>
      <c r="L150" s="489">
        <v>2530</v>
      </c>
      <c r="M150" s="489">
        <v>20</v>
      </c>
      <c r="N150" s="489">
        <v>420</v>
      </c>
      <c r="O150" s="490">
        <v>0.03</v>
      </c>
      <c r="P150" s="491">
        <v>0</v>
      </c>
      <c r="Q150" s="500">
        <v>0.03</v>
      </c>
      <c r="R150" s="502">
        <f t="shared" si="217"/>
        <v>0</v>
      </c>
      <c r="S150" s="492">
        <v>0</v>
      </c>
      <c r="T150" s="492">
        <v>0</v>
      </c>
      <c r="U150" s="492">
        <v>0</v>
      </c>
      <c r="V150" s="492">
        <f t="shared" si="218"/>
        <v>0</v>
      </c>
      <c r="W150" s="713">
        <v>0</v>
      </c>
      <c r="X150" s="492">
        <v>0</v>
      </c>
      <c r="Y150" s="492">
        <v>0</v>
      </c>
      <c r="Z150" s="492">
        <f t="shared" si="223"/>
        <v>0</v>
      </c>
      <c r="AA150" s="492">
        <f t="shared" si="224"/>
        <v>0</v>
      </c>
      <c r="AB150" s="74">
        <f t="shared" si="225"/>
        <v>0</v>
      </c>
      <c r="AC150" s="74">
        <f t="shared" si="226"/>
        <v>0</v>
      </c>
      <c r="AD150" s="492">
        <v>0</v>
      </c>
      <c r="AE150" s="492">
        <v>0</v>
      </c>
      <c r="AF150" s="492">
        <f t="shared" si="219"/>
        <v>0</v>
      </c>
      <c r="AG150" s="492">
        <f t="shared" si="220"/>
        <v>0</v>
      </c>
      <c r="AH150" s="493">
        <v>0</v>
      </c>
      <c r="AI150" s="493">
        <v>0</v>
      </c>
      <c r="AJ150" s="493">
        <v>0</v>
      </c>
      <c r="AK150" s="493">
        <v>0</v>
      </c>
      <c r="AL150" s="493">
        <v>0</v>
      </c>
      <c r="AM150" s="493">
        <v>0</v>
      </c>
      <c r="AN150" s="493">
        <v>0</v>
      </c>
      <c r="AO150" s="493">
        <f t="shared" si="227"/>
        <v>0</v>
      </c>
      <c r="AP150" s="493">
        <f t="shared" si="228"/>
        <v>0</v>
      </c>
      <c r="AQ150" s="495">
        <f t="shared" si="221"/>
        <v>0</v>
      </c>
      <c r="AR150" s="501">
        <f t="shared" si="229"/>
        <v>10455</v>
      </c>
      <c r="AS150" s="492">
        <f t="shared" si="230"/>
        <v>985</v>
      </c>
      <c r="AT150" s="492">
        <f t="shared" si="231"/>
        <v>6500</v>
      </c>
      <c r="AU150" s="492">
        <f t="shared" si="232"/>
        <v>2530</v>
      </c>
      <c r="AV150" s="492">
        <f t="shared" si="232"/>
        <v>20</v>
      </c>
      <c r="AW150" s="492">
        <f t="shared" si="233"/>
        <v>420</v>
      </c>
      <c r="AX150" s="493">
        <f t="shared" si="234"/>
        <v>0.03</v>
      </c>
      <c r="AY150" s="493">
        <f t="shared" si="235"/>
        <v>0</v>
      </c>
      <c r="AZ150" s="495">
        <f t="shared" si="235"/>
        <v>0.03</v>
      </c>
    </row>
    <row r="151" spans="1:52" ht="12.95" customHeight="1" x14ac:dyDescent="0.25">
      <c r="A151" s="357">
        <v>27</v>
      </c>
      <c r="B151" s="358">
        <v>5428</v>
      </c>
      <c r="C151" s="359">
        <v>600099059</v>
      </c>
      <c r="D151" s="358">
        <v>70985740</v>
      </c>
      <c r="E151" s="360" t="s">
        <v>426</v>
      </c>
      <c r="F151" s="324"/>
      <c r="G151" s="362"/>
      <c r="H151" s="325"/>
      <c r="I151" s="606">
        <v>4872363</v>
      </c>
      <c r="J151" s="602">
        <v>3479564</v>
      </c>
      <c r="K151" s="602">
        <v>81320</v>
      </c>
      <c r="L151" s="602">
        <v>1203579</v>
      </c>
      <c r="M151" s="602">
        <v>69592</v>
      </c>
      <c r="N151" s="602">
        <v>38308</v>
      </c>
      <c r="O151" s="603">
        <v>7.6378000000000004</v>
      </c>
      <c r="P151" s="603">
        <v>4.8125</v>
      </c>
      <c r="Q151" s="608">
        <v>2.8252999999999999</v>
      </c>
      <c r="R151" s="606">
        <f t="shared" ref="R151:AZ151" si="236">SUM(R145:R150)</f>
        <v>0</v>
      </c>
      <c r="S151" s="602">
        <f t="shared" si="236"/>
        <v>0</v>
      </c>
      <c r="T151" s="602">
        <f t="shared" si="236"/>
        <v>0</v>
      </c>
      <c r="U151" s="602">
        <f t="shared" si="236"/>
        <v>0</v>
      </c>
      <c r="V151" s="602">
        <f t="shared" si="236"/>
        <v>0</v>
      </c>
      <c r="W151" s="602">
        <f t="shared" si="236"/>
        <v>0</v>
      </c>
      <c r="X151" s="602">
        <f t="shared" si="236"/>
        <v>0</v>
      </c>
      <c r="Y151" s="602">
        <f t="shared" si="236"/>
        <v>0</v>
      </c>
      <c r="Z151" s="602">
        <f t="shared" si="236"/>
        <v>0</v>
      </c>
      <c r="AA151" s="602">
        <f t="shared" si="236"/>
        <v>0</v>
      </c>
      <c r="AB151" s="602">
        <f t="shared" si="236"/>
        <v>0</v>
      </c>
      <c r="AC151" s="602">
        <f t="shared" si="236"/>
        <v>0</v>
      </c>
      <c r="AD151" s="602">
        <f t="shared" si="236"/>
        <v>0</v>
      </c>
      <c r="AE151" s="602">
        <f t="shared" si="236"/>
        <v>0</v>
      </c>
      <c r="AF151" s="602">
        <f t="shared" si="236"/>
        <v>0</v>
      </c>
      <c r="AG151" s="602">
        <f t="shared" si="236"/>
        <v>0</v>
      </c>
      <c r="AH151" s="603">
        <f t="shared" si="236"/>
        <v>0</v>
      </c>
      <c r="AI151" s="603">
        <f t="shared" si="236"/>
        <v>0</v>
      </c>
      <c r="AJ151" s="603">
        <f t="shared" si="236"/>
        <v>0</v>
      </c>
      <c r="AK151" s="603">
        <f t="shared" si="236"/>
        <v>0</v>
      </c>
      <c r="AL151" s="603">
        <f t="shared" si="236"/>
        <v>0</v>
      </c>
      <c r="AM151" s="603">
        <f t="shared" si="236"/>
        <v>0</v>
      </c>
      <c r="AN151" s="603">
        <f t="shared" si="236"/>
        <v>0</v>
      </c>
      <c r="AO151" s="603">
        <f t="shared" si="236"/>
        <v>0</v>
      </c>
      <c r="AP151" s="603">
        <f t="shared" si="236"/>
        <v>0</v>
      </c>
      <c r="AQ151" s="361">
        <f t="shared" si="236"/>
        <v>0</v>
      </c>
      <c r="AR151" s="610">
        <f t="shared" si="236"/>
        <v>4872363</v>
      </c>
      <c r="AS151" s="602">
        <f t="shared" si="236"/>
        <v>3479564</v>
      </c>
      <c r="AT151" s="602">
        <f t="shared" si="236"/>
        <v>81320</v>
      </c>
      <c r="AU151" s="602">
        <f t="shared" si="236"/>
        <v>1203579</v>
      </c>
      <c r="AV151" s="602">
        <f t="shared" si="236"/>
        <v>69592</v>
      </c>
      <c r="AW151" s="602">
        <f t="shared" si="236"/>
        <v>38308</v>
      </c>
      <c r="AX151" s="603">
        <f t="shared" si="236"/>
        <v>7.6378000000000004</v>
      </c>
      <c r="AY151" s="603">
        <f t="shared" si="236"/>
        <v>4.8125</v>
      </c>
      <c r="AZ151" s="361">
        <f t="shared" si="236"/>
        <v>2.8252999999999999</v>
      </c>
    </row>
    <row r="152" spans="1:52" ht="12.95" customHeight="1" x14ac:dyDescent="0.25">
      <c r="A152" s="313">
        <v>28</v>
      </c>
      <c r="B152" s="354">
        <v>5472</v>
      </c>
      <c r="C152" s="355">
        <v>600098672</v>
      </c>
      <c r="D152" s="314">
        <v>72743565</v>
      </c>
      <c r="E152" s="356" t="s">
        <v>427</v>
      </c>
      <c r="F152" s="314">
        <v>3111</v>
      </c>
      <c r="G152" s="356" t="s">
        <v>326</v>
      </c>
      <c r="H152" s="317" t="s">
        <v>278</v>
      </c>
      <c r="I152" s="494">
        <v>3539298</v>
      </c>
      <c r="J152" s="489">
        <v>2588695</v>
      </c>
      <c r="K152" s="489">
        <v>0</v>
      </c>
      <c r="L152" s="489">
        <v>874979</v>
      </c>
      <c r="M152" s="489">
        <v>51774</v>
      </c>
      <c r="N152" s="489">
        <v>23850</v>
      </c>
      <c r="O152" s="490">
        <v>5.49</v>
      </c>
      <c r="P152" s="491">
        <v>4</v>
      </c>
      <c r="Q152" s="500">
        <v>1.49</v>
      </c>
      <c r="R152" s="502">
        <f t="shared" si="217"/>
        <v>0</v>
      </c>
      <c r="S152" s="492">
        <v>0</v>
      </c>
      <c r="T152" s="492">
        <v>0</v>
      </c>
      <c r="U152" s="492">
        <v>0</v>
      </c>
      <c r="V152" s="492">
        <f t="shared" si="218"/>
        <v>0</v>
      </c>
      <c r="W152" s="492">
        <v>0</v>
      </c>
      <c r="X152" s="492">
        <v>0</v>
      </c>
      <c r="Y152" s="492">
        <v>0</v>
      </c>
      <c r="Z152" s="492">
        <f>SUM(W152:Y152)</f>
        <v>0</v>
      </c>
      <c r="AA152" s="492">
        <f>V152+Z152</f>
        <v>0</v>
      </c>
      <c r="AB152" s="74">
        <f>ROUND((V152+W152+X152)*33.8%,0)</f>
        <v>0</v>
      </c>
      <c r="AC152" s="74">
        <f>ROUND(V152*2%,0)</f>
        <v>0</v>
      </c>
      <c r="AD152" s="492">
        <v>0</v>
      </c>
      <c r="AE152" s="492">
        <v>0</v>
      </c>
      <c r="AF152" s="492">
        <f t="shared" si="219"/>
        <v>0</v>
      </c>
      <c r="AG152" s="492">
        <f t="shared" si="220"/>
        <v>0</v>
      </c>
      <c r="AH152" s="493">
        <v>0</v>
      </c>
      <c r="AI152" s="493">
        <v>0</v>
      </c>
      <c r="AJ152" s="493">
        <v>0</v>
      </c>
      <c r="AK152" s="493">
        <v>0</v>
      </c>
      <c r="AL152" s="493">
        <v>0</v>
      </c>
      <c r="AM152" s="493">
        <v>0</v>
      </c>
      <c r="AN152" s="493">
        <v>0</v>
      </c>
      <c r="AO152" s="493">
        <f t="shared" ref="AO152:AO153" si="237">AH152+AJ152+AK152+AM152</f>
        <v>0</v>
      </c>
      <c r="AP152" s="493">
        <f t="shared" ref="AP152:AP153" si="238">AI152+AN152+AL152</f>
        <v>0</v>
      </c>
      <c r="AQ152" s="495">
        <f t="shared" si="221"/>
        <v>0</v>
      </c>
      <c r="AR152" s="501">
        <f>I152+AG152</f>
        <v>3539298</v>
      </c>
      <c r="AS152" s="492">
        <f>J152+V152</f>
        <v>2588695</v>
      </c>
      <c r="AT152" s="492">
        <f t="shared" ref="AT152:AT153" si="239">K152+Z152</f>
        <v>0</v>
      </c>
      <c r="AU152" s="492">
        <f>L152+AB152</f>
        <v>874979</v>
      </c>
      <c r="AV152" s="492">
        <f>M152+AC152</f>
        <v>51774</v>
      </c>
      <c r="AW152" s="492">
        <f>N152+AF152</f>
        <v>23850</v>
      </c>
      <c r="AX152" s="493">
        <f>O152+AQ152</f>
        <v>5.49</v>
      </c>
      <c r="AY152" s="493">
        <f>P152+AO152</f>
        <v>4</v>
      </c>
      <c r="AZ152" s="495">
        <f>Q152+AP152</f>
        <v>1.49</v>
      </c>
    </row>
    <row r="153" spans="1:52" ht="12.95" customHeight="1" x14ac:dyDescent="0.25">
      <c r="A153" s="313">
        <v>28</v>
      </c>
      <c r="B153" s="354">
        <v>5472</v>
      </c>
      <c r="C153" s="355">
        <v>600098672</v>
      </c>
      <c r="D153" s="314">
        <v>72743565</v>
      </c>
      <c r="E153" s="356" t="s">
        <v>427</v>
      </c>
      <c r="F153" s="314">
        <v>3141</v>
      </c>
      <c r="G153" s="356" t="s">
        <v>316</v>
      </c>
      <c r="H153" s="317" t="s">
        <v>279</v>
      </c>
      <c r="I153" s="494">
        <v>715571</v>
      </c>
      <c r="J153" s="489">
        <v>524667</v>
      </c>
      <c r="K153" s="489">
        <v>0</v>
      </c>
      <c r="L153" s="489">
        <v>177337</v>
      </c>
      <c r="M153" s="489">
        <v>10493</v>
      </c>
      <c r="N153" s="489">
        <v>3074</v>
      </c>
      <c r="O153" s="490">
        <v>1.65</v>
      </c>
      <c r="P153" s="491">
        <v>0</v>
      </c>
      <c r="Q153" s="500">
        <v>1.65</v>
      </c>
      <c r="R153" s="502">
        <f t="shared" si="217"/>
        <v>0</v>
      </c>
      <c r="S153" s="492">
        <v>0</v>
      </c>
      <c r="T153" s="492">
        <v>0</v>
      </c>
      <c r="U153" s="492">
        <v>0</v>
      </c>
      <c r="V153" s="492">
        <f t="shared" si="218"/>
        <v>0</v>
      </c>
      <c r="W153" s="492">
        <v>0</v>
      </c>
      <c r="X153" s="492">
        <v>0</v>
      </c>
      <c r="Y153" s="492">
        <v>0</v>
      </c>
      <c r="Z153" s="492">
        <f>SUM(W153:Y153)</f>
        <v>0</v>
      </c>
      <c r="AA153" s="492">
        <f>V153+Z153</f>
        <v>0</v>
      </c>
      <c r="AB153" s="74">
        <f>ROUND((V153+W153+X153)*33.8%,0)</f>
        <v>0</v>
      </c>
      <c r="AC153" s="74">
        <f>ROUND(V153*2%,0)</f>
        <v>0</v>
      </c>
      <c r="AD153" s="492">
        <v>0</v>
      </c>
      <c r="AE153" s="492">
        <v>0</v>
      </c>
      <c r="AF153" s="492">
        <f t="shared" si="219"/>
        <v>0</v>
      </c>
      <c r="AG153" s="492">
        <f t="shared" si="220"/>
        <v>0</v>
      </c>
      <c r="AH153" s="493">
        <v>0</v>
      </c>
      <c r="AI153" s="493">
        <v>0</v>
      </c>
      <c r="AJ153" s="493">
        <v>0</v>
      </c>
      <c r="AK153" s="493">
        <v>0</v>
      </c>
      <c r="AL153" s="493">
        <v>0</v>
      </c>
      <c r="AM153" s="493">
        <v>0</v>
      </c>
      <c r="AN153" s="493">
        <v>0</v>
      </c>
      <c r="AO153" s="493">
        <f t="shared" si="237"/>
        <v>0</v>
      </c>
      <c r="AP153" s="493">
        <f t="shared" si="238"/>
        <v>0</v>
      </c>
      <c r="AQ153" s="495">
        <f t="shared" si="221"/>
        <v>0</v>
      </c>
      <c r="AR153" s="501">
        <f>I153+AG153</f>
        <v>715571</v>
      </c>
      <c r="AS153" s="492">
        <f>J153+V153</f>
        <v>524667</v>
      </c>
      <c r="AT153" s="492">
        <f t="shared" si="239"/>
        <v>0</v>
      </c>
      <c r="AU153" s="492">
        <f>L153+AB153</f>
        <v>177337</v>
      </c>
      <c r="AV153" s="492">
        <f>M153+AC153</f>
        <v>10493</v>
      </c>
      <c r="AW153" s="492">
        <f>N153+AF153</f>
        <v>3074</v>
      </c>
      <c r="AX153" s="493">
        <f>O153+AQ153</f>
        <v>1.65</v>
      </c>
      <c r="AY153" s="493">
        <f>P153+AO153</f>
        <v>0</v>
      </c>
      <c r="AZ153" s="495">
        <f>Q153+AP153</f>
        <v>1.65</v>
      </c>
    </row>
    <row r="154" spans="1:52" ht="12.95" customHeight="1" x14ac:dyDescent="0.25">
      <c r="A154" s="357">
        <v>28</v>
      </c>
      <c r="B154" s="358">
        <v>5472</v>
      </c>
      <c r="C154" s="359">
        <v>600098672</v>
      </c>
      <c r="D154" s="358">
        <v>72743565</v>
      </c>
      <c r="E154" s="360" t="s">
        <v>428</v>
      </c>
      <c r="F154" s="324"/>
      <c r="G154" s="362"/>
      <c r="H154" s="325"/>
      <c r="I154" s="585">
        <v>4254869</v>
      </c>
      <c r="J154" s="582">
        <v>3113362</v>
      </c>
      <c r="K154" s="582">
        <v>0</v>
      </c>
      <c r="L154" s="582">
        <v>1052316</v>
      </c>
      <c r="M154" s="582">
        <v>62267</v>
      </c>
      <c r="N154" s="582">
        <v>26924</v>
      </c>
      <c r="O154" s="583">
        <v>7.1400000000000006</v>
      </c>
      <c r="P154" s="583">
        <v>4</v>
      </c>
      <c r="Q154" s="587">
        <v>3.1399999999999997</v>
      </c>
      <c r="R154" s="585">
        <f t="shared" ref="R154:AZ154" si="240">SUM(R152:R153)</f>
        <v>0</v>
      </c>
      <c r="S154" s="582">
        <f t="shared" si="240"/>
        <v>0</v>
      </c>
      <c r="T154" s="582">
        <f t="shared" si="240"/>
        <v>0</v>
      </c>
      <c r="U154" s="582">
        <f t="shared" si="240"/>
        <v>0</v>
      </c>
      <c r="V154" s="582">
        <f t="shared" si="240"/>
        <v>0</v>
      </c>
      <c r="W154" s="582">
        <f t="shared" si="240"/>
        <v>0</v>
      </c>
      <c r="X154" s="582">
        <f t="shared" si="240"/>
        <v>0</v>
      </c>
      <c r="Y154" s="582">
        <f t="shared" si="240"/>
        <v>0</v>
      </c>
      <c r="Z154" s="582">
        <f t="shared" si="240"/>
        <v>0</v>
      </c>
      <c r="AA154" s="582">
        <f t="shared" si="240"/>
        <v>0</v>
      </c>
      <c r="AB154" s="582">
        <f t="shared" si="240"/>
        <v>0</v>
      </c>
      <c r="AC154" s="582">
        <f t="shared" si="240"/>
        <v>0</v>
      </c>
      <c r="AD154" s="582">
        <f t="shared" si="240"/>
        <v>0</v>
      </c>
      <c r="AE154" s="582">
        <f t="shared" si="240"/>
        <v>0</v>
      </c>
      <c r="AF154" s="582">
        <f t="shared" si="240"/>
        <v>0</v>
      </c>
      <c r="AG154" s="582">
        <f t="shared" si="240"/>
        <v>0</v>
      </c>
      <c r="AH154" s="583">
        <f t="shared" si="240"/>
        <v>0</v>
      </c>
      <c r="AI154" s="583">
        <f t="shared" si="240"/>
        <v>0</v>
      </c>
      <c r="AJ154" s="583">
        <f t="shared" si="240"/>
        <v>0</v>
      </c>
      <c r="AK154" s="583">
        <f t="shared" si="240"/>
        <v>0</v>
      </c>
      <c r="AL154" s="583">
        <f t="shared" si="240"/>
        <v>0</v>
      </c>
      <c r="AM154" s="583">
        <f t="shared" si="240"/>
        <v>0</v>
      </c>
      <c r="AN154" s="583">
        <f t="shared" si="240"/>
        <v>0</v>
      </c>
      <c r="AO154" s="583">
        <f t="shared" si="240"/>
        <v>0</v>
      </c>
      <c r="AP154" s="583">
        <f t="shared" si="240"/>
        <v>0</v>
      </c>
      <c r="AQ154" s="323">
        <f t="shared" si="240"/>
        <v>0</v>
      </c>
      <c r="AR154" s="589">
        <f t="shared" si="240"/>
        <v>4254869</v>
      </c>
      <c r="AS154" s="582">
        <f t="shared" si="240"/>
        <v>3113362</v>
      </c>
      <c r="AT154" s="582">
        <f t="shared" si="240"/>
        <v>0</v>
      </c>
      <c r="AU154" s="582">
        <f t="shared" si="240"/>
        <v>1052316</v>
      </c>
      <c r="AV154" s="582">
        <f t="shared" si="240"/>
        <v>62267</v>
      </c>
      <c r="AW154" s="582">
        <f t="shared" si="240"/>
        <v>26924</v>
      </c>
      <c r="AX154" s="583">
        <f t="shared" si="240"/>
        <v>7.1400000000000006</v>
      </c>
      <c r="AY154" s="583">
        <f t="shared" si="240"/>
        <v>4</v>
      </c>
      <c r="AZ154" s="323">
        <f t="shared" si="240"/>
        <v>3.1399999999999997</v>
      </c>
    </row>
    <row r="155" spans="1:52" ht="12.95" customHeight="1" x14ac:dyDescent="0.25">
      <c r="A155" s="313">
        <v>29</v>
      </c>
      <c r="B155" s="354">
        <v>5471</v>
      </c>
      <c r="C155" s="355">
        <v>600099229</v>
      </c>
      <c r="D155" s="314">
        <v>72743646</v>
      </c>
      <c r="E155" s="356" t="s">
        <v>429</v>
      </c>
      <c r="F155" s="314">
        <v>3113</v>
      </c>
      <c r="G155" s="356" t="s">
        <v>330</v>
      </c>
      <c r="H155" s="317" t="s">
        <v>278</v>
      </c>
      <c r="I155" s="494">
        <v>13682387</v>
      </c>
      <c r="J155" s="489">
        <v>9843482</v>
      </c>
      <c r="K155" s="489">
        <v>30260</v>
      </c>
      <c r="L155" s="489">
        <v>3337325</v>
      </c>
      <c r="M155" s="489">
        <v>196870</v>
      </c>
      <c r="N155" s="489">
        <v>274450</v>
      </c>
      <c r="O155" s="490">
        <v>18.012699999999999</v>
      </c>
      <c r="P155" s="491">
        <v>13.4582</v>
      </c>
      <c r="Q155" s="500">
        <v>4.5545</v>
      </c>
      <c r="R155" s="502">
        <f t="shared" si="217"/>
        <v>0</v>
      </c>
      <c r="S155" s="492">
        <v>0</v>
      </c>
      <c r="T155" s="492">
        <v>0</v>
      </c>
      <c r="U155" s="492">
        <v>0</v>
      </c>
      <c r="V155" s="492">
        <f t="shared" si="218"/>
        <v>0</v>
      </c>
      <c r="W155" s="713">
        <v>0</v>
      </c>
      <c r="X155" s="492">
        <v>0</v>
      </c>
      <c r="Y155" s="492">
        <v>0</v>
      </c>
      <c r="Z155" s="492">
        <f>SUM(W155:Y155)</f>
        <v>0</v>
      </c>
      <c r="AA155" s="492">
        <f>V155+Z155</f>
        <v>0</v>
      </c>
      <c r="AB155" s="74">
        <f>ROUND((V155+W155+X155)*33.8%,0)</f>
        <v>0</v>
      </c>
      <c r="AC155" s="74">
        <f>ROUND(V155*2%,0)</f>
        <v>0</v>
      </c>
      <c r="AD155" s="492">
        <v>0</v>
      </c>
      <c r="AE155" s="492">
        <v>0</v>
      </c>
      <c r="AF155" s="492">
        <f t="shared" si="219"/>
        <v>0</v>
      </c>
      <c r="AG155" s="492">
        <f t="shared" si="220"/>
        <v>0</v>
      </c>
      <c r="AH155" s="493">
        <v>0</v>
      </c>
      <c r="AI155" s="493">
        <v>0</v>
      </c>
      <c r="AJ155" s="493">
        <v>0</v>
      </c>
      <c r="AK155" s="493">
        <v>0</v>
      </c>
      <c r="AL155" s="493">
        <v>0</v>
      </c>
      <c r="AM155" s="493">
        <v>0</v>
      </c>
      <c r="AN155" s="493">
        <v>0</v>
      </c>
      <c r="AO155" s="493">
        <f t="shared" ref="AO155:AO159" si="241">AH155+AJ155+AK155+AM155</f>
        <v>0</v>
      </c>
      <c r="AP155" s="493">
        <f t="shared" ref="AP155:AP159" si="242">AI155+AN155+AL155</f>
        <v>0</v>
      </c>
      <c r="AQ155" s="495">
        <f t="shared" si="221"/>
        <v>0</v>
      </c>
      <c r="AR155" s="501">
        <f>I155+AG155</f>
        <v>13682387</v>
      </c>
      <c r="AS155" s="492">
        <f>J155+V155</f>
        <v>9843482</v>
      </c>
      <c r="AT155" s="492">
        <f t="shared" ref="AT155:AT159" si="243">K155+Z155</f>
        <v>30260</v>
      </c>
      <c r="AU155" s="492">
        <f t="shared" ref="AU155:AV159" si="244">L155+AB155</f>
        <v>3337325</v>
      </c>
      <c r="AV155" s="492">
        <f t="shared" si="244"/>
        <v>196870</v>
      </c>
      <c r="AW155" s="492">
        <f>N155+AF155</f>
        <v>274450</v>
      </c>
      <c r="AX155" s="493">
        <f>O155+AQ155</f>
        <v>18.012699999999999</v>
      </c>
      <c r="AY155" s="493">
        <f t="shared" ref="AY155:AZ159" si="245">P155+AO155</f>
        <v>13.4582</v>
      </c>
      <c r="AZ155" s="495">
        <f t="shared" si="245"/>
        <v>4.5545</v>
      </c>
    </row>
    <row r="156" spans="1:52" ht="12.95" customHeight="1" x14ac:dyDescent="0.25">
      <c r="A156" s="313">
        <v>29</v>
      </c>
      <c r="B156" s="354">
        <v>5471</v>
      </c>
      <c r="C156" s="355">
        <v>600099229</v>
      </c>
      <c r="D156" s="314">
        <v>72743646</v>
      </c>
      <c r="E156" s="356" t="s">
        <v>429</v>
      </c>
      <c r="F156" s="314">
        <v>3113</v>
      </c>
      <c r="G156" s="356" t="s">
        <v>320</v>
      </c>
      <c r="H156" s="317" t="s">
        <v>279</v>
      </c>
      <c r="I156" s="494">
        <v>533308</v>
      </c>
      <c r="J156" s="489">
        <v>392716</v>
      </c>
      <c r="K156" s="489">
        <v>0</v>
      </c>
      <c r="L156" s="489">
        <v>132738</v>
      </c>
      <c r="M156" s="489">
        <v>7854</v>
      </c>
      <c r="N156" s="489">
        <v>0</v>
      </c>
      <c r="O156" s="490">
        <v>1.1000000000000001</v>
      </c>
      <c r="P156" s="491">
        <v>1.1000000000000001</v>
      </c>
      <c r="Q156" s="500">
        <v>0</v>
      </c>
      <c r="R156" s="502">
        <f t="shared" si="217"/>
        <v>0</v>
      </c>
      <c r="S156" s="492">
        <v>0</v>
      </c>
      <c r="T156" s="492">
        <v>0</v>
      </c>
      <c r="U156" s="492">
        <v>0</v>
      </c>
      <c r="V156" s="492">
        <f t="shared" si="218"/>
        <v>0</v>
      </c>
      <c r="W156" s="713">
        <v>0</v>
      </c>
      <c r="X156" s="492">
        <v>0</v>
      </c>
      <c r="Y156" s="492">
        <v>0</v>
      </c>
      <c r="Z156" s="492">
        <f>SUM(W156:Y156)</f>
        <v>0</v>
      </c>
      <c r="AA156" s="492">
        <f>V156+Z156</f>
        <v>0</v>
      </c>
      <c r="AB156" s="74">
        <f>ROUND((V156+W156+X156)*33.8%,0)</f>
        <v>0</v>
      </c>
      <c r="AC156" s="74">
        <f>ROUND(V156*2%,0)</f>
        <v>0</v>
      </c>
      <c r="AD156" s="492">
        <v>0</v>
      </c>
      <c r="AE156" s="492">
        <v>0</v>
      </c>
      <c r="AF156" s="492">
        <f t="shared" si="219"/>
        <v>0</v>
      </c>
      <c r="AG156" s="492">
        <f t="shared" si="220"/>
        <v>0</v>
      </c>
      <c r="AH156" s="493">
        <v>0</v>
      </c>
      <c r="AI156" s="493">
        <v>0</v>
      </c>
      <c r="AJ156" s="493">
        <v>0</v>
      </c>
      <c r="AK156" s="493">
        <v>0</v>
      </c>
      <c r="AL156" s="493">
        <v>0</v>
      </c>
      <c r="AM156" s="493">
        <v>0</v>
      </c>
      <c r="AN156" s="493">
        <v>0</v>
      </c>
      <c r="AO156" s="493">
        <f t="shared" si="241"/>
        <v>0</v>
      </c>
      <c r="AP156" s="493">
        <f t="shared" si="242"/>
        <v>0</v>
      </c>
      <c r="AQ156" s="495">
        <f t="shared" si="221"/>
        <v>0</v>
      </c>
      <c r="AR156" s="501">
        <f>I156+AG156</f>
        <v>533308</v>
      </c>
      <c r="AS156" s="492">
        <f>J156+V156</f>
        <v>392716</v>
      </c>
      <c r="AT156" s="492">
        <f t="shared" si="243"/>
        <v>0</v>
      </c>
      <c r="AU156" s="492">
        <f t="shared" si="244"/>
        <v>132738</v>
      </c>
      <c r="AV156" s="492">
        <f t="shared" si="244"/>
        <v>7854</v>
      </c>
      <c r="AW156" s="492">
        <f>N156+AF156</f>
        <v>0</v>
      </c>
      <c r="AX156" s="493">
        <f>O156+AQ156</f>
        <v>1.1000000000000001</v>
      </c>
      <c r="AY156" s="493">
        <f t="shared" si="245"/>
        <v>1.1000000000000001</v>
      </c>
      <c r="AZ156" s="495">
        <f t="shared" si="245"/>
        <v>0</v>
      </c>
    </row>
    <row r="157" spans="1:52" ht="12.95" customHeight="1" x14ac:dyDescent="0.25">
      <c r="A157" s="313">
        <v>29</v>
      </c>
      <c r="B157" s="354">
        <v>5471</v>
      </c>
      <c r="C157" s="355">
        <v>600099229</v>
      </c>
      <c r="D157" s="314">
        <v>72743646</v>
      </c>
      <c r="E157" s="356" t="s">
        <v>429</v>
      </c>
      <c r="F157" s="314">
        <v>3141</v>
      </c>
      <c r="G157" s="356" t="s">
        <v>316</v>
      </c>
      <c r="H157" s="317" t="s">
        <v>279</v>
      </c>
      <c r="I157" s="494">
        <v>1344712</v>
      </c>
      <c r="J157" s="489">
        <v>966858</v>
      </c>
      <c r="K157" s="489">
        <v>16250</v>
      </c>
      <c r="L157" s="489">
        <v>332291</v>
      </c>
      <c r="M157" s="489">
        <v>19337</v>
      </c>
      <c r="N157" s="489">
        <v>9976</v>
      </c>
      <c r="O157" s="490">
        <v>3.1</v>
      </c>
      <c r="P157" s="491">
        <v>0</v>
      </c>
      <c r="Q157" s="500">
        <v>3.1</v>
      </c>
      <c r="R157" s="502">
        <f t="shared" si="217"/>
        <v>0</v>
      </c>
      <c r="S157" s="492">
        <v>0</v>
      </c>
      <c r="T157" s="492">
        <v>0</v>
      </c>
      <c r="U157" s="492">
        <v>0</v>
      </c>
      <c r="V157" s="492">
        <f t="shared" si="218"/>
        <v>0</v>
      </c>
      <c r="W157" s="713">
        <v>0</v>
      </c>
      <c r="X157" s="492">
        <v>0</v>
      </c>
      <c r="Y157" s="492">
        <v>0</v>
      </c>
      <c r="Z157" s="492">
        <f>SUM(W157:Y157)</f>
        <v>0</v>
      </c>
      <c r="AA157" s="492">
        <f>V157+Z157</f>
        <v>0</v>
      </c>
      <c r="AB157" s="74">
        <f>ROUND((V157+W157+X157)*33.8%,0)</f>
        <v>0</v>
      </c>
      <c r="AC157" s="74">
        <f>ROUND(V157*2%,0)</f>
        <v>0</v>
      </c>
      <c r="AD157" s="492">
        <v>0</v>
      </c>
      <c r="AE157" s="492">
        <v>0</v>
      </c>
      <c r="AF157" s="492">
        <f t="shared" si="219"/>
        <v>0</v>
      </c>
      <c r="AG157" s="492">
        <f t="shared" si="220"/>
        <v>0</v>
      </c>
      <c r="AH157" s="493">
        <v>0</v>
      </c>
      <c r="AI157" s="493">
        <v>0</v>
      </c>
      <c r="AJ157" s="493">
        <v>0</v>
      </c>
      <c r="AK157" s="493">
        <v>0</v>
      </c>
      <c r="AL157" s="493">
        <v>0</v>
      </c>
      <c r="AM157" s="493">
        <v>0</v>
      </c>
      <c r="AN157" s="493">
        <v>0</v>
      </c>
      <c r="AO157" s="493">
        <f t="shared" si="241"/>
        <v>0</v>
      </c>
      <c r="AP157" s="493">
        <f t="shared" si="242"/>
        <v>0</v>
      </c>
      <c r="AQ157" s="495">
        <f t="shared" si="221"/>
        <v>0</v>
      </c>
      <c r="AR157" s="501">
        <f>I157+AG157</f>
        <v>1344712</v>
      </c>
      <c r="AS157" s="492">
        <f>J157+V157</f>
        <v>966858</v>
      </c>
      <c r="AT157" s="492">
        <f t="shared" si="243"/>
        <v>16250</v>
      </c>
      <c r="AU157" s="492">
        <f t="shared" si="244"/>
        <v>332291</v>
      </c>
      <c r="AV157" s="492">
        <f t="shared" si="244"/>
        <v>19337</v>
      </c>
      <c r="AW157" s="492">
        <f>N157+AF157</f>
        <v>9976</v>
      </c>
      <c r="AX157" s="493">
        <f>O157+AQ157</f>
        <v>3.1</v>
      </c>
      <c r="AY157" s="493">
        <f t="shared" si="245"/>
        <v>0</v>
      </c>
      <c r="AZ157" s="495">
        <f t="shared" si="245"/>
        <v>3.1</v>
      </c>
    </row>
    <row r="158" spans="1:52" ht="12.95" customHeight="1" x14ac:dyDescent="0.25">
      <c r="A158" s="313">
        <v>29</v>
      </c>
      <c r="B158" s="354">
        <v>5471</v>
      </c>
      <c r="C158" s="355">
        <v>600099229</v>
      </c>
      <c r="D158" s="314">
        <v>72743646</v>
      </c>
      <c r="E158" s="356" t="s">
        <v>429</v>
      </c>
      <c r="F158" s="314">
        <v>3143</v>
      </c>
      <c r="G158" s="356" t="s">
        <v>629</v>
      </c>
      <c r="H158" s="317" t="s">
        <v>278</v>
      </c>
      <c r="I158" s="494">
        <v>690163</v>
      </c>
      <c r="J158" s="489">
        <v>441616</v>
      </c>
      <c r="K158" s="489">
        <v>67600</v>
      </c>
      <c r="L158" s="489">
        <v>172115</v>
      </c>
      <c r="M158" s="489">
        <v>8832</v>
      </c>
      <c r="N158" s="489">
        <v>0</v>
      </c>
      <c r="O158" s="490">
        <v>0.875</v>
      </c>
      <c r="P158" s="491">
        <v>0.875</v>
      </c>
      <c r="Q158" s="500">
        <v>0</v>
      </c>
      <c r="R158" s="502">
        <f t="shared" si="217"/>
        <v>0</v>
      </c>
      <c r="S158" s="492">
        <v>0</v>
      </c>
      <c r="T158" s="492">
        <v>0</v>
      </c>
      <c r="U158" s="492">
        <v>0</v>
      </c>
      <c r="V158" s="492">
        <f t="shared" si="218"/>
        <v>0</v>
      </c>
      <c r="W158" s="713">
        <v>0</v>
      </c>
      <c r="X158" s="492">
        <v>0</v>
      </c>
      <c r="Y158" s="492">
        <v>0</v>
      </c>
      <c r="Z158" s="492">
        <f>SUM(W158:Y158)</f>
        <v>0</v>
      </c>
      <c r="AA158" s="492">
        <f>V158+Z158</f>
        <v>0</v>
      </c>
      <c r="AB158" s="74">
        <f>ROUND((V158+W158+X158)*33.8%,0)</f>
        <v>0</v>
      </c>
      <c r="AC158" s="74">
        <f>ROUND(V158*2%,0)</f>
        <v>0</v>
      </c>
      <c r="AD158" s="492">
        <v>0</v>
      </c>
      <c r="AE158" s="492">
        <v>0</v>
      </c>
      <c r="AF158" s="492">
        <f t="shared" si="219"/>
        <v>0</v>
      </c>
      <c r="AG158" s="492">
        <f t="shared" si="220"/>
        <v>0</v>
      </c>
      <c r="AH158" s="493">
        <v>0</v>
      </c>
      <c r="AI158" s="493">
        <v>0</v>
      </c>
      <c r="AJ158" s="493">
        <v>0</v>
      </c>
      <c r="AK158" s="493">
        <v>0</v>
      </c>
      <c r="AL158" s="493">
        <v>0</v>
      </c>
      <c r="AM158" s="493">
        <v>0</v>
      </c>
      <c r="AN158" s="493">
        <v>0</v>
      </c>
      <c r="AO158" s="493">
        <f t="shared" si="241"/>
        <v>0</v>
      </c>
      <c r="AP158" s="493">
        <f t="shared" si="242"/>
        <v>0</v>
      </c>
      <c r="AQ158" s="495">
        <f t="shared" si="221"/>
        <v>0</v>
      </c>
      <c r="AR158" s="501">
        <f>I158+AG158</f>
        <v>690163</v>
      </c>
      <c r="AS158" s="492">
        <f>J158+V158</f>
        <v>441616</v>
      </c>
      <c r="AT158" s="492">
        <f t="shared" si="243"/>
        <v>67600</v>
      </c>
      <c r="AU158" s="492">
        <f t="shared" si="244"/>
        <v>172115</v>
      </c>
      <c r="AV158" s="492">
        <f t="shared" si="244"/>
        <v>8832</v>
      </c>
      <c r="AW158" s="492">
        <f>N158+AF158</f>
        <v>0</v>
      </c>
      <c r="AX158" s="493">
        <f>O158+AQ158</f>
        <v>0.875</v>
      </c>
      <c r="AY158" s="493">
        <f t="shared" si="245"/>
        <v>0.875</v>
      </c>
      <c r="AZ158" s="495">
        <f t="shared" si="245"/>
        <v>0</v>
      </c>
    </row>
    <row r="159" spans="1:52" ht="12.95" customHeight="1" x14ac:dyDescent="0.25">
      <c r="A159" s="313">
        <v>29</v>
      </c>
      <c r="B159" s="354">
        <v>5471</v>
      </c>
      <c r="C159" s="355">
        <v>600099229</v>
      </c>
      <c r="D159" s="314">
        <v>72743646</v>
      </c>
      <c r="E159" s="356" t="s">
        <v>429</v>
      </c>
      <c r="F159" s="314">
        <v>3143</v>
      </c>
      <c r="G159" s="356" t="s">
        <v>630</v>
      </c>
      <c r="H159" s="317" t="s">
        <v>279</v>
      </c>
      <c r="I159" s="494">
        <v>34019</v>
      </c>
      <c r="J159" s="489">
        <v>24057</v>
      </c>
      <c r="K159" s="489">
        <v>0</v>
      </c>
      <c r="L159" s="489">
        <v>8131</v>
      </c>
      <c r="M159" s="489">
        <v>481</v>
      </c>
      <c r="N159" s="489">
        <v>1350</v>
      </c>
      <c r="O159" s="490">
        <v>0.09</v>
      </c>
      <c r="P159" s="491">
        <v>0</v>
      </c>
      <c r="Q159" s="500">
        <v>0.09</v>
      </c>
      <c r="R159" s="502">
        <f t="shared" si="217"/>
        <v>0</v>
      </c>
      <c r="S159" s="492">
        <v>0</v>
      </c>
      <c r="T159" s="492">
        <v>0</v>
      </c>
      <c r="U159" s="492">
        <v>0</v>
      </c>
      <c r="V159" s="492">
        <f t="shared" si="218"/>
        <v>0</v>
      </c>
      <c r="W159" s="713">
        <v>0</v>
      </c>
      <c r="X159" s="492">
        <v>0</v>
      </c>
      <c r="Y159" s="492">
        <v>0</v>
      </c>
      <c r="Z159" s="492">
        <f>SUM(W159:Y159)</f>
        <v>0</v>
      </c>
      <c r="AA159" s="492">
        <f>V159+Z159</f>
        <v>0</v>
      </c>
      <c r="AB159" s="74">
        <f>ROUND((V159+W159+X159)*33.8%,0)</f>
        <v>0</v>
      </c>
      <c r="AC159" s="74">
        <f>ROUND(V159*2%,0)</f>
        <v>0</v>
      </c>
      <c r="AD159" s="492">
        <v>0</v>
      </c>
      <c r="AE159" s="492">
        <v>0</v>
      </c>
      <c r="AF159" s="492">
        <f t="shared" si="219"/>
        <v>0</v>
      </c>
      <c r="AG159" s="492">
        <f t="shared" si="220"/>
        <v>0</v>
      </c>
      <c r="AH159" s="493">
        <v>0</v>
      </c>
      <c r="AI159" s="493">
        <v>0</v>
      </c>
      <c r="AJ159" s="493">
        <v>0</v>
      </c>
      <c r="AK159" s="493">
        <v>0</v>
      </c>
      <c r="AL159" s="493">
        <v>0</v>
      </c>
      <c r="AM159" s="493">
        <v>0</v>
      </c>
      <c r="AN159" s="493">
        <v>0</v>
      </c>
      <c r="AO159" s="493">
        <f t="shared" si="241"/>
        <v>0</v>
      </c>
      <c r="AP159" s="493">
        <f t="shared" si="242"/>
        <v>0</v>
      </c>
      <c r="AQ159" s="495">
        <f t="shared" si="221"/>
        <v>0</v>
      </c>
      <c r="AR159" s="501">
        <f>I159+AG159</f>
        <v>34019</v>
      </c>
      <c r="AS159" s="492">
        <f>J159+V159</f>
        <v>24057</v>
      </c>
      <c r="AT159" s="492">
        <f t="shared" si="243"/>
        <v>0</v>
      </c>
      <c r="AU159" s="492">
        <f t="shared" si="244"/>
        <v>8131</v>
      </c>
      <c r="AV159" s="492">
        <f t="shared" si="244"/>
        <v>481</v>
      </c>
      <c r="AW159" s="492">
        <f>N159+AF159</f>
        <v>1350</v>
      </c>
      <c r="AX159" s="493">
        <f>O159+AQ159</f>
        <v>0.09</v>
      </c>
      <c r="AY159" s="493">
        <f t="shared" si="245"/>
        <v>0</v>
      </c>
      <c r="AZ159" s="495">
        <f t="shared" si="245"/>
        <v>0.09</v>
      </c>
    </row>
    <row r="160" spans="1:52" ht="12.95" customHeight="1" x14ac:dyDescent="0.25">
      <c r="A160" s="357">
        <v>29</v>
      </c>
      <c r="B160" s="358">
        <v>5471</v>
      </c>
      <c r="C160" s="359">
        <v>600099229</v>
      </c>
      <c r="D160" s="358">
        <v>72743646</v>
      </c>
      <c r="E160" s="360" t="s">
        <v>430</v>
      </c>
      <c r="F160" s="324"/>
      <c r="G160" s="362"/>
      <c r="H160" s="325"/>
      <c r="I160" s="585">
        <v>16284589</v>
      </c>
      <c r="J160" s="582">
        <v>11668729</v>
      </c>
      <c r="K160" s="582">
        <v>114110</v>
      </c>
      <c r="L160" s="582">
        <v>3982600</v>
      </c>
      <c r="M160" s="582">
        <v>233374</v>
      </c>
      <c r="N160" s="582">
        <v>285776</v>
      </c>
      <c r="O160" s="583">
        <v>23.177700000000002</v>
      </c>
      <c r="P160" s="583">
        <v>15.433199999999999</v>
      </c>
      <c r="Q160" s="587">
        <v>7.7445000000000004</v>
      </c>
      <c r="R160" s="585">
        <f t="shared" ref="R160:AZ160" si="246">SUM(R155:R159)</f>
        <v>0</v>
      </c>
      <c r="S160" s="582">
        <f t="shared" si="246"/>
        <v>0</v>
      </c>
      <c r="T160" s="582">
        <f t="shared" si="246"/>
        <v>0</v>
      </c>
      <c r="U160" s="582">
        <f t="shared" si="246"/>
        <v>0</v>
      </c>
      <c r="V160" s="582">
        <f t="shared" si="246"/>
        <v>0</v>
      </c>
      <c r="W160" s="582">
        <f t="shared" si="246"/>
        <v>0</v>
      </c>
      <c r="X160" s="582">
        <f t="shared" si="246"/>
        <v>0</v>
      </c>
      <c r="Y160" s="582">
        <f t="shared" si="246"/>
        <v>0</v>
      </c>
      <c r="Z160" s="582">
        <f t="shared" si="246"/>
        <v>0</v>
      </c>
      <c r="AA160" s="582">
        <f t="shared" si="246"/>
        <v>0</v>
      </c>
      <c r="AB160" s="582">
        <f t="shared" si="246"/>
        <v>0</v>
      </c>
      <c r="AC160" s="582">
        <f t="shared" si="246"/>
        <v>0</v>
      </c>
      <c r="AD160" s="582">
        <f t="shared" si="246"/>
        <v>0</v>
      </c>
      <c r="AE160" s="582">
        <f t="shared" si="246"/>
        <v>0</v>
      </c>
      <c r="AF160" s="582">
        <f t="shared" si="246"/>
        <v>0</v>
      </c>
      <c r="AG160" s="582">
        <f t="shared" si="246"/>
        <v>0</v>
      </c>
      <c r="AH160" s="583">
        <f t="shared" si="246"/>
        <v>0</v>
      </c>
      <c r="AI160" s="583">
        <f t="shared" si="246"/>
        <v>0</v>
      </c>
      <c r="AJ160" s="583">
        <f t="shared" si="246"/>
        <v>0</v>
      </c>
      <c r="AK160" s="583">
        <f t="shared" si="246"/>
        <v>0</v>
      </c>
      <c r="AL160" s="583">
        <f t="shared" si="246"/>
        <v>0</v>
      </c>
      <c r="AM160" s="583">
        <f t="shared" si="246"/>
        <v>0</v>
      </c>
      <c r="AN160" s="583">
        <f t="shared" si="246"/>
        <v>0</v>
      </c>
      <c r="AO160" s="583">
        <f t="shared" si="246"/>
        <v>0</v>
      </c>
      <c r="AP160" s="583">
        <f t="shared" si="246"/>
        <v>0</v>
      </c>
      <c r="AQ160" s="323">
        <f t="shared" si="246"/>
        <v>0</v>
      </c>
      <c r="AR160" s="589">
        <f t="shared" si="246"/>
        <v>16284589</v>
      </c>
      <c r="AS160" s="582">
        <f t="shared" si="246"/>
        <v>11668729</v>
      </c>
      <c r="AT160" s="582">
        <f t="shared" si="246"/>
        <v>114110</v>
      </c>
      <c r="AU160" s="582">
        <f t="shared" si="246"/>
        <v>3982600</v>
      </c>
      <c r="AV160" s="582">
        <f t="shared" si="246"/>
        <v>233374</v>
      </c>
      <c r="AW160" s="582">
        <f t="shared" si="246"/>
        <v>285776</v>
      </c>
      <c r="AX160" s="583">
        <f t="shared" si="246"/>
        <v>23.177700000000002</v>
      </c>
      <c r="AY160" s="583">
        <f t="shared" si="246"/>
        <v>15.433199999999999</v>
      </c>
      <c r="AZ160" s="323">
        <f t="shared" si="246"/>
        <v>7.7445000000000004</v>
      </c>
    </row>
    <row r="161" spans="1:52" ht="12.95" customHeight="1" x14ac:dyDescent="0.25">
      <c r="A161" s="313">
        <v>30</v>
      </c>
      <c r="B161" s="354">
        <v>5473</v>
      </c>
      <c r="C161" s="355">
        <v>600098583</v>
      </c>
      <c r="D161" s="314">
        <v>75016320</v>
      </c>
      <c r="E161" s="356" t="s">
        <v>431</v>
      </c>
      <c r="F161" s="314">
        <v>3111</v>
      </c>
      <c r="G161" s="356" t="s">
        <v>326</v>
      </c>
      <c r="H161" s="317" t="s">
        <v>278</v>
      </c>
      <c r="I161" s="494">
        <v>2178570</v>
      </c>
      <c r="J161" s="489">
        <v>1594971</v>
      </c>
      <c r="K161" s="489">
        <v>0</v>
      </c>
      <c r="L161" s="489">
        <v>539100</v>
      </c>
      <c r="M161" s="489">
        <v>31899</v>
      </c>
      <c r="N161" s="489">
        <v>12600</v>
      </c>
      <c r="O161" s="490">
        <v>3.1848000000000001</v>
      </c>
      <c r="P161" s="491">
        <v>2.3548</v>
      </c>
      <c r="Q161" s="500">
        <v>0.83</v>
      </c>
      <c r="R161" s="502">
        <f t="shared" si="217"/>
        <v>0</v>
      </c>
      <c r="S161" s="492">
        <v>0</v>
      </c>
      <c r="T161" s="492">
        <v>0</v>
      </c>
      <c r="U161" s="492">
        <v>0</v>
      </c>
      <c r="V161" s="492">
        <f t="shared" si="218"/>
        <v>0</v>
      </c>
      <c r="W161" s="492">
        <v>0</v>
      </c>
      <c r="X161" s="492">
        <v>0</v>
      </c>
      <c r="Y161" s="492">
        <v>0</v>
      </c>
      <c r="Z161" s="492">
        <f>SUM(W161:Y161)</f>
        <v>0</v>
      </c>
      <c r="AA161" s="492">
        <f>V161+Z161</f>
        <v>0</v>
      </c>
      <c r="AB161" s="74">
        <f>ROUND((V161+W161+X161)*33.8%,0)</f>
        <v>0</v>
      </c>
      <c r="AC161" s="74">
        <f>ROUND(V161*2%,0)</f>
        <v>0</v>
      </c>
      <c r="AD161" s="492">
        <v>0</v>
      </c>
      <c r="AE161" s="492">
        <v>0</v>
      </c>
      <c r="AF161" s="492">
        <f t="shared" si="219"/>
        <v>0</v>
      </c>
      <c r="AG161" s="492">
        <f t="shared" si="220"/>
        <v>0</v>
      </c>
      <c r="AH161" s="493">
        <v>0</v>
      </c>
      <c r="AI161" s="493">
        <v>0</v>
      </c>
      <c r="AJ161" s="493">
        <v>0</v>
      </c>
      <c r="AK161" s="493">
        <v>0</v>
      </c>
      <c r="AL161" s="493">
        <v>0</v>
      </c>
      <c r="AM161" s="493">
        <v>0</v>
      </c>
      <c r="AN161" s="493">
        <v>0</v>
      </c>
      <c r="AO161" s="493">
        <f t="shared" ref="AO161:AO163" si="247">AH161+AJ161+AK161+AM161</f>
        <v>0</v>
      </c>
      <c r="AP161" s="493">
        <f t="shared" ref="AP161:AP163" si="248">AI161+AN161+AL161</f>
        <v>0</v>
      </c>
      <c r="AQ161" s="495">
        <f t="shared" si="221"/>
        <v>0</v>
      </c>
      <c r="AR161" s="501">
        <f>I161+AG161</f>
        <v>2178570</v>
      </c>
      <c r="AS161" s="492">
        <f>J161+V161</f>
        <v>1594971</v>
      </c>
      <c r="AT161" s="492">
        <f t="shared" ref="AT161:AT163" si="249">K161+Z161</f>
        <v>0</v>
      </c>
      <c r="AU161" s="492">
        <f t="shared" ref="AU161:AV163" si="250">L161+AB161</f>
        <v>539100</v>
      </c>
      <c r="AV161" s="492">
        <f t="shared" si="250"/>
        <v>31899</v>
      </c>
      <c r="AW161" s="492">
        <f>N161+AF161</f>
        <v>12600</v>
      </c>
      <c r="AX161" s="493">
        <f>O161+AQ161</f>
        <v>3.1848000000000001</v>
      </c>
      <c r="AY161" s="493">
        <f t="shared" ref="AY161:AZ163" si="251">P161+AO161</f>
        <v>2.3548</v>
      </c>
      <c r="AZ161" s="495">
        <f t="shared" si="251"/>
        <v>0.83</v>
      </c>
    </row>
    <row r="162" spans="1:52" ht="12.95" customHeight="1" x14ac:dyDescent="0.25">
      <c r="A162" s="313">
        <v>30</v>
      </c>
      <c r="B162" s="354">
        <v>5473</v>
      </c>
      <c r="C162" s="355">
        <v>600098583</v>
      </c>
      <c r="D162" s="314">
        <v>75016320</v>
      </c>
      <c r="E162" s="356" t="s">
        <v>431</v>
      </c>
      <c r="F162" s="314">
        <v>3111</v>
      </c>
      <c r="G162" s="356" t="s">
        <v>320</v>
      </c>
      <c r="H162" s="317" t="s">
        <v>279</v>
      </c>
      <c r="I162" s="494">
        <v>0</v>
      </c>
      <c r="J162" s="489">
        <v>0</v>
      </c>
      <c r="K162" s="489">
        <v>0</v>
      </c>
      <c r="L162" s="489">
        <v>0</v>
      </c>
      <c r="M162" s="489">
        <v>0</v>
      </c>
      <c r="N162" s="489">
        <v>0</v>
      </c>
      <c r="O162" s="490">
        <v>0</v>
      </c>
      <c r="P162" s="491">
        <v>0</v>
      </c>
      <c r="Q162" s="500">
        <v>0</v>
      </c>
      <c r="R162" s="502">
        <f t="shared" si="217"/>
        <v>0</v>
      </c>
      <c r="S162" s="492">
        <v>0</v>
      </c>
      <c r="T162" s="492">
        <v>0</v>
      </c>
      <c r="U162" s="492">
        <v>0</v>
      </c>
      <c r="V162" s="492">
        <f t="shared" si="218"/>
        <v>0</v>
      </c>
      <c r="W162" s="492">
        <v>0</v>
      </c>
      <c r="X162" s="492">
        <v>0</v>
      </c>
      <c r="Y162" s="492">
        <v>0</v>
      </c>
      <c r="Z162" s="492">
        <f>SUM(W162:Y162)</f>
        <v>0</v>
      </c>
      <c r="AA162" s="492">
        <f>V162+Z162</f>
        <v>0</v>
      </c>
      <c r="AB162" s="74">
        <f>ROUND((V162+W162+X162)*33.8%,0)</f>
        <v>0</v>
      </c>
      <c r="AC162" s="74">
        <f>ROUND(V162*2%,0)</f>
        <v>0</v>
      </c>
      <c r="AD162" s="492">
        <v>0</v>
      </c>
      <c r="AE162" s="492">
        <v>0</v>
      </c>
      <c r="AF162" s="492">
        <f t="shared" si="219"/>
        <v>0</v>
      </c>
      <c r="AG162" s="492">
        <f t="shared" si="220"/>
        <v>0</v>
      </c>
      <c r="AH162" s="493">
        <v>0</v>
      </c>
      <c r="AI162" s="493">
        <v>0</v>
      </c>
      <c r="AJ162" s="493">
        <v>0</v>
      </c>
      <c r="AK162" s="493">
        <v>0</v>
      </c>
      <c r="AL162" s="493">
        <v>0</v>
      </c>
      <c r="AM162" s="493">
        <v>0</v>
      </c>
      <c r="AN162" s="493">
        <v>0</v>
      </c>
      <c r="AO162" s="493">
        <f t="shared" si="247"/>
        <v>0</v>
      </c>
      <c r="AP162" s="493">
        <f t="shared" si="248"/>
        <v>0</v>
      </c>
      <c r="AQ162" s="495">
        <f t="shared" si="221"/>
        <v>0</v>
      </c>
      <c r="AR162" s="501">
        <f>I162+AG162</f>
        <v>0</v>
      </c>
      <c r="AS162" s="492">
        <f>J162+V162</f>
        <v>0</v>
      </c>
      <c r="AT162" s="492">
        <f t="shared" si="249"/>
        <v>0</v>
      </c>
      <c r="AU162" s="492">
        <f t="shared" si="250"/>
        <v>0</v>
      </c>
      <c r="AV162" s="492">
        <f t="shared" si="250"/>
        <v>0</v>
      </c>
      <c r="AW162" s="492">
        <f>N162+AF162</f>
        <v>0</v>
      </c>
      <c r="AX162" s="493">
        <f>O162+AQ162</f>
        <v>0</v>
      </c>
      <c r="AY162" s="493">
        <f t="shared" si="251"/>
        <v>0</v>
      </c>
      <c r="AZ162" s="495">
        <f t="shared" si="251"/>
        <v>0</v>
      </c>
    </row>
    <row r="163" spans="1:52" ht="13.5" customHeight="1" x14ac:dyDescent="0.25">
      <c r="A163" s="313">
        <v>30</v>
      </c>
      <c r="B163" s="354">
        <v>5473</v>
      </c>
      <c r="C163" s="355">
        <v>600098583</v>
      </c>
      <c r="D163" s="314">
        <v>75016320</v>
      </c>
      <c r="E163" s="356" t="s">
        <v>431</v>
      </c>
      <c r="F163" s="314">
        <v>3141</v>
      </c>
      <c r="G163" s="356" t="s">
        <v>316</v>
      </c>
      <c r="H163" s="317" t="s">
        <v>279</v>
      </c>
      <c r="I163" s="494">
        <v>454947</v>
      </c>
      <c r="J163" s="489">
        <v>333817</v>
      </c>
      <c r="K163" s="489">
        <v>0</v>
      </c>
      <c r="L163" s="489">
        <v>112830</v>
      </c>
      <c r="M163" s="489">
        <v>6676</v>
      </c>
      <c r="N163" s="489">
        <v>1624</v>
      </c>
      <c r="O163" s="490">
        <v>1.05</v>
      </c>
      <c r="P163" s="491">
        <v>0</v>
      </c>
      <c r="Q163" s="500">
        <v>1.05</v>
      </c>
      <c r="R163" s="502">
        <f t="shared" si="217"/>
        <v>0</v>
      </c>
      <c r="S163" s="492">
        <v>0</v>
      </c>
      <c r="T163" s="492">
        <v>0</v>
      </c>
      <c r="U163" s="492">
        <v>0</v>
      </c>
      <c r="V163" s="492">
        <f t="shared" si="218"/>
        <v>0</v>
      </c>
      <c r="W163" s="492">
        <v>0</v>
      </c>
      <c r="X163" s="492">
        <v>0</v>
      </c>
      <c r="Y163" s="492">
        <v>0</v>
      </c>
      <c r="Z163" s="492">
        <f>SUM(W163:Y163)</f>
        <v>0</v>
      </c>
      <c r="AA163" s="492">
        <f>V163+Z163</f>
        <v>0</v>
      </c>
      <c r="AB163" s="74">
        <f>ROUND((V163+W163+X163)*33.8%,0)</f>
        <v>0</v>
      </c>
      <c r="AC163" s="74">
        <f>ROUND(V163*2%,0)</f>
        <v>0</v>
      </c>
      <c r="AD163" s="492">
        <v>0</v>
      </c>
      <c r="AE163" s="492">
        <v>0</v>
      </c>
      <c r="AF163" s="492">
        <f t="shared" si="219"/>
        <v>0</v>
      </c>
      <c r="AG163" s="492">
        <f t="shared" si="220"/>
        <v>0</v>
      </c>
      <c r="AH163" s="493">
        <v>0</v>
      </c>
      <c r="AI163" s="493">
        <v>0</v>
      </c>
      <c r="AJ163" s="493">
        <v>0</v>
      </c>
      <c r="AK163" s="493">
        <v>0</v>
      </c>
      <c r="AL163" s="493">
        <v>0</v>
      </c>
      <c r="AM163" s="493">
        <v>0</v>
      </c>
      <c r="AN163" s="493">
        <v>0</v>
      </c>
      <c r="AO163" s="493">
        <f t="shared" si="247"/>
        <v>0</v>
      </c>
      <c r="AP163" s="493">
        <f t="shared" si="248"/>
        <v>0</v>
      </c>
      <c r="AQ163" s="495">
        <f t="shared" si="221"/>
        <v>0</v>
      </c>
      <c r="AR163" s="501">
        <f>I163+AG163</f>
        <v>454947</v>
      </c>
      <c r="AS163" s="492">
        <f>J163+V163</f>
        <v>333817</v>
      </c>
      <c r="AT163" s="492">
        <f t="shared" si="249"/>
        <v>0</v>
      </c>
      <c r="AU163" s="492">
        <f t="shared" si="250"/>
        <v>112830</v>
      </c>
      <c r="AV163" s="492">
        <f t="shared" si="250"/>
        <v>6676</v>
      </c>
      <c r="AW163" s="492">
        <f>N163+AF163</f>
        <v>1624</v>
      </c>
      <c r="AX163" s="493">
        <f>O163+AQ163</f>
        <v>1.05</v>
      </c>
      <c r="AY163" s="493">
        <f t="shared" si="251"/>
        <v>0</v>
      </c>
      <c r="AZ163" s="495">
        <f t="shared" si="251"/>
        <v>1.05</v>
      </c>
    </row>
    <row r="164" spans="1:52" ht="12.75" customHeight="1" thickBot="1" x14ac:dyDescent="0.3">
      <c r="A164" s="368">
        <v>30</v>
      </c>
      <c r="B164" s="369">
        <v>5473</v>
      </c>
      <c r="C164" s="370">
        <v>600098583</v>
      </c>
      <c r="D164" s="369">
        <v>75016320</v>
      </c>
      <c r="E164" s="371" t="s">
        <v>432</v>
      </c>
      <c r="F164" s="328"/>
      <c r="G164" s="372"/>
      <c r="H164" s="329"/>
      <c r="I164" s="590">
        <v>2633517</v>
      </c>
      <c r="J164" s="591">
        <v>1928788</v>
      </c>
      <c r="K164" s="591">
        <v>0</v>
      </c>
      <c r="L164" s="591">
        <v>651930</v>
      </c>
      <c r="M164" s="591">
        <v>38575</v>
      </c>
      <c r="N164" s="591">
        <v>14224</v>
      </c>
      <c r="O164" s="592">
        <v>4.2347999999999999</v>
      </c>
      <c r="P164" s="592">
        <v>2.3548</v>
      </c>
      <c r="Q164" s="593">
        <v>1.88</v>
      </c>
      <c r="R164" s="590">
        <f t="shared" ref="R164:AZ164" si="252">SUM(R161:R163)</f>
        <v>0</v>
      </c>
      <c r="S164" s="591">
        <f t="shared" si="252"/>
        <v>0</v>
      </c>
      <c r="T164" s="591">
        <f t="shared" si="252"/>
        <v>0</v>
      </c>
      <c r="U164" s="591">
        <f t="shared" si="252"/>
        <v>0</v>
      </c>
      <c r="V164" s="591">
        <f t="shared" si="252"/>
        <v>0</v>
      </c>
      <c r="W164" s="591">
        <f t="shared" si="252"/>
        <v>0</v>
      </c>
      <c r="X164" s="591">
        <f t="shared" si="252"/>
        <v>0</v>
      </c>
      <c r="Y164" s="591">
        <f t="shared" si="252"/>
        <v>0</v>
      </c>
      <c r="Z164" s="591">
        <f t="shared" si="252"/>
        <v>0</v>
      </c>
      <c r="AA164" s="591">
        <f t="shared" si="252"/>
        <v>0</v>
      </c>
      <c r="AB164" s="591">
        <f t="shared" si="252"/>
        <v>0</v>
      </c>
      <c r="AC164" s="591">
        <f t="shared" si="252"/>
        <v>0</v>
      </c>
      <c r="AD164" s="591">
        <f t="shared" si="252"/>
        <v>0</v>
      </c>
      <c r="AE164" s="591">
        <f t="shared" si="252"/>
        <v>0</v>
      </c>
      <c r="AF164" s="591">
        <f t="shared" si="252"/>
        <v>0</v>
      </c>
      <c r="AG164" s="591">
        <f t="shared" si="252"/>
        <v>0</v>
      </c>
      <c r="AH164" s="592">
        <f t="shared" si="252"/>
        <v>0</v>
      </c>
      <c r="AI164" s="592">
        <f t="shared" si="252"/>
        <v>0</v>
      </c>
      <c r="AJ164" s="592">
        <f t="shared" si="252"/>
        <v>0</v>
      </c>
      <c r="AK164" s="592">
        <f t="shared" si="252"/>
        <v>0</v>
      </c>
      <c r="AL164" s="592">
        <f t="shared" si="252"/>
        <v>0</v>
      </c>
      <c r="AM164" s="592">
        <f t="shared" si="252"/>
        <v>0</v>
      </c>
      <c r="AN164" s="592">
        <f t="shared" si="252"/>
        <v>0</v>
      </c>
      <c r="AO164" s="592">
        <f t="shared" si="252"/>
        <v>0</v>
      </c>
      <c r="AP164" s="592">
        <f t="shared" si="252"/>
        <v>0</v>
      </c>
      <c r="AQ164" s="594">
        <f t="shared" si="252"/>
        <v>0</v>
      </c>
      <c r="AR164" s="595">
        <f t="shared" si="252"/>
        <v>2633517</v>
      </c>
      <c r="AS164" s="591">
        <f t="shared" si="252"/>
        <v>1928788</v>
      </c>
      <c r="AT164" s="591">
        <f t="shared" si="252"/>
        <v>0</v>
      </c>
      <c r="AU164" s="591">
        <f t="shared" si="252"/>
        <v>651930</v>
      </c>
      <c r="AV164" s="591">
        <f t="shared" si="252"/>
        <v>38575</v>
      </c>
      <c r="AW164" s="591">
        <f t="shared" si="252"/>
        <v>14224</v>
      </c>
      <c r="AX164" s="592">
        <f t="shared" si="252"/>
        <v>4.2347999999999999</v>
      </c>
      <c r="AY164" s="592">
        <f t="shared" si="252"/>
        <v>2.3548</v>
      </c>
      <c r="AZ164" s="594">
        <f t="shared" si="252"/>
        <v>1.88</v>
      </c>
    </row>
    <row r="165" spans="1:52" ht="12.75" customHeight="1" thickBot="1" x14ac:dyDescent="0.3">
      <c r="A165" s="373"/>
      <c r="B165" s="336"/>
      <c r="C165" s="374"/>
      <c r="D165" s="336"/>
      <c r="E165" s="338" t="s">
        <v>798</v>
      </c>
      <c r="F165" s="336"/>
      <c r="G165" s="336"/>
      <c r="H165" s="339"/>
      <c r="I165" s="596">
        <f t="shared" ref="I165:AZ165" si="253">I164+I160+I154+I151+I144+I137+I130+I127+I124+I118+I114+I110+I108+I102+I98+I92+I88+I81+I74+I67+I60+I53+I51+I44+I38+I32+I25+I23+I19+I15</f>
        <v>354126615</v>
      </c>
      <c r="J165" s="597">
        <f t="shared" si="253"/>
        <v>255778966</v>
      </c>
      <c r="K165" s="597">
        <f t="shared" si="253"/>
        <v>1741420</v>
      </c>
      <c r="L165" s="597">
        <f t="shared" si="253"/>
        <v>87041892</v>
      </c>
      <c r="M165" s="597">
        <f t="shared" si="253"/>
        <v>5115577</v>
      </c>
      <c r="N165" s="597">
        <f t="shared" si="253"/>
        <v>4448760</v>
      </c>
      <c r="O165" s="598">
        <f t="shared" si="253"/>
        <v>529.9851000000001</v>
      </c>
      <c r="P165" s="598">
        <f t="shared" si="253"/>
        <v>364.49099999999999</v>
      </c>
      <c r="Q165" s="599">
        <f t="shared" si="253"/>
        <v>165.4941</v>
      </c>
      <c r="R165" s="596">
        <f t="shared" si="253"/>
        <v>0</v>
      </c>
      <c r="S165" s="597">
        <f t="shared" si="253"/>
        <v>134367</v>
      </c>
      <c r="T165" s="597">
        <f t="shared" si="253"/>
        <v>0</v>
      </c>
      <c r="U165" s="597">
        <f t="shared" si="253"/>
        <v>-13224</v>
      </c>
      <c r="V165" s="597">
        <f t="shared" si="253"/>
        <v>121143</v>
      </c>
      <c r="W165" s="597">
        <f t="shared" si="253"/>
        <v>0</v>
      </c>
      <c r="X165" s="597">
        <f t="shared" si="253"/>
        <v>0</v>
      </c>
      <c r="Y165" s="597">
        <f t="shared" si="253"/>
        <v>0</v>
      </c>
      <c r="Z165" s="597">
        <f t="shared" si="253"/>
        <v>0</v>
      </c>
      <c r="AA165" s="597">
        <f t="shared" si="253"/>
        <v>121143</v>
      </c>
      <c r="AB165" s="597">
        <f t="shared" si="253"/>
        <v>40946</v>
      </c>
      <c r="AC165" s="597">
        <f t="shared" si="253"/>
        <v>2423</v>
      </c>
      <c r="AD165" s="597">
        <f t="shared" si="253"/>
        <v>8100</v>
      </c>
      <c r="AE165" s="597">
        <f t="shared" si="253"/>
        <v>47047</v>
      </c>
      <c r="AF165" s="597">
        <f t="shared" si="253"/>
        <v>55147</v>
      </c>
      <c r="AG165" s="597">
        <f t="shared" si="253"/>
        <v>219659</v>
      </c>
      <c r="AH165" s="598">
        <f t="shared" si="253"/>
        <v>0</v>
      </c>
      <c r="AI165" s="598">
        <f t="shared" si="253"/>
        <v>0</v>
      </c>
      <c r="AJ165" s="598">
        <f t="shared" si="253"/>
        <v>0.35000000000000003</v>
      </c>
      <c r="AK165" s="598">
        <f t="shared" si="253"/>
        <v>0</v>
      </c>
      <c r="AL165" s="598">
        <f t="shared" si="253"/>
        <v>0</v>
      </c>
      <c r="AM165" s="598">
        <f t="shared" si="253"/>
        <v>-0.04</v>
      </c>
      <c r="AN165" s="599">
        <f t="shared" si="253"/>
        <v>0</v>
      </c>
      <c r="AO165" s="716">
        <f t="shared" si="253"/>
        <v>0.31</v>
      </c>
      <c r="AP165" s="600">
        <f t="shared" si="253"/>
        <v>0</v>
      </c>
      <c r="AQ165" s="717">
        <f t="shared" si="253"/>
        <v>0.31</v>
      </c>
      <c r="AR165" s="601">
        <f t="shared" si="253"/>
        <v>354346274</v>
      </c>
      <c r="AS165" s="597">
        <f t="shared" si="253"/>
        <v>255900109</v>
      </c>
      <c r="AT165" s="597">
        <f t="shared" si="253"/>
        <v>1741420</v>
      </c>
      <c r="AU165" s="597">
        <f t="shared" si="253"/>
        <v>87082838</v>
      </c>
      <c r="AV165" s="597">
        <f t="shared" si="253"/>
        <v>5118000</v>
      </c>
      <c r="AW165" s="597">
        <f t="shared" si="253"/>
        <v>4503907</v>
      </c>
      <c r="AX165" s="598">
        <f t="shared" si="253"/>
        <v>530.29510000000016</v>
      </c>
      <c r="AY165" s="598">
        <f t="shared" si="253"/>
        <v>364.80099999999999</v>
      </c>
      <c r="AZ165" s="600">
        <f t="shared" si="253"/>
        <v>165.4941</v>
      </c>
    </row>
    <row r="166" spans="1:52" ht="12.75" customHeight="1" x14ac:dyDescent="0.25">
      <c r="B166" s="342"/>
      <c r="D166" s="342"/>
      <c r="E166" s="343"/>
      <c r="F166" s="342"/>
      <c r="I166" s="507">
        <f>SUM(J165:N165)</f>
        <v>354126615</v>
      </c>
      <c r="J166" s="507"/>
      <c r="K166" s="507"/>
      <c r="L166" s="507"/>
      <c r="M166" s="507"/>
      <c r="N166" s="507"/>
      <c r="O166" s="508">
        <f>SUM(P165:Q165)</f>
        <v>529.98509999999999</v>
      </c>
      <c r="P166" s="508"/>
      <c r="Q166" s="508"/>
      <c r="R166" s="507">
        <f>W165</f>
        <v>0</v>
      </c>
      <c r="S166" s="508"/>
      <c r="T166" s="508"/>
      <c r="U166" s="508"/>
      <c r="V166" s="516">
        <f>SUM(R165:U165)</f>
        <v>121143</v>
      </c>
      <c r="W166" s="516">
        <f>R165</f>
        <v>0</v>
      </c>
      <c r="X166" s="517"/>
      <c r="Y166" s="517"/>
      <c r="Z166" s="516">
        <f>SUM(W165:Y165)</f>
        <v>0</v>
      </c>
      <c r="AA166" s="516">
        <f>V165+Z165</f>
        <v>121143</v>
      </c>
      <c r="AB166" s="518"/>
      <c r="AC166" s="518"/>
      <c r="AD166" s="517"/>
      <c r="AE166" s="517"/>
      <c r="AF166" s="516">
        <f>SUM(AD165:AE165)</f>
        <v>55147</v>
      </c>
      <c r="AG166" s="516">
        <f>AA165+AB165+AC165+AF165</f>
        <v>219659</v>
      </c>
      <c r="AH166" s="519"/>
      <c r="AI166" s="519"/>
      <c r="AJ166" s="519"/>
      <c r="AK166" s="519"/>
      <c r="AL166" s="519"/>
      <c r="AM166" s="519"/>
      <c r="AN166" s="519"/>
      <c r="AO166" s="520">
        <f t="shared" ref="AO166:AO167" si="254">AH166+AJ166+AK166+AM166</f>
        <v>0</v>
      </c>
      <c r="AP166" s="520">
        <f t="shared" ref="AP166:AP167" si="255">AI166+AN166+AL166</f>
        <v>0</v>
      </c>
      <c r="AQ166" s="520">
        <f>SUM(AO165:AP165)</f>
        <v>0.31</v>
      </c>
      <c r="AR166" s="507">
        <f>SUM(AS165:AW165)</f>
        <v>354346274</v>
      </c>
      <c r="AS166" s="59"/>
      <c r="AT166" s="59"/>
      <c r="AU166" s="59"/>
      <c r="AV166" s="59"/>
      <c r="AW166" s="59"/>
      <c r="AX166" s="508">
        <f>SUM(AY165:AZ165)</f>
        <v>530.29510000000005</v>
      </c>
      <c r="AY166" s="97"/>
      <c r="AZ166" s="97"/>
    </row>
    <row r="167" spans="1:52" ht="12.95" customHeight="1" thickBot="1" x14ac:dyDescent="0.3">
      <c r="B167" s="342"/>
      <c r="D167" s="342"/>
      <c r="F167" s="342"/>
      <c r="I167" s="95">
        <f>SUM(J168:N168)</f>
        <v>354126615</v>
      </c>
      <c r="J167" s="57"/>
      <c r="K167" s="57"/>
      <c r="L167" s="515"/>
      <c r="M167" s="515"/>
      <c r="N167" s="57"/>
      <c r="O167" s="96">
        <f>SUM(P168:Q168)</f>
        <v>529.98509999999999</v>
      </c>
      <c r="P167" s="187"/>
      <c r="Q167" s="187"/>
      <c r="R167" s="508"/>
      <c r="S167" s="508"/>
      <c r="T167" s="508"/>
      <c r="U167" s="508"/>
      <c r="V167" s="516">
        <f>SUM(R168:U168)</f>
        <v>121143</v>
      </c>
      <c r="W167" s="517"/>
      <c r="X167" s="517"/>
      <c r="Y167" s="517"/>
      <c r="Z167" s="516">
        <f>SUM(W168:Y168)</f>
        <v>0</v>
      </c>
      <c r="AA167" s="516">
        <f>V168+Z168</f>
        <v>121143</v>
      </c>
      <c r="AB167" s="518"/>
      <c r="AC167" s="518"/>
      <c r="AD167" s="517"/>
      <c r="AE167" s="517"/>
      <c r="AF167" s="516">
        <f>SUM(AD168:AE168)</f>
        <v>55147</v>
      </c>
      <c r="AG167" s="516">
        <f>AA168+AB168+AC168+AF168</f>
        <v>219659</v>
      </c>
      <c r="AH167" s="519"/>
      <c r="AI167" s="519"/>
      <c r="AJ167" s="519"/>
      <c r="AK167" s="519"/>
      <c r="AL167" s="519"/>
      <c r="AM167" s="519"/>
      <c r="AN167" s="519"/>
      <c r="AO167" s="520">
        <f t="shared" si="254"/>
        <v>0</v>
      </c>
      <c r="AP167" s="520">
        <f t="shared" si="255"/>
        <v>0</v>
      </c>
      <c r="AQ167" s="520">
        <f>SUM(AO168:AP168)</f>
        <v>0.31</v>
      </c>
      <c r="AR167" s="507">
        <f>SUM(AS168:AW168)</f>
        <v>354346274</v>
      </c>
      <c r="AS167" s="59"/>
      <c r="AT167" s="59"/>
      <c r="AU167" s="59"/>
      <c r="AV167" s="59"/>
      <c r="AW167" s="59"/>
      <c r="AX167" s="508">
        <f>SUM(AY168:AZ168)</f>
        <v>530.29509999999993</v>
      </c>
      <c r="AY167" s="97"/>
      <c r="AZ167" s="97"/>
    </row>
    <row r="168" spans="1:52" s="99" customFormat="1" ht="12.95" customHeight="1" thickBot="1" x14ac:dyDescent="0.3">
      <c r="D168" s="344"/>
      <c r="E168" s="345"/>
      <c r="F168" s="344"/>
      <c r="G168" s="346"/>
      <c r="H168" s="613" t="s">
        <v>0</v>
      </c>
      <c r="I168" s="150">
        <f t="shared" ref="I168:AZ168" si="256">SUM(I169:I178)</f>
        <v>354126615</v>
      </c>
      <c r="J168" s="38">
        <f t="shared" si="256"/>
        <v>255778966</v>
      </c>
      <c r="K168" s="38">
        <f t="shared" si="256"/>
        <v>1741420</v>
      </c>
      <c r="L168" s="38">
        <f t="shared" si="256"/>
        <v>87041892</v>
      </c>
      <c r="M168" s="38">
        <f t="shared" si="256"/>
        <v>5115577</v>
      </c>
      <c r="N168" s="38">
        <f t="shared" si="256"/>
        <v>4448760</v>
      </c>
      <c r="O168" s="39">
        <f t="shared" si="256"/>
        <v>529.98509999999999</v>
      </c>
      <c r="P168" s="39">
        <f t="shared" si="256"/>
        <v>364.49100000000004</v>
      </c>
      <c r="Q168" s="159">
        <f t="shared" si="256"/>
        <v>165.49409999999997</v>
      </c>
      <c r="R168" s="150">
        <f t="shared" si="256"/>
        <v>0</v>
      </c>
      <c r="S168" s="38">
        <f t="shared" si="256"/>
        <v>134367</v>
      </c>
      <c r="T168" s="38">
        <f t="shared" si="256"/>
        <v>0</v>
      </c>
      <c r="U168" s="38">
        <f t="shared" si="256"/>
        <v>-13224</v>
      </c>
      <c r="V168" s="38">
        <f t="shared" si="256"/>
        <v>121143</v>
      </c>
      <c r="W168" s="38">
        <f t="shared" si="256"/>
        <v>0</v>
      </c>
      <c r="X168" s="38">
        <f t="shared" si="256"/>
        <v>0</v>
      </c>
      <c r="Y168" s="38">
        <f t="shared" si="256"/>
        <v>0</v>
      </c>
      <c r="Z168" s="38">
        <f t="shared" si="256"/>
        <v>0</v>
      </c>
      <c r="AA168" s="38">
        <f t="shared" si="256"/>
        <v>121143</v>
      </c>
      <c r="AB168" s="38">
        <f t="shared" si="256"/>
        <v>40946</v>
      </c>
      <c r="AC168" s="38">
        <f t="shared" si="256"/>
        <v>2423</v>
      </c>
      <c r="AD168" s="38">
        <f t="shared" si="256"/>
        <v>8100</v>
      </c>
      <c r="AE168" s="38">
        <f t="shared" si="256"/>
        <v>47047</v>
      </c>
      <c r="AF168" s="38">
        <f t="shared" si="256"/>
        <v>55147</v>
      </c>
      <c r="AG168" s="38">
        <f t="shared" si="256"/>
        <v>219659</v>
      </c>
      <c r="AH168" s="39">
        <f t="shared" si="256"/>
        <v>0</v>
      </c>
      <c r="AI168" s="39">
        <f t="shared" si="256"/>
        <v>0</v>
      </c>
      <c r="AJ168" s="39">
        <f t="shared" si="256"/>
        <v>0.35</v>
      </c>
      <c r="AK168" s="39">
        <f t="shared" si="256"/>
        <v>0</v>
      </c>
      <c r="AL168" s="39">
        <f t="shared" si="256"/>
        <v>0</v>
      </c>
      <c r="AM168" s="39">
        <f t="shared" si="256"/>
        <v>-0.04</v>
      </c>
      <c r="AN168" s="39">
        <f t="shared" si="256"/>
        <v>0</v>
      </c>
      <c r="AO168" s="39">
        <f t="shared" si="256"/>
        <v>0.31</v>
      </c>
      <c r="AP168" s="39">
        <f t="shared" si="256"/>
        <v>0</v>
      </c>
      <c r="AQ168" s="40">
        <f t="shared" si="256"/>
        <v>0.31</v>
      </c>
      <c r="AR168" s="150">
        <f t="shared" si="256"/>
        <v>354346274</v>
      </c>
      <c r="AS168" s="38">
        <f t="shared" si="256"/>
        <v>255900109</v>
      </c>
      <c r="AT168" s="38">
        <f t="shared" si="256"/>
        <v>1741420</v>
      </c>
      <c r="AU168" s="38">
        <f t="shared" si="256"/>
        <v>87082838</v>
      </c>
      <c r="AV168" s="38">
        <f t="shared" si="256"/>
        <v>5118000</v>
      </c>
      <c r="AW168" s="38">
        <f t="shared" si="256"/>
        <v>4503907</v>
      </c>
      <c r="AX168" s="39">
        <f t="shared" si="256"/>
        <v>530.29510000000005</v>
      </c>
      <c r="AY168" s="39">
        <f t="shared" si="256"/>
        <v>364.80099999999999</v>
      </c>
      <c r="AZ168" s="40">
        <f t="shared" si="256"/>
        <v>165.49409999999997</v>
      </c>
    </row>
    <row r="169" spans="1:52" s="99" customFormat="1" ht="12.95" customHeight="1" x14ac:dyDescent="0.25">
      <c r="D169" s="344"/>
      <c r="E169" s="345"/>
      <c r="F169" s="344"/>
      <c r="G169" s="346"/>
      <c r="H169" s="612">
        <v>3111</v>
      </c>
      <c r="I169" s="642">
        <f t="shared" ref="I169:AZ169" si="257">SUMIF($F$12:$F$462,"=3111",I$12:I$462)</f>
        <v>68799174</v>
      </c>
      <c r="J169" s="643">
        <f t="shared" si="257"/>
        <v>50168488</v>
      </c>
      <c r="K169" s="643">
        <f t="shared" si="257"/>
        <v>197810</v>
      </c>
      <c r="L169" s="643">
        <f t="shared" si="257"/>
        <v>17023810</v>
      </c>
      <c r="M169" s="643">
        <f t="shared" si="257"/>
        <v>1003366</v>
      </c>
      <c r="N169" s="643">
        <f t="shared" si="257"/>
        <v>405700</v>
      </c>
      <c r="O169" s="648">
        <f t="shared" si="257"/>
        <v>111.6374</v>
      </c>
      <c r="P169" s="648">
        <f t="shared" si="257"/>
        <v>84.946899999999999</v>
      </c>
      <c r="Q169" s="648">
        <f t="shared" si="257"/>
        <v>26.690499999999997</v>
      </c>
      <c r="R169" s="643">
        <f t="shared" si="257"/>
        <v>0</v>
      </c>
      <c r="S169" s="643">
        <f t="shared" si="257"/>
        <v>64959</v>
      </c>
      <c r="T169" s="643">
        <f t="shared" si="257"/>
        <v>0</v>
      </c>
      <c r="U169" s="643">
        <f t="shared" si="257"/>
        <v>0</v>
      </c>
      <c r="V169" s="643">
        <f t="shared" si="257"/>
        <v>64959</v>
      </c>
      <c r="W169" s="643">
        <f t="shared" si="257"/>
        <v>0</v>
      </c>
      <c r="X169" s="643">
        <f t="shared" si="257"/>
        <v>0</v>
      </c>
      <c r="Y169" s="643">
        <f t="shared" si="257"/>
        <v>0</v>
      </c>
      <c r="Z169" s="643">
        <f t="shared" si="257"/>
        <v>0</v>
      </c>
      <c r="AA169" s="643">
        <f t="shared" si="257"/>
        <v>64959</v>
      </c>
      <c r="AB169" s="643">
        <f t="shared" si="257"/>
        <v>21956</v>
      </c>
      <c r="AC169" s="643">
        <f t="shared" si="257"/>
        <v>1299</v>
      </c>
      <c r="AD169" s="643">
        <f t="shared" si="257"/>
        <v>3000</v>
      </c>
      <c r="AE169" s="643">
        <f t="shared" si="257"/>
        <v>0</v>
      </c>
      <c r="AF169" s="643">
        <f t="shared" si="257"/>
        <v>3000</v>
      </c>
      <c r="AG169" s="643">
        <f t="shared" si="257"/>
        <v>91214</v>
      </c>
      <c r="AH169" s="648">
        <f t="shared" si="257"/>
        <v>0</v>
      </c>
      <c r="AI169" s="648">
        <f t="shared" si="257"/>
        <v>0</v>
      </c>
      <c r="AJ169" s="648">
        <f t="shared" si="257"/>
        <v>0.19</v>
      </c>
      <c r="AK169" s="648">
        <f t="shared" si="257"/>
        <v>0</v>
      </c>
      <c r="AL169" s="648">
        <f t="shared" si="257"/>
        <v>0</v>
      </c>
      <c r="AM169" s="648">
        <f t="shared" si="257"/>
        <v>0</v>
      </c>
      <c r="AN169" s="648">
        <f t="shared" si="257"/>
        <v>0</v>
      </c>
      <c r="AO169" s="648">
        <f t="shared" si="257"/>
        <v>0.19</v>
      </c>
      <c r="AP169" s="648">
        <f t="shared" si="257"/>
        <v>0</v>
      </c>
      <c r="AQ169" s="649">
        <f t="shared" si="257"/>
        <v>0.19</v>
      </c>
      <c r="AR169" s="642">
        <f t="shared" si="257"/>
        <v>68890388</v>
      </c>
      <c r="AS169" s="643">
        <f t="shared" si="257"/>
        <v>50233447</v>
      </c>
      <c r="AT169" s="643">
        <f t="shared" si="257"/>
        <v>197810</v>
      </c>
      <c r="AU169" s="643">
        <f t="shared" si="257"/>
        <v>17045766</v>
      </c>
      <c r="AV169" s="643">
        <f t="shared" si="257"/>
        <v>1004665</v>
      </c>
      <c r="AW169" s="643">
        <f t="shared" si="257"/>
        <v>408700</v>
      </c>
      <c r="AX169" s="648">
        <f t="shared" si="257"/>
        <v>111.8274</v>
      </c>
      <c r="AY169" s="648">
        <f t="shared" si="257"/>
        <v>85.136899999999997</v>
      </c>
      <c r="AZ169" s="651">
        <f t="shared" si="257"/>
        <v>26.690499999999997</v>
      </c>
    </row>
    <row r="170" spans="1:52" s="99" customFormat="1" ht="12.95" customHeight="1" x14ac:dyDescent="0.25">
      <c r="D170" s="344"/>
      <c r="E170" s="345"/>
      <c r="F170" s="344"/>
      <c r="G170" s="346"/>
      <c r="H170" s="21">
        <v>3113</v>
      </c>
      <c r="I170" s="178">
        <f t="shared" ref="I170:AZ170" si="258">SUMIF($F$12:$F$462,"=3113",I$12:I$462)</f>
        <v>149500525</v>
      </c>
      <c r="J170" s="17">
        <f t="shared" si="258"/>
        <v>107333969</v>
      </c>
      <c r="K170" s="17">
        <f t="shared" si="258"/>
        <v>540860</v>
      </c>
      <c r="L170" s="17">
        <f t="shared" si="258"/>
        <v>36461694</v>
      </c>
      <c r="M170" s="17">
        <f t="shared" si="258"/>
        <v>2146682</v>
      </c>
      <c r="N170" s="17">
        <f t="shared" si="258"/>
        <v>3017320</v>
      </c>
      <c r="O170" s="14">
        <f t="shared" si="258"/>
        <v>203.44479999999999</v>
      </c>
      <c r="P170" s="14">
        <f t="shared" si="258"/>
        <v>156.99</v>
      </c>
      <c r="Q170" s="14">
        <f t="shared" si="258"/>
        <v>46.454799999999999</v>
      </c>
      <c r="R170" s="17">
        <f t="shared" si="258"/>
        <v>0</v>
      </c>
      <c r="S170" s="17">
        <f t="shared" si="258"/>
        <v>69408</v>
      </c>
      <c r="T170" s="17">
        <f t="shared" si="258"/>
        <v>0</v>
      </c>
      <c r="U170" s="17">
        <f t="shared" si="258"/>
        <v>0</v>
      </c>
      <c r="V170" s="17">
        <f t="shared" si="258"/>
        <v>69408</v>
      </c>
      <c r="W170" s="17">
        <f t="shared" si="258"/>
        <v>0</v>
      </c>
      <c r="X170" s="17">
        <f t="shared" si="258"/>
        <v>0</v>
      </c>
      <c r="Y170" s="17">
        <f t="shared" si="258"/>
        <v>0</v>
      </c>
      <c r="Z170" s="17">
        <f t="shared" si="258"/>
        <v>0</v>
      </c>
      <c r="AA170" s="17">
        <f t="shared" si="258"/>
        <v>69408</v>
      </c>
      <c r="AB170" s="17">
        <f t="shared" si="258"/>
        <v>23460</v>
      </c>
      <c r="AC170" s="17">
        <f t="shared" si="258"/>
        <v>1388</v>
      </c>
      <c r="AD170" s="17">
        <f t="shared" si="258"/>
        <v>5100</v>
      </c>
      <c r="AE170" s="17">
        <f t="shared" si="258"/>
        <v>0</v>
      </c>
      <c r="AF170" s="17">
        <f t="shared" si="258"/>
        <v>5100</v>
      </c>
      <c r="AG170" s="17">
        <f t="shared" si="258"/>
        <v>99356</v>
      </c>
      <c r="AH170" s="14">
        <f t="shared" si="258"/>
        <v>0</v>
      </c>
      <c r="AI170" s="14">
        <f t="shared" si="258"/>
        <v>0</v>
      </c>
      <c r="AJ170" s="14">
        <f t="shared" si="258"/>
        <v>0.16</v>
      </c>
      <c r="AK170" s="14">
        <f t="shared" si="258"/>
        <v>0</v>
      </c>
      <c r="AL170" s="14">
        <f t="shared" si="258"/>
        <v>0</v>
      </c>
      <c r="AM170" s="14">
        <f t="shared" si="258"/>
        <v>0</v>
      </c>
      <c r="AN170" s="14">
        <f t="shared" si="258"/>
        <v>0</v>
      </c>
      <c r="AO170" s="14">
        <f t="shared" si="258"/>
        <v>0.16</v>
      </c>
      <c r="AP170" s="14">
        <f t="shared" si="258"/>
        <v>0</v>
      </c>
      <c r="AQ170" s="180">
        <f t="shared" si="258"/>
        <v>0.16</v>
      </c>
      <c r="AR170" s="178">
        <f t="shared" si="258"/>
        <v>149599881</v>
      </c>
      <c r="AS170" s="17">
        <f t="shared" si="258"/>
        <v>107403377</v>
      </c>
      <c r="AT170" s="17">
        <f t="shared" si="258"/>
        <v>540860</v>
      </c>
      <c r="AU170" s="17">
        <f t="shared" si="258"/>
        <v>36485154</v>
      </c>
      <c r="AV170" s="17">
        <f t="shared" si="258"/>
        <v>2148070</v>
      </c>
      <c r="AW170" s="17">
        <f t="shared" si="258"/>
        <v>3022420</v>
      </c>
      <c r="AX170" s="14">
        <f t="shared" si="258"/>
        <v>203.60479999999998</v>
      </c>
      <c r="AY170" s="14">
        <f t="shared" si="258"/>
        <v>157.14999999999998</v>
      </c>
      <c r="AZ170" s="18">
        <f t="shared" si="258"/>
        <v>46.454799999999999</v>
      </c>
    </row>
    <row r="171" spans="1:52" s="99" customFormat="1" ht="12.95" customHeight="1" x14ac:dyDescent="0.25">
      <c r="D171" s="344"/>
      <c r="E171" s="345"/>
      <c r="F171" s="344"/>
      <c r="G171" s="346"/>
      <c r="H171" s="21">
        <v>3114</v>
      </c>
      <c r="I171" s="178">
        <f t="shared" ref="I171:AZ171" si="259">SUMIF($F$12:$F$462,"=3114",I$12:I$462)</f>
        <v>18274860</v>
      </c>
      <c r="J171" s="17">
        <f t="shared" si="259"/>
        <v>13292302</v>
      </c>
      <c r="K171" s="17">
        <f t="shared" si="259"/>
        <v>59800</v>
      </c>
      <c r="L171" s="17">
        <f t="shared" si="259"/>
        <v>4513011</v>
      </c>
      <c r="M171" s="17">
        <f t="shared" si="259"/>
        <v>265847</v>
      </c>
      <c r="N171" s="17">
        <f t="shared" si="259"/>
        <v>143900</v>
      </c>
      <c r="O171" s="14">
        <f t="shared" si="259"/>
        <v>23.785299999999999</v>
      </c>
      <c r="P171" s="14">
        <f t="shared" si="259"/>
        <v>18.4573</v>
      </c>
      <c r="Q171" s="14">
        <f t="shared" si="259"/>
        <v>5.3279999999999994</v>
      </c>
      <c r="R171" s="17">
        <f t="shared" si="259"/>
        <v>0</v>
      </c>
      <c r="S171" s="17">
        <f t="shared" si="259"/>
        <v>0</v>
      </c>
      <c r="T171" s="17">
        <f t="shared" si="259"/>
        <v>0</v>
      </c>
      <c r="U171" s="17">
        <f t="shared" si="259"/>
        <v>0</v>
      </c>
      <c r="V171" s="17">
        <f t="shared" si="259"/>
        <v>0</v>
      </c>
      <c r="W171" s="17">
        <f t="shared" si="259"/>
        <v>0</v>
      </c>
      <c r="X171" s="17">
        <f t="shared" si="259"/>
        <v>0</v>
      </c>
      <c r="Y171" s="17">
        <f t="shared" si="259"/>
        <v>0</v>
      </c>
      <c r="Z171" s="17">
        <f t="shared" si="259"/>
        <v>0</v>
      </c>
      <c r="AA171" s="17">
        <f t="shared" si="259"/>
        <v>0</v>
      </c>
      <c r="AB171" s="17">
        <f t="shared" si="259"/>
        <v>0</v>
      </c>
      <c r="AC171" s="17">
        <f t="shared" si="259"/>
        <v>0</v>
      </c>
      <c r="AD171" s="17">
        <f t="shared" si="259"/>
        <v>0</v>
      </c>
      <c r="AE171" s="17">
        <f t="shared" si="259"/>
        <v>0</v>
      </c>
      <c r="AF171" s="17">
        <f t="shared" si="259"/>
        <v>0</v>
      </c>
      <c r="AG171" s="17">
        <f t="shared" si="259"/>
        <v>0</v>
      </c>
      <c r="AH171" s="14">
        <f t="shared" si="259"/>
        <v>0</v>
      </c>
      <c r="AI171" s="14">
        <f t="shared" si="259"/>
        <v>0</v>
      </c>
      <c r="AJ171" s="14">
        <f t="shared" si="259"/>
        <v>0</v>
      </c>
      <c r="AK171" s="14">
        <f t="shared" si="259"/>
        <v>0</v>
      </c>
      <c r="AL171" s="14">
        <f t="shared" si="259"/>
        <v>0</v>
      </c>
      <c r="AM171" s="14">
        <f t="shared" si="259"/>
        <v>0</v>
      </c>
      <c r="AN171" s="14">
        <f t="shared" si="259"/>
        <v>0</v>
      </c>
      <c r="AO171" s="14">
        <f t="shared" si="259"/>
        <v>0</v>
      </c>
      <c r="AP171" s="14">
        <f t="shared" si="259"/>
        <v>0</v>
      </c>
      <c r="AQ171" s="180">
        <f t="shared" si="259"/>
        <v>0</v>
      </c>
      <c r="AR171" s="178">
        <f t="shared" si="259"/>
        <v>18274860</v>
      </c>
      <c r="AS171" s="17">
        <f t="shared" si="259"/>
        <v>13292302</v>
      </c>
      <c r="AT171" s="17">
        <f t="shared" si="259"/>
        <v>59800</v>
      </c>
      <c r="AU171" s="17">
        <f t="shared" si="259"/>
        <v>4513011</v>
      </c>
      <c r="AV171" s="17">
        <f t="shared" si="259"/>
        <v>265847</v>
      </c>
      <c r="AW171" s="17">
        <f t="shared" si="259"/>
        <v>143900</v>
      </c>
      <c r="AX171" s="14">
        <f t="shared" si="259"/>
        <v>23.785299999999999</v>
      </c>
      <c r="AY171" s="14">
        <f t="shared" si="259"/>
        <v>18.4573</v>
      </c>
      <c r="AZ171" s="18">
        <f t="shared" si="259"/>
        <v>5.3279999999999994</v>
      </c>
    </row>
    <row r="172" spans="1:52" s="99" customFormat="1" ht="12.95" customHeight="1" x14ac:dyDescent="0.25">
      <c r="D172" s="344"/>
      <c r="E172" s="345"/>
      <c r="F172" s="344"/>
      <c r="G172" s="346"/>
      <c r="H172" s="21">
        <v>3117</v>
      </c>
      <c r="I172" s="178">
        <f t="shared" ref="I172:AZ172" si="260">SUMIF($F$12:$F$462,"=3117",I$12:I$462)</f>
        <v>28580872</v>
      </c>
      <c r="J172" s="17">
        <f t="shared" si="260"/>
        <v>20567959</v>
      </c>
      <c r="K172" s="17">
        <f t="shared" si="260"/>
        <v>132020</v>
      </c>
      <c r="L172" s="17">
        <f t="shared" si="260"/>
        <v>6996593</v>
      </c>
      <c r="M172" s="17">
        <f t="shared" si="260"/>
        <v>411360</v>
      </c>
      <c r="N172" s="17">
        <f t="shared" si="260"/>
        <v>472940</v>
      </c>
      <c r="O172" s="14">
        <f t="shared" si="260"/>
        <v>41.262899999999988</v>
      </c>
      <c r="P172" s="14">
        <f t="shared" si="260"/>
        <v>29.332100000000001</v>
      </c>
      <c r="Q172" s="14">
        <f t="shared" si="260"/>
        <v>11.930800000000001</v>
      </c>
      <c r="R172" s="17">
        <f t="shared" si="260"/>
        <v>0</v>
      </c>
      <c r="S172" s="17">
        <f t="shared" si="260"/>
        <v>0</v>
      </c>
      <c r="T172" s="17">
        <f t="shared" si="260"/>
        <v>0</v>
      </c>
      <c r="U172" s="17">
        <f t="shared" si="260"/>
        <v>0</v>
      </c>
      <c r="V172" s="17">
        <f t="shared" si="260"/>
        <v>0</v>
      </c>
      <c r="W172" s="17">
        <f t="shared" si="260"/>
        <v>0</v>
      </c>
      <c r="X172" s="17">
        <f t="shared" si="260"/>
        <v>0</v>
      </c>
      <c r="Y172" s="17">
        <f t="shared" si="260"/>
        <v>0</v>
      </c>
      <c r="Z172" s="17">
        <f t="shared" si="260"/>
        <v>0</v>
      </c>
      <c r="AA172" s="17">
        <f t="shared" si="260"/>
        <v>0</v>
      </c>
      <c r="AB172" s="17">
        <f t="shared" si="260"/>
        <v>0</v>
      </c>
      <c r="AC172" s="17">
        <f t="shared" si="260"/>
        <v>0</v>
      </c>
      <c r="AD172" s="17">
        <f t="shared" si="260"/>
        <v>0</v>
      </c>
      <c r="AE172" s="17">
        <f t="shared" si="260"/>
        <v>0</v>
      </c>
      <c r="AF172" s="17">
        <f t="shared" si="260"/>
        <v>0</v>
      </c>
      <c r="AG172" s="17">
        <f t="shared" si="260"/>
        <v>0</v>
      </c>
      <c r="AH172" s="14">
        <f t="shared" si="260"/>
        <v>0</v>
      </c>
      <c r="AI172" s="14">
        <f t="shared" si="260"/>
        <v>0</v>
      </c>
      <c r="AJ172" s="14">
        <f t="shared" si="260"/>
        <v>0</v>
      </c>
      <c r="AK172" s="14">
        <f t="shared" si="260"/>
        <v>0</v>
      </c>
      <c r="AL172" s="14">
        <f t="shared" si="260"/>
        <v>0</v>
      </c>
      <c r="AM172" s="14">
        <f t="shared" si="260"/>
        <v>0</v>
      </c>
      <c r="AN172" s="14">
        <f t="shared" si="260"/>
        <v>0</v>
      </c>
      <c r="AO172" s="14">
        <f t="shared" si="260"/>
        <v>0</v>
      </c>
      <c r="AP172" s="14">
        <f t="shared" si="260"/>
        <v>0</v>
      </c>
      <c r="AQ172" s="180">
        <f t="shared" si="260"/>
        <v>0</v>
      </c>
      <c r="AR172" s="178">
        <f t="shared" si="260"/>
        <v>28580872</v>
      </c>
      <c r="AS172" s="17">
        <f t="shared" si="260"/>
        <v>20567959</v>
      </c>
      <c r="AT172" s="17">
        <f t="shared" si="260"/>
        <v>132020</v>
      </c>
      <c r="AU172" s="17">
        <f t="shared" si="260"/>
        <v>6996593</v>
      </c>
      <c r="AV172" s="17">
        <f t="shared" si="260"/>
        <v>411360</v>
      </c>
      <c r="AW172" s="17">
        <f t="shared" si="260"/>
        <v>472940</v>
      </c>
      <c r="AX172" s="14">
        <f t="shared" si="260"/>
        <v>41.262899999999988</v>
      </c>
      <c r="AY172" s="14">
        <f t="shared" si="260"/>
        <v>29.332100000000001</v>
      </c>
      <c r="AZ172" s="18">
        <f t="shared" si="260"/>
        <v>11.930800000000001</v>
      </c>
    </row>
    <row r="173" spans="1:52" s="99" customFormat="1" ht="12.95" customHeight="1" x14ac:dyDescent="0.25">
      <c r="D173" s="344"/>
      <c r="E173" s="345"/>
      <c r="F173" s="344"/>
      <c r="G173" s="346"/>
      <c r="H173" s="21">
        <v>3122</v>
      </c>
      <c r="I173" s="178">
        <f t="shared" ref="I173:AZ173" si="261">SUMIF($F$12:$F$462,"=3122",I$12:I$462)</f>
        <v>8799755</v>
      </c>
      <c r="J173" s="17">
        <f t="shared" si="261"/>
        <v>6073108</v>
      </c>
      <c r="K173" s="17">
        <f t="shared" si="261"/>
        <v>341760</v>
      </c>
      <c r="L173" s="17">
        <f t="shared" si="261"/>
        <v>2168225</v>
      </c>
      <c r="M173" s="17">
        <f t="shared" si="261"/>
        <v>121462</v>
      </c>
      <c r="N173" s="17">
        <f t="shared" si="261"/>
        <v>95200</v>
      </c>
      <c r="O173" s="14">
        <f t="shared" si="261"/>
        <v>9.8184000000000005</v>
      </c>
      <c r="P173" s="14">
        <f t="shared" si="261"/>
        <v>8.4955999999999996</v>
      </c>
      <c r="Q173" s="14">
        <f t="shared" si="261"/>
        <v>1.3228</v>
      </c>
      <c r="R173" s="17">
        <f t="shared" si="261"/>
        <v>0</v>
      </c>
      <c r="S173" s="17">
        <f t="shared" si="261"/>
        <v>0</v>
      </c>
      <c r="T173" s="17">
        <f t="shared" si="261"/>
        <v>0</v>
      </c>
      <c r="U173" s="17">
        <f t="shared" si="261"/>
        <v>0</v>
      </c>
      <c r="V173" s="17">
        <f t="shared" si="261"/>
        <v>0</v>
      </c>
      <c r="W173" s="17">
        <f t="shared" si="261"/>
        <v>0</v>
      </c>
      <c r="X173" s="17">
        <f t="shared" si="261"/>
        <v>0</v>
      </c>
      <c r="Y173" s="17">
        <f t="shared" si="261"/>
        <v>0</v>
      </c>
      <c r="Z173" s="17">
        <f t="shared" si="261"/>
        <v>0</v>
      </c>
      <c r="AA173" s="17">
        <f t="shared" si="261"/>
        <v>0</v>
      </c>
      <c r="AB173" s="17">
        <f t="shared" si="261"/>
        <v>0</v>
      </c>
      <c r="AC173" s="17">
        <f t="shared" si="261"/>
        <v>0</v>
      </c>
      <c r="AD173" s="17">
        <f t="shared" si="261"/>
        <v>0</v>
      </c>
      <c r="AE173" s="17">
        <f t="shared" si="261"/>
        <v>0</v>
      </c>
      <c r="AF173" s="17">
        <f t="shared" si="261"/>
        <v>0</v>
      </c>
      <c r="AG173" s="17">
        <f t="shared" si="261"/>
        <v>0</v>
      </c>
      <c r="AH173" s="14">
        <f t="shared" si="261"/>
        <v>0</v>
      </c>
      <c r="AI173" s="14">
        <f t="shared" si="261"/>
        <v>0</v>
      </c>
      <c r="AJ173" s="14">
        <f t="shared" si="261"/>
        <v>0</v>
      </c>
      <c r="AK173" s="14">
        <f t="shared" si="261"/>
        <v>0</v>
      </c>
      <c r="AL173" s="14">
        <f t="shared" si="261"/>
        <v>0</v>
      </c>
      <c r="AM173" s="14">
        <f t="shared" si="261"/>
        <v>0</v>
      </c>
      <c r="AN173" s="14">
        <f t="shared" si="261"/>
        <v>0</v>
      </c>
      <c r="AO173" s="14">
        <f t="shared" si="261"/>
        <v>0</v>
      </c>
      <c r="AP173" s="14">
        <f t="shared" si="261"/>
        <v>0</v>
      </c>
      <c r="AQ173" s="180">
        <f t="shared" si="261"/>
        <v>0</v>
      </c>
      <c r="AR173" s="178">
        <f t="shared" si="261"/>
        <v>8799755</v>
      </c>
      <c r="AS173" s="17">
        <f t="shared" si="261"/>
        <v>6073108</v>
      </c>
      <c r="AT173" s="17">
        <f t="shared" si="261"/>
        <v>341760</v>
      </c>
      <c r="AU173" s="17">
        <f t="shared" si="261"/>
        <v>2168225</v>
      </c>
      <c r="AV173" s="17">
        <f t="shared" si="261"/>
        <v>121462</v>
      </c>
      <c r="AW173" s="17">
        <f t="shared" si="261"/>
        <v>95200</v>
      </c>
      <c r="AX173" s="14">
        <f t="shared" si="261"/>
        <v>9.8184000000000005</v>
      </c>
      <c r="AY173" s="14">
        <f t="shared" si="261"/>
        <v>8.4955999999999996</v>
      </c>
      <c r="AZ173" s="18">
        <f t="shared" si="261"/>
        <v>1.3228</v>
      </c>
    </row>
    <row r="174" spans="1:52" s="99" customFormat="1" ht="12.95" customHeight="1" x14ac:dyDescent="0.25">
      <c r="D174" s="344"/>
      <c r="E174" s="345"/>
      <c r="F174" s="344"/>
      <c r="G174" s="346"/>
      <c r="H174" s="21">
        <v>3124</v>
      </c>
      <c r="I174" s="178">
        <f t="shared" ref="I174:AZ174" si="262">SUMIF($F$12:$F$462,"=3124",I$12:I$462)</f>
        <v>0</v>
      </c>
      <c r="J174" s="17">
        <f t="shared" si="262"/>
        <v>0</v>
      </c>
      <c r="K174" s="17">
        <f t="shared" si="262"/>
        <v>0</v>
      </c>
      <c r="L174" s="17">
        <f t="shared" si="262"/>
        <v>0</v>
      </c>
      <c r="M174" s="17">
        <f t="shared" si="262"/>
        <v>0</v>
      </c>
      <c r="N174" s="17">
        <f t="shared" si="262"/>
        <v>0</v>
      </c>
      <c r="O174" s="14">
        <f t="shared" si="262"/>
        <v>0</v>
      </c>
      <c r="P174" s="14">
        <f t="shared" si="262"/>
        <v>0</v>
      </c>
      <c r="Q174" s="14">
        <f t="shared" si="262"/>
        <v>0</v>
      </c>
      <c r="R174" s="17">
        <f t="shared" si="262"/>
        <v>0</v>
      </c>
      <c r="S174" s="17">
        <f t="shared" si="262"/>
        <v>0</v>
      </c>
      <c r="T174" s="17">
        <f t="shared" si="262"/>
        <v>0</v>
      </c>
      <c r="U174" s="17">
        <f t="shared" si="262"/>
        <v>0</v>
      </c>
      <c r="V174" s="17">
        <f t="shared" si="262"/>
        <v>0</v>
      </c>
      <c r="W174" s="17">
        <f t="shared" si="262"/>
        <v>0</v>
      </c>
      <c r="X174" s="17">
        <f t="shared" si="262"/>
        <v>0</v>
      </c>
      <c r="Y174" s="17">
        <f t="shared" si="262"/>
        <v>0</v>
      </c>
      <c r="Z174" s="17">
        <f t="shared" si="262"/>
        <v>0</v>
      </c>
      <c r="AA174" s="17">
        <f t="shared" si="262"/>
        <v>0</v>
      </c>
      <c r="AB174" s="17">
        <f t="shared" si="262"/>
        <v>0</v>
      </c>
      <c r="AC174" s="17">
        <f t="shared" si="262"/>
        <v>0</v>
      </c>
      <c r="AD174" s="17">
        <f t="shared" si="262"/>
        <v>0</v>
      </c>
      <c r="AE174" s="17">
        <f t="shared" si="262"/>
        <v>0</v>
      </c>
      <c r="AF174" s="17">
        <f t="shared" si="262"/>
        <v>0</v>
      </c>
      <c r="AG174" s="17">
        <f t="shared" si="262"/>
        <v>0</v>
      </c>
      <c r="AH174" s="14">
        <f t="shared" si="262"/>
        <v>0</v>
      </c>
      <c r="AI174" s="14">
        <f t="shared" si="262"/>
        <v>0</v>
      </c>
      <c r="AJ174" s="14">
        <f t="shared" si="262"/>
        <v>0</v>
      </c>
      <c r="AK174" s="14">
        <f t="shared" si="262"/>
        <v>0</v>
      </c>
      <c r="AL174" s="14">
        <f t="shared" si="262"/>
        <v>0</v>
      </c>
      <c r="AM174" s="14">
        <f t="shared" si="262"/>
        <v>0</v>
      </c>
      <c r="AN174" s="14">
        <f t="shared" si="262"/>
        <v>0</v>
      </c>
      <c r="AO174" s="14">
        <f t="shared" si="262"/>
        <v>0</v>
      </c>
      <c r="AP174" s="14">
        <f t="shared" si="262"/>
        <v>0</v>
      </c>
      <c r="AQ174" s="180">
        <f t="shared" si="262"/>
        <v>0</v>
      </c>
      <c r="AR174" s="178">
        <f t="shared" si="262"/>
        <v>0</v>
      </c>
      <c r="AS174" s="17">
        <f t="shared" si="262"/>
        <v>0</v>
      </c>
      <c r="AT174" s="17">
        <f t="shared" si="262"/>
        <v>0</v>
      </c>
      <c r="AU174" s="17">
        <f t="shared" si="262"/>
        <v>0</v>
      </c>
      <c r="AV174" s="17">
        <f t="shared" si="262"/>
        <v>0</v>
      </c>
      <c r="AW174" s="17">
        <f t="shared" si="262"/>
        <v>0</v>
      </c>
      <c r="AX174" s="14">
        <f t="shared" si="262"/>
        <v>0</v>
      </c>
      <c r="AY174" s="14">
        <f t="shared" si="262"/>
        <v>0</v>
      </c>
      <c r="AZ174" s="18">
        <f t="shared" si="262"/>
        <v>0</v>
      </c>
    </row>
    <row r="175" spans="1:52" s="99" customFormat="1" ht="12.95" customHeight="1" x14ac:dyDescent="0.25">
      <c r="D175" s="344"/>
      <c r="E175" s="345"/>
      <c r="F175" s="344"/>
      <c r="G175" s="346"/>
      <c r="H175" s="21">
        <v>3141</v>
      </c>
      <c r="I175" s="178">
        <f t="shared" ref="I175:AZ175" si="263">SUMIF($F$12:$F$462,"=3141",I$12:I$462)</f>
        <v>27785482</v>
      </c>
      <c r="J175" s="17">
        <f t="shared" si="263"/>
        <v>20227578</v>
      </c>
      <c r="K175" s="17">
        <f t="shared" si="263"/>
        <v>103350</v>
      </c>
      <c r="L175" s="17">
        <f t="shared" si="263"/>
        <v>6871852</v>
      </c>
      <c r="M175" s="17">
        <f t="shared" si="263"/>
        <v>404550</v>
      </c>
      <c r="N175" s="17">
        <f t="shared" si="263"/>
        <v>178152</v>
      </c>
      <c r="O175" s="14">
        <f t="shared" si="263"/>
        <v>63.889999999999993</v>
      </c>
      <c r="P175" s="14">
        <f t="shared" si="263"/>
        <v>0</v>
      </c>
      <c r="Q175" s="14">
        <f t="shared" si="263"/>
        <v>63.889999999999993</v>
      </c>
      <c r="R175" s="17">
        <f t="shared" si="263"/>
        <v>0</v>
      </c>
      <c r="S175" s="17">
        <f t="shared" si="263"/>
        <v>0</v>
      </c>
      <c r="T175" s="17">
        <f t="shared" si="263"/>
        <v>0</v>
      </c>
      <c r="U175" s="17">
        <f t="shared" si="263"/>
        <v>0</v>
      </c>
      <c r="V175" s="17">
        <f t="shared" si="263"/>
        <v>0</v>
      </c>
      <c r="W175" s="17">
        <f t="shared" si="263"/>
        <v>0</v>
      </c>
      <c r="X175" s="17">
        <f t="shared" si="263"/>
        <v>0</v>
      </c>
      <c r="Y175" s="17">
        <f t="shared" si="263"/>
        <v>0</v>
      </c>
      <c r="Z175" s="17">
        <f t="shared" si="263"/>
        <v>0</v>
      </c>
      <c r="AA175" s="17">
        <f t="shared" si="263"/>
        <v>0</v>
      </c>
      <c r="AB175" s="17">
        <f t="shared" si="263"/>
        <v>0</v>
      </c>
      <c r="AC175" s="17">
        <f t="shared" si="263"/>
        <v>0</v>
      </c>
      <c r="AD175" s="17">
        <f t="shared" si="263"/>
        <v>0</v>
      </c>
      <c r="AE175" s="17">
        <f t="shared" si="263"/>
        <v>0</v>
      </c>
      <c r="AF175" s="17">
        <f t="shared" si="263"/>
        <v>0</v>
      </c>
      <c r="AG175" s="17">
        <f t="shared" si="263"/>
        <v>0</v>
      </c>
      <c r="AH175" s="14">
        <f t="shared" si="263"/>
        <v>0</v>
      </c>
      <c r="AI175" s="14">
        <f t="shared" si="263"/>
        <v>0</v>
      </c>
      <c r="AJ175" s="14">
        <f t="shared" si="263"/>
        <v>0</v>
      </c>
      <c r="AK175" s="14">
        <f t="shared" si="263"/>
        <v>0</v>
      </c>
      <c r="AL175" s="14">
        <f t="shared" si="263"/>
        <v>0</v>
      </c>
      <c r="AM175" s="14">
        <f t="shared" si="263"/>
        <v>0</v>
      </c>
      <c r="AN175" s="14">
        <f t="shared" si="263"/>
        <v>0</v>
      </c>
      <c r="AO175" s="14">
        <f t="shared" si="263"/>
        <v>0</v>
      </c>
      <c r="AP175" s="14">
        <f t="shared" si="263"/>
        <v>0</v>
      </c>
      <c r="AQ175" s="180">
        <f t="shared" si="263"/>
        <v>0</v>
      </c>
      <c r="AR175" s="178">
        <f t="shared" si="263"/>
        <v>27785482</v>
      </c>
      <c r="AS175" s="17">
        <f t="shared" si="263"/>
        <v>20227578</v>
      </c>
      <c r="AT175" s="17">
        <f t="shared" si="263"/>
        <v>103350</v>
      </c>
      <c r="AU175" s="17">
        <f t="shared" si="263"/>
        <v>6871852</v>
      </c>
      <c r="AV175" s="17">
        <f t="shared" si="263"/>
        <v>404550</v>
      </c>
      <c r="AW175" s="17">
        <f t="shared" si="263"/>
        <v>178152</v>
      </c>
      <c r="AX175" s="14">
        <f t="shared" si="263"/>
        <v>63.889999999999993</v>
      </c>
      <c r="AY175" s="14">
        <f t="shared" si="263"/>
        <v>0</v>
      </c>
      <c r="AZ175" s="18">
        <f t="shared" si="263"/>
        <v>63.889999999999993</v>
      </c>
    </row>
    <row r="176" spans="1:52" s="99" customFormat="1" ht="12.95" customHeight="1" x14ac:dyDescent="0.25">
      <c r="D176" s="344"/>
      <c r="E176" s="345"/>
      <c r="F176" s="344"/>
      <c r="G176" s="346"/>
      <c r="H176" s="21">
        <v>3143</v>
      </c>
      <c r="I176" s="178">
        <f t="shared" ref="I176:AZ176" si="264">SUMIF($F$12:$F$462,"=3143",I$12:I$462)</f>
        <v>14190492</v>
      </c>
      <c r="J176" s="17">
        <f t="shared" si="264"/>
        <v>10143628</v>
      </c>
      <c r="K176" s="17">
        <f t="shared" si="264"/>
        <v>296790</v>
      </c>
      <c r="L176" s="17">
        <f t="shared" si="264"/>
        <v>3528861</v>
      </c>
      <c r="M176" s="17">
        <f t="shared" si="264"/>
        <v>202873</v>
      </c>
      <c r="N176" s="17">
        <f t="shared" si="264"/>
        <v>18340</v>
      </c>
      <c r="O176" s="14">
        <f t="shared" si="264"/>
        <v>22.376600000000003</v>
      </c>
      <c r="P176" s="14">
        <f t="shared" si="264"/>
        <v>21.1266</v>
      </c>
      <c r="Q176" s="14">
        <f t="shared" si="264"/>
        <v>1.2500000000000004</v>
      </c>
      <c r="R176" s="17">
        <f t="shared" si="264"/>
        <v>0</v>
      </c>
      <c r="S176" s="17">
        <f t="shared" si="264"/>
        <v>0</v>
      </c>
      <c r="T176" s="17">
        <f t="shared" si="264"/>
        <v>0</v>
      </c>
      <c r="U176" s="17">
        <f t="shared" si="264"/>
        <v>-13224</v>
      </c>
      <c r="V176" s="17">
        <f t="shared" si="264"/>
        <v>-13224</v>
      </c>
      <c r="W176" s="17">
        <f t="shared" si="264"/>
        <v>0</v>
      </c>
      <c r="X176" s="17">
        <f t="shared" si="264"/>
        <v>0</v>
      </c>
      <c r="Y176" s="17">
        <f t="shared" si="264"/>
        <v>0</v>
      </c>
      <c r="Z176" s="17">
        <f t="shared" si="264"/>
        <v>0</v>
      </c>
      <c r="AA176" s="17">
        <f t="shared" si="264"/>
        <v>-13224</v>
      </c>
      <c r="AB176" s="17">
        <f t="shared" si="264"/>
        <v>-4470</v>
      </c>
      <c r="AC176" s="17">
        <f t="shared" si="264"/>
        <v>-264</v>
      </c>
      <c r="AD176" s="17">
        <f t="shared" si="264"/>
        <v>0</v>
      </c>
      <c r="AE176" s="17">
        <f t="shared" si="264"/>
        <v>0</v>
      </c>
      <c r="AF176" s="17">
        <f t="shared" si="264"/>
        <v>0</v>
      </c>
      <c r="AG176" s="17">
        <f t="shared" si="264"/>
        <v>-17958</v>
      </c>
      <c r="AH176" s="14">
        <f t="shared" si="264"/>
        <v>0</v>
      </c>
      <c r="AI176" s="14">
        <f t="shared" si="264"/>
        <v>0</v>
      </c>
      <c r="AJ176" s="14">
        <f t="shared" si="264"/>
        <v>0</v>
      </c>
      <c r="AK176" s="14">
        <f t="shared" si="264"/>
        <v>0</v>
      </c>
      <c r="AL176" s="14">
        <f t="shared" si="264"/>
        <v>0</v>
      </c>
      <c r="AM176" s="14">
        <f t="shared" si="264"/>
        <v>-0.04</v>
      </c>
      <c r="AN176" s="14">
        <f t="shared" si="264"/>
        <v>0</v>
      </c>
      <c r="AO176" s="14">
        <f t="shared" si="264"/>
        <v>-0.04</v>
      </c>
      <c r="AP176" s="14">
        <f t="shared" si="264"/>
        <v>0</v>
      </c>
      <c r="AQ176" s="180">
        <f t="shared" si="264"/>
        <v>-0.04</v>
      </c>
      <c r="AR176" s="178">
        <f t="shared" si="264"/>
        <v>14172534</v>
      </c>
      <c r="AS176" s="17">
        <f t="shared" si="264"/>
        <v>10130404</v>
      </c>
      <c r="AT176" s="17">
        <f t="shared" si="264"/>
        <v>296790</v>
      </c>
      <c r="AU176" s="17">
        <f t="shared" si="264"/>
        <v>3524391</v>
      </c>
      <c r="AV176" s="17">
        <f t="shared" si="264"/>
        <v>202609</v>
      </c>
      <c r="AW176" s="17">
        <f t="shared" si="264"/>
        <v>18340</v>
      </c>
      <c r="AX176" s="14">
        <f t="shared" si="264"/>
        <v>22.336600000000004</v>
      </c>
      <c r="AY176" s="14">
        <f t="shared" si="264"/>
        <v>21.086599999999997</v>
      </c>
      <c r="AZ176" s="18">
        <f t="shared" si="264"/>
        <v>1.2500000000000004</v>
      </c>
    </row>
    <row r="177" spans="1:52" s="99" customFormat="1" ht="12.95" customHeight="1" x14ac:dyDescent="0.25">
      <c r="D177" s="344"/>
      <c r="E177" s="345"/>
      <c r="F177" s="344"/>
      <c r="G177" s="346"/>
      <c r="H177" s="21">
        <v>3231</v>
      </c>
      <c r="I177" s="178">
        <f t="shared" ref="I177:AZ177" si="265">SUMIF($F$12:$F$462,"=3231",I$12:I$462)</f>
        <v>31497246</v>
      </c>
      <c r="J177" s="17">
        <f t="shared" si="265"/>
        <v>23064636</v>
      </c>
      <c r="K177" s="17">
        <f t="shared" si="265"/>
        <v>49530</v>
      </c>
      <c r="L177" s="17">
        <f t="shared" si="265"/>
        <v>7812588</v>
      </c>
      <c r="M177" s="17">
        <f t="shared" si="265"/>
        <v>461292</v>
      </c>
      <c r="N177" s="17">
        <f t="shared" si="265"/>
        <v>109200</v>
      </c>
      <c r="O177" s="14">
        <f t="shared" si="265"/>
        <v>43.0197</v>
      </c>
      <c r="P177" s="14">
        <f t="shared" si="265"/>
        <v>38.052499999999995</v>
      </c>
      <c r="Q177" s="14">
        <f t="shared" si="265"/>
        <v>4.9672000000000001</v>
      </c>
      <c r="R177" s="17">
        <f t="shared" si="265"/>
        <v>0</v>
      </c>
      <c r="S177" s="17">
        <f t="shared" si="265"/>
        <v>0</v>
      </c>
      <c r="T177" s="17">
        <f t="shared" si="265"/>
        <v>0</v>
      </c>
      <c r="U177" s="17">
        <f t="shared" si="265"/>
        <v>0</v>
      </c>
      <c r="V177" s="17">
        <f t="shared" si="265"/>
        <v>0</v>
      </c>
      <c r="W177" s="17">
        <f t="shared" si="265"/>
        <v>0</v>
      </c>
      <c r="X177" s="17">
        <f t="shared" si="265"/>
        <v>0</v>
      </c>
      <c r="Y177" s="17">
        <f t="shared" si="265"/>
        <v>0</v>
      </c>
      <c r="Z177" s="17">
        <f t="shared" si="265"/>
        <v>0</v>
      </c>
      <c r="AA177" s="17">
        <f t="shared" si="265"/>
        <v>0</v>
      </c>
      <c r="AB177" s="17">
        <f t="shared" si="265"/>
        <v>0</v>
      </c>
      <c r="AC177" s="17">
        <f t="shared" si="265"/>
        <v>0</v>
      </c>
      <c r="AD177" s="17">
        <f t="shared" si="265"/>
        <v>0</v>
      </c>
      <c r="AE177" s="17">
        <f t="shared" si="265"/>
        <v>0</v>
      </c>
      <c r="AF177" s="17">
        <f t="shared" si="265"/>
        <v>0</v>
      </c>
      <c r="AG177" s="17">
        <f t="shared" si="265"/>
        <v>0</v>
      </c>
      <c r="AH177" s="14">
        <f t="shared" si="265"/>
        <v>0</v>
      </c>
      <c r="AI177" s="14">
        <f t="shared" si="265"/>
        <v>0</v>
      </c>
      <c r="AJ177" s="14">
        <f t="shared" si="265"/>
        <v>0</v>
      </c>
      <c r="AK177" s="14">
        <f t="shared" si="265"/>
        <v>0</v>
      </c>
      <c r="AL177" s="14">
        <f t="shared" si="265"/>
        <v>0</v>
      </c>
      <c r="AM177" s="14">
        <f t="shared" si="265"/>
        <v>0</v>
      </c>
      <c r="AN177" s="14">
        <f t="shared" si="265"/>
        <v>0</v>
      </c>
      <c r="AO177" s="14">
        <f t="shared" si="265"/>
        <v>0</v>
      </c>
      <c r="AP177" s="14">
        <f t="shared" si="265"/>
        <v>0</v>
      </c>
      <c r="AQ177" s="180">
        <f t="shared" si="265"/>
        <v>0</v>
      </c>
      <c r="AR177" s="178">
        <f t="shared" si="265"/>
        <v>31497246</v>
      </c>
      <c r="AS177" s="17">
        <f t="shared" si="265"/>
        <v>23064636</v>
      </c>
      <c r="AT177" s="17">
        <f t="shared" si="265"/>
        <v>49530</v>
      </c>
      <c r="AU177" s="17">
        <f t="shared" si="265"/>
        <v>7812588</v>
      </c>
      <c r="AV177" s="17">
        <f t="shared" si="265"/>
        <v>461292</v>
      </c>
      <c r="AW177" s="17">
        <f t="shared" si="265"/>
        <v>109200</v>
      </c>
      <c r="AX177" s="14">
        <f t="shared" si="265"/>
        <v>43.0197</v>
      </c>
      <c r="AY177" s="14">
        <f t="shared" si="265"/>
        <v>38.052499999999995</v>
      </c>
      <c r="AZ177" s="18">
        <f t="shared" si="265"/>
        <v>4.9672000000000001</v>
      </c>
    </row>
    <row r="178" spans="1:52" s="99" customFormat="1" ht="15.75" thickBot="1" x14ac:dyDescent="0.3">
      <c r="D178" s="344"/>
      <c r="E178" s="345"/>
      <c r="F178" s="344"/>
      <c r="G178" s="346"/>
      <c r="H178" s="149">
        <v>3233</v>
      </c>
      <c r="I178" s="181">
        <f t="shared" ref="I178:AZ178" si="266">SUMIF($F$12:$F$462,"=3233",I$12:I$462)</f>
        <v>6698209</v>
      </c>
      <c r="J178" s="182">
        <f t="shared" si="266"/>
        <v>4907298</v>
      </c>
      <c r="K178" s="182">
        <f t="shared" si="266"/>
        <v>19500</v>
      </c>
      <c r="L178" s="182">
        <f t="shared" si="266"/>
        <v>1665258</v>
      </c>
      <c r="M178" s="182">
        <f t="shared" si="266"/>
        <v>98145</v>
      </c>
      <c r="N178" s="182">
        <f t="shared" si="266"/>
        <v>8008</v>
      </c>
      <c r="O178" s="183">
        <f t="shared" si="266"/>
        <v>10.75</v>
      </c>
      <c r="P178" s="183">
        <f t="shared" si="266"/>
        <v>7.09</v>
      </c>
      <c r="Q178" s="183">
        <f t="shared" si="266"/>
        <v>3.66</v>
      </c>
      <c r="R178" s="182">
        <f t="shared" si="266"/>
        <v>0</v>
      </c>
      <c r="S178" s="182">
        <f t="shared" si="266"/>
        <v>0</v>
      </c>
      <c r="T178" s="182">
        <f t="shared" si="266"/>
        <v>0</v>
      </c>
      <c r="U178" s="182">
        <f t="shared" si="266"/>
        <v>0</v>
      </c>
      <c r="V178" s="182">
        <f t="shared" si="266"/>
        <v>0</v>
      </c>
      <c r="W178" s="182">
        <f t="shared" si="266"/>
        <v>0</v>
      </c>
      <c r="X178" s="182">
        <f t="shared" si="266"/>
        <v>0</v>
      </c>
      <c r="Y178" s="182">
        <f t="shared" si="266"/>
        <v>0</v>
      </c>
      <c r="Z178" s="182">
        <f t="shared" si="266"/>
        <v>0</v>
      </c>
      <c r="AA178" s="182">
        <f t="shared" si="266"/>
        <v>0</v>
      </c>
      <c r="AB178" s="182">
        <f t="shared" si="266"/>
        <v>0</v>
      </c>
      <c r="AC178" s="182">
        <f t="shared" si="266"/>
        <v>0</v>
      </c>
      <c r="AD178" s="182">
        <f t="shared" si="266"/>
        <v>0</v>
      </c>
      <c r="AE178" s="182">
        <f t="shared" si="266"/>
        <v>47047</v>
      </c>
      <c r="AF178" s="182">
        <f t="shared" si="266"/>
        <v>47047</v>
      </c>
      <c r="AG178" s="182">
        <f t="shared" si="266"/>
        <v>47047</v>
      </c>
      <c r="AH178" s="183">
        <f t="shared" si="266"/>
        <v>0</v>
      </c>
      <c r="AI178" s="183">
        <f t="shared" si="266"/>
        <v>0</v>
      </c>
      <c r="AJ178" s="183">
        <f t="shared" si="266"/>
        <v>0</v>
      </c>
      <c r="AK178" s="183">
        <f t="shared" si="266"/>
        <v>0</v>
      </c>
      <c r="AL178" s="183">
        <f t="shared" si="266"/>
        <v>0</v>
      </c>
      <c r="AM178" s="183">
        <f t="shared" si="266"/>
        <v>0</v>
      </c>
      <c r="AN178" s="183">
        <f t="shared" si="266"/>
        <v>0</v>
      </c>
      <c r="AO178" s="183">
        <f t="shared" si="266"/>
        <v>0</v>
      </c>
      <c r="AP178" s="183">
        <f t="shared" si="266"/>
        <v>0</v>
      </c>
      <c r="AQ178" s="186">
        <f t="shared" si="266"/>
        <v>0</v>
      </c>
      <c r="AR178" s="181">
        <f t="shared" si="266"/>
        <v>6745256</v>
      </c>
      <c r="AS178" s="182">
        <f t="shared" si="266"/>
        <v>4907298</v>
      </c>
      <c r="AT178" s="182">
        <f t="shared" si="266"/>
        <v>19500</v>
      </c>
      <c r="AU178" s="182">
        <f t="shared" si="266"/>
        <v>1665258</v>
      </c>
      <c r="AV178" s="182">
        <f t="shared" si="266"/>
        <v>98145</v>
      </c>
      <c r="AW178" s="182">
        <f t="shared" si="266"/>
        <v>55055</v>
      </c>
      <c r="AX178" s="183">
        <f t="shared" si="266"/>
        <v>10.75</v>
      </c>
      <c r="AY178" s="183">
        <f t="shared" si="266"/>
        <v>7.09</v>
      </c>
      <c r="AZ178" s="184">
        <f t="shared" si="266"/>
        <v>3.66</v>
      </c>
    </row>
    <row r="180" spans="1:52" s="347" customFormat="1" x14ac:dyDescent="0.25">
      <c r="A180" s="341"/>
      <c r="B180" s="283"/>
      <c r="C180" s="375"/>
      <c r="D180" s="283"/>
      <c r="E180" s="283"/>
      <c r="F180" s="283"/>
      <c r="G180" s="283"/>
      <c r="H180" s="283"/>
      <c r="O180" s="348"/>
      <c r="P180" s="348"/>
      <c r="Q180" s="348"/>
      <c r="AH180" s="348"/>
      <c r="AI180" s="348"/>
      <c r="AJ180" s="348"/>
      <c r="AK180" s="348"/>
      <c r="AL180" s="348"/>
      <c r="AM180" s="348"/>
      <c r="AN180" s="348"/>
      <c r="AO180" s="348"/>
      <c r="AP180" s="348"/>
      <c r="AQ180" s="348"/>
      <c r="AX180" s="348"/>
      <c r="AY180" s="348"/>
      <c r="AZ180" s="348"/>
    </row>
  </sheetData>
  <mergeCells count="25">
    <mergeCell ref="A3:E3"/>
    <mergeCell ref="AC7:AC10"/>
    <mergeCell ref="AK8:AL9"/>
    <mergeCell ref="I6:Q7"/>
    <mergeCell ref="I8:I10"/>
    <mergeCell ref="J8:N9"/>
    <mergeCell ref="O8:O10"/>
    <mergeCell ref="P8:Q9"/>
    <mergeCell ref="R6:AQ6"/>
    <mergeCell ref="AH7:AQ7"/>
    <mergeCell ref="AM8:AN9"/>
    <mergeCell ref="AO8:AQ9"/>
    <mergeCell ref="AG7:AG10"/>
    <mergeCell ref="AH8:AI9"/>
    <mergeCell ref="AJ8:AJ9"/>
    <mergeCell ref="AR6:AZ7"/>
    <mergeCell ref="R7:V9"/>
    <mergeCell ref="W7:Z9"/>
    <mergeCell ref="AA7:AA10"/>
    <mergeCell ref="AB7:AB10"/>
    <mergeCell ref="AD7:AF9"/>
    <mergeCell ref="AR8:AR10"/>
    <mergeCell ref="AS8:AW9"/>
    <mergeCell ref="AX8:AX10"/>
    <mergeCell ref="AY8:AZ9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</vt:i4>
      </vt:variant>
    </vt:vector>
  </HeadingPairs>
  <TitlesOfParts>
    <vt:vector size="15" baseType="lpstr">
      <vt:lpstr>komentář</vt:lpstr>
      <vt:lpstr>LB</vt:lpstr>
      <vt:lpstr>FR</vt:lpstr>
      <vt:lpstr>JN</vt:lpstr>
      <vt:lpstr>TA</vt:lpstr>
      <vt:lpstr>ŽB</vt:lpstr>
      <vt:lpstr>ČL</vt:lpstr>
      <vt:lpstr>NB</vt:lpstr>
      <vt:lpstr>SM</vt:lpstr>
      <vt:lpstr>JI</vt:lpstr>
      <vt:lpstr>TU</vt:lpstr>
      <vt:lpstr>sumář</vt:lpstr>
      <vt:lpstr>FR!Názvy_tisku</vt:lpstr>
      <vt:lpstr>LB!Názvy_tisku</vt:lpstr>
      <vt:lpstr>komentář!Oblast_tisku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2023-04-19T12:14:16Z</cp:lastPrinted>
  <dcterms:created xsi:type="dcterms:W3CDTF">2009-03-06T07:28:09Z</dcterms:created>
  <dcterms:modified xsi:type="dcterms:W3CDTF">2023-04-20T07:53:59Z</dcterms:modified>
</cp:coreProperties>
</file>