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83" documentId="11_765FE73C9D251851DEB3C5D9EA5D480BD5BB06A2" xr6:coauthVersionLast="47" xr6:coauthVersionMax="47" xr10:uidLastSave="{5F105212-0938-46B5-A8F3-3EC516E64461}"/>
  <bookViews>
    <workbookView xWindow="-120" yWindow="-120" windowWidth="29040" windowHeight="15840" activeTab="2" xr2:uid="{00000000-000D-0000-FFFF-FFFF00000000}"/>
  </bookViews>
  <sheets>
    <sheet name="DD_stat" sheetId="41" r:id="rId1"/>
    <sheet name="DD_rozp" sheetId="42" r:id="rId2"/>
    <sheet name="DD_ZUKA" sheetId="27" r:id="rId3"/>
    <sheet name="DD_normativy" sheetId="39" r:id="rId4"/>
  </sheets>
  <definedNames>
    <definedName name="_xlnm.Print_Area" localSheetId="0">DD_stat!$A$1:$I$16</definedName>
    <definedName name="_xlnm.Print_Area" localSheetId="2">DD_ZUKA!$A$1:$V$15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2" l="1"/>
  <c r="Q8" i="42"/>
  <c r="Q9" i="42"/>
  <c r="Q10" i="42"/>
  <c r="Q11" i="42"/>
  <c r="Q12" i="42"/>
  <c r="Q6" i="42"/>
  <c r="F25" i="27"/>
  <c r="F12" i="41" l="1"/>
  <c r="U12" i="27" s="1"/>
  <c r="F11" i="41"/>
  <c r="F8" i="41"/>
  <c r="U8" i="27" s="1"/>
  <c r="F9" i="41"/>
  <c r="U9" i="27" s="1"/>
  <c r="F10" i="41"/>
  <c r="F7" i="41"/>
  <c r="U7" i="27" s="1"/>
  <c r="F6" i="41"/>
  <c r="U6" i="27" s="1"/>
  <c r="U10" i="27" l="1"/>
  <c r="U11" i="27"/>
  <c r="G7" i="41"/>
  <c r="P7" i="27" s="1"/>
  <c r="H7" i="41"/>
  <c r="R7" i="27" s="1"/>
  <c r="G8" i="41"/>
  <c r="P8" i="27" s="1"/>
  <c r="H8" i="41"/>
  <c r="R8" i="27" s="1"/>
  <c r="G9" i="41"/>
  <c r="P9" i="27" s="1"/>
  <c r="H9" i="41"/>
  <c r="R9" i="27" s="1"/>
  <c r="G10" i="41"/>
  <c r="P10" i="27" s="1"/>
  <c r="H10" i="41"/>
  <c r="R10" i="27" s="1"/>
  <c r="G11" i="41"/>
  <c r="P11" i="27" s="1"/>
  <c r="H11" i="41"/>
  <c r="R11" i="27" s="1"/>
  <c r="G12" i="41"/>
  <c r="H12" i="41"/>
  <c r="R12" i="27" s="1"/>
  <c r="H6" i="41"/>
  <c r="R6" i="27" s="1"/>
  <c r="G6" i="41"/>
  <c r="P6" i="27" s="1"/>
  <c r="I12" i="41"/>
  <c r="I12" i="27" s="1"/>
  <c r="S7" i="42"/>
  <c r="S8" i="42"/>
  <c r="S9" i="42"/>
  <c r="S10" i="42"/>
  <c r="S11" i="42"/>
  <c r="S12" i="42"/>
  <c r="S6" i="42"/>
  <c r="D7" i="27"/>
  <c r="D8" i="27"/>
  <c r="D9" i="27"/>
  <c r="D10" i="27"/>
  <c r="D11" i="27"/>
  <c r="D12" i="27"/>
  <c r="C7" i="27"/>
  <c r="C8" i="27"/>
  <c r="C9" i="27"/>
  <c r="C10" i="27"/>
  <c r="C11" i="27"/>
  <c r="C12" i="27"/>
  <c r="A7" i="27"/>
  <c r="B7" i="27"/>
  <c r="A8" i="27"/>
  <c r="B8" i="27"/>
  <c r="A9" i="27"/>
  <c r="B9" i="27"/>
  <c r="A10" i="27"/>
  <c r="B10" i="27"/>
  <c r="A11" i="27"/>
  <c r="B11" i="27"/>
  <c r="A12" i="27"/>
  <c r="B12" i="27"/>
  <c r="D6" i="27"/>
  <c r="C6" i="27"/>
  <c r="B6" i="27"/>
  <c r="A6" i="27"/>
  <c r="A7" i="42"/>
  <c r="B7" i="42"/>
  <c r="C7" i="42"/>
  <c r="D7" i="42"/>
  <c r="A8" i="42"/>
  <c r="B8" i="42"/>
  <c r="C8" i="42"/>
  <c r="D8" i="42"/>
  <c r="A9" i="42"/>
  <c r="B9" i="42"/>
  <c r="C9" i="42"/>
  <c r="D9" i="42"/>
  <c r="A10" i="42"/>
  <c r="B10" i="42"/>
  <c r="C10" i="42"/>
  <c r="D10" i="42"/>
  <c r="A11" i="42"/>
  <c r="B11" i="42"/>
  <c r="C11" i="42"/>
  <c r="D11" i="42"/>
  <c r="A12" i="42"/>
  <c r="B12" i="42"/>
  <c r="C12" i="42"/>
  <c r="D12" i="42"/>
  <c r="D6" i="42"/>
  <c r="C6" i="42"/>
  <c r="B6" i="42"/>
  <c r="A6" i="42"/>
  <c r="B4" i="27"/>
  <c r="B2" i="27"/>
  <c r="B1" i="27"/>
  <c r="B4" i="42"/>
  <c r="B2" i="42"/>
  <c r="B1" i="42"/>
  <c r="M13" i="42"/>
  <c r="E13" i="41"/>
  <c r="B13" i="27"/>
  <c r="I10" i="41"/>
  <c r="I10" i="27" s="1"/>
  <c r="I6" i="41"/>
  <c r="I6" i="27" s="1"/>
  <c r="I9" i="41"/>
  <c r="I9" i="27" s="1"/>
  <c r="I7" i="41"/>
  <c r="I7" i="27" s="1"/>
  <c r="I11" i="41"/>
  <c r="I11" i="27" s="1"/>
  <c r="I8" i="41"/>
  <c r="I8" i="27" s="1"/>
  <c r="G6" i="42"/>
  <c r="G7" i="42"/>
  <c r="G9" i="42"/>
  <c r="P9" i="42"/>
  <c r="G8" i="42"/>
  <c r="E9" i="42"/>
  <c r="E8" i="42"/>
  <c r="E6" i="42"/>
  <c r="P11" i="42"/>
  <c r="P10" i="42"/>
  <c r="P7" i="42"/>
  <c r="I7" i="42" s="1"/>
  <c r="P12" i="42"/>
  <c r="E11" i="42"/>
  <c r="E10" i="42"/>
  <c r="E7" i="42"/>
  <c r="E12" i="42"/>
  <c r="P8" i="42"/>
  <c r="P6" i="42"/>
  <c r="G11" i="42"/>
  <c r="L11" i="27" s="1"/>
  <c r="N11" i="27" s="1"/>
  <c r="G12" i="42"/>
  <c r="G10" i="42"/>
  <c r="I9" i="42" l="1"/>
  <c r="H6" i="42"/>
  <c r="P12" i="27"/>
  <c r="Q12" i="27" s="1"/>
  <c r="I13" i="27"/>
  <c r="L9" i="27"/>
  <c r="N9" i="27" s="1"/>
  <c r="I8" i="42"/>
  <c r="H12" i="42"/>
  <c r="I10" i="42"/>
  <c r="H7" i="42"/>
  <c r="J7" i="42" s="1"/>
  <c r="I11" i="42"/>
  <c r="H10" i="42"/>
  <c r="H11" i="42"/>
  <c r="H8" i="42"/>
  <c r="I6" i="42"/>
  <c r="J6" i="42" s="1"/>
  <c r="I12" i="42"/>
  <c r="H9" i="42"/>
  <c r="L8" i="27"/>
  <c r="N8" i="27" s="1"/>
  <c r="L12" i="27"/>
  <c r="N12" i="27" s="1"/>
  <c r="L10" i="27"/>
  <c r="N10" i="27" s="1"/>
  <c r="L7" i="27"/>
  <c r="N7" i="27" s="1"/>
  <c r="S12" i="27"/>
  <c r="L6" i="27"/>
  <c r="N6" i="27" s="1"/>
  <c r="J9" i="42" l="1"/>
  <c r="J8" i="42"/>
  <c r="K8" i="42" s="1"/>
  <c r="L8" i="42" s="1"/>
  <c r="N8" i="42" s="1"/>
  <c r="E8" i="27" s="1"/>
  <c r="F8" i="27" s="1"/>
  <c r="J12" i="42"/>
  <c r="K12" i="42" s="1"/>
  <c r="K7" i="42"/>
  <c r="L7" i="42" s="1"/>
  <c r="N7" i="42" s="1"/>
  <c r="E7" i="27" s="1"/>
  <c r="F7" i="27" s="1"/>
  <c r="K9" i="42"/>
  <c r="L9" i="42" s="1"/>
  <c r="N9" i="42" s="1"/>
  <c r="E9" i="27" s="1"/>
  <c r="F9" i="27" s="1"/>
  <c r="J11" i="42"/>
  <c r="K11" i="42" s="1"/>
  <c r="L11" i="42" s="1"/>
  <c r="R13" i="27"/>
  <c r="Q9" i="27"/>
  <c r="S9" i="27"/>
  <c r="N13" i="27"/>
  <c r="J10" i="42"/>
  <c r="Q10" i="27"/>
  <c r="S10" i="27"/>
  <c r="Q6" i="27"/>
  <c r="S6" i="27"/>
  <c r="P13" i="27"/>
  <c r="Q8" i="27"/>
  <c r="S8" i="27"/>
  <c r="I13" i="42"/>
  <c r="S7" i="27"/>
  <c r="Q7" i="27"/>
  <c r="S11" i="27"/>
  <c r="Q11" i="27"/>
  <c r="H9" i="27" l="1"/>
  <c r="G9" i="27" s="1"/>
  <c r="H7" i="27"/>
  <c r="G7" i="27" s="1"/>
  <c r="H8" i="27"/>
  <c r="G8" i="27" s="1"/>
  <c r="L12" i="42"/>
  <c r="N12" i="42" s="1"/>
  <c r="E12" i="27" s="1"/>
  <c r="F12" i="27" s="1"/>
  <c r="F12" i="42"/>
  <c r="K12" i="27" s="1"/>
  <c r="M12" i="27" s="1"/>
  <c r="J12" i="27" s="1"/>
  <c r="F8" i="42"/>
  <c r="K8" i="27" s="1"/>
  <c r="M8" i="27" s="1"/>
  <c r="J8" i="27" s="1"/>
  <c r="F7" i="42"/>
  <c r="K7" i="27" s="1"/>
  <c r="M7" i="27" s="1"/>
  <c r="O7" i="27" s="1"/>
  <c r="K10" i="42"/>
  <c r="L10" i="42" s="1"/>
  <c r="N10" i="42" s="1"/>
  <c r="E10" i="27" s="1"/>
  <c r="F9" i="42"/>
  <c r="K9" i="27" s="1"/>
  <c r="M9" i="27" s="1"/>
  <c r="N11" i="42"/>
  <c r="E11" i="27" s="1"/>
  <c r="F11" i="27" s="1"/>
  <c r="F11" i="42"/>
  <c r="K11" i="27" s="1"/>
  <c r="M11" i="27" s="1"/>
  <c r="S13" i="27"/>
  <c r="J7" i="27" l="1"/>
  <c r="H11" i="27"/>
  <c r="G11" i="27" s="1"/>
  <c r="H12" i="27"/>
  <c r="G12" i="27" s="1"/>
  <c r="O12" i="27"/>
  <c r="F10" i="27"/>
  <c r="O9" i="27"/>
  <c r="J9" i="27"/>
  <c r="F10" i="42"/>
  <c r="K10" i="27" s="1"/>
  <c r="O8" i="27"/>
  <c r="J11" i="27"/>
  <c r="O11" i="27"/>
  <c r="H10" i="27" l="1"/>
  <c r="G10" i="27" s="1"/>
  <c r="M10" i="27"/>
  <c r="J10" i="27" s="1"/>
  <c r="H13" i="42"/>
  <c r="K6" i="42"/>
  <c r="L6" i="42" s="1"/>
  <c r="O10" i="27" l="1"/>
  <c r="K13" i="42"/>
  <c r="L13" i="42"/>
  <c r="N6" i="42"/>
  <c r="F6" i="42"/>
  <c r="K6" i="27" s="1"/>
  <c r="M6" i="27" s="1"/>
  <c r="O6" i="27" l="1"/>
  <c r="O13" i="27" s="1"/>
  <c r="J6" i="27"/>
  <c r="M13" i="27"/>
  <c r="N13" i="42"/>
  <c r="E6" i="27"/>
  <c r="J13" i="27" l="1"/>
  <c r="S14" i="27" s="1"/>
  <c r="E13" i="27"/>
  <c r="F6" i="27"/>
  <c r="F13" i="27" l="1"/>
  <c r="H6" i="27"/>
  <c r="H13" i="27" s="1"/>
  <c r="G6" i="27" l="1"/>
  <c r="G13" i="27" s="1"/>
  <c r="E14" i="27" s="1"/>
  <c r="H14" i="27"/>
  <c r="O14" i="27"/>
</calcChain>
</file>

<file path=xl/sharedStrings.xml><?xml version="1.0" encoding="utf-8"?>
<sst xmlns="http://schemas.openxmlformats.org/spreadsheetml/2006/main" count="110" uniqueCount="80">
  <si>
    <t xml:space="preserve">Dětské domovy </t>
  </si>
  <si>
    <t>KRAJ - Liberecký</t>
  </si>
  <si>
    <t>Statistické údaje</t>
  </si>
  <si>
    <t>číselník KÚ</t>
  </si>
  <si>
    <t>ředitelství školy</t>
  </si>
  <si>
    <t>§</t>
  </si>
  <si>
    <t>součást</t>
  </si>
  <si>
    <t>skupiny</t>
  </si>
  <si>
    <t>upravený normativ</t>
  </si>
  <si>
    <t>Np</t>
  </si>
  <si>
    <t>No</t>
  </si>
  <si>
    <t>ONIV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</si>
  <si>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</si>
  <si>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</si>
  <si>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</si>
  <si>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</si>
  <si>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</si>
  <si>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</si>
  <si>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</si>
  <si>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</si>
  <si>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</si>
  <si>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</si>
  <si>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Frýdlant, Větrov 3005</t>
  </si>
  <si>
    <t>DD, Frýdlant, Větrov 3005</t>
  </si>
  <si>
    <t>Dětský domov, Semily, Nad školami 480</t>
  </si>
  <si>
    <t>DD, Semily, Nad školami 480</t>
  </si>
  <si>
    <t>x</t>
  </si>
  <si>
    <t>celkem</t>
  </si>
  <si>
    <t>Rozpočet</t>
  </si>
  <si>
    <t>Průměrný krajský měsíční plat ped. z P1-04</t>
  </si>
  <si>
    <t>Použitý měsíční plat pedagoga</t>
  </si>
  <si>
    <t>Použitý měsíční plat nepedagoga z P1-04</t>
  </si>
  <si>
    <t xml:space="preserve">Částka na 1 skupinu z průměrného platu </t>
  </si>
  <si>
    <t>Částka na 1 skupinu  ze skutečného platu</t>
  </si>
  <si>
    <t>Opravný koeficient</t>
  </si>
  <si>
    <t>Základní částka na 1 skupinu</t>
  </si>
  <si>
    <t>Finance pro DD</t>
  </si>
  <si>
    <t xml:space="preserve">Příplatek </t>
  </si>
  <si>
    <t>Celkem NIV</t>
  </si>
  <si>
    <t xml:space="preserve">Skutečný průměrný plat s NNS </t>
  </si>
  <si>
    <t>průměrný plat bez NNS</t>
  </si>
  <si>
    <t>z toho tarify</t>
  </si>
  <si>
    <t>ostatní nárok.složky</t>
  </si>
  <si>
    <t>Závazné ukazatele</t>
  </si>
  <si>
    <t>kontrolní hodnoty</t>
  </si>
  <si>
    <t>NIV celkem</t>
  </si>
  <si>
    <t>mzdové prostředky</t>
  </si>
  <si>
    <t>odvody</t>
  </si>
  <si>
    <t>FKSP</t>
  </si>
  <si>
    <t>ONIV celkem</t>
  </si>
  <si>
    <t>limit pracovníků</t>
  </si>
  <si>
    <t>částka na 1 klienta na pedagoga</t>
  </si>
  <si>
    <t xml:space="preserve">částka na 1 klienta na nepedagoga </t>
  </si>
  <si>
    <t>MP pro pedagogy</t>
  </si>
  <si>
    <t>MP pro nepedagogy</t>
  </si>
  <si>
    <t>MP celkem</t>
  </si>
  <si>
    <t>Pn</t>
  </si>
  <si>
    <t>pedagogů na rodinu</t>
  </si>
  <si>
    <t>On</t>
  </si>
  <si>
    <t>kontrolní hodnota LP</t>
  </si>
  <si>
    <t>UPRAVENÉ výkony</t>
  </si>
  <si>
    <t>DD</t>
  </si>
  <si>
    <t>DM</t>
  </si>
  <si>
    <t>PPP</t>
  </si>
  <si>
    <t>ŠD</t>
  </si>
  <si>
    <t>ŠJ</t>
  </si>
  <si>
    <t>SPC</t>
  </si>
  <si>
    <t>ROZPOČET</t>
  </si>
  <si>
    <t>krajská zařízení pro výkon ústavní výchovy</t>
  </si>
  <si>
    <t>průměrný měsíční plat pedagoga</t>
  </si>
  <si>
    <t>rodinná skupina</t>
  </si>
  <si>
    <t>z toho nenároková složka pedagoga</t>
  </si>
  <si>
    <t>§ 1, písm. k) vyhlášky č. 310/2018 Sb., o krajských normativech</t>
  </si>
  <si>
    <t>průměrný měsíční plat nepedagoga</t>
  </si>
  <si>
    <t>ONIV normativně/1 skupina</t>
  </si>
  <si>
    <t>DĚTSKÉ DOMOVY - koeficienty</t>
  </si>
  <si>
    <t>§ 4, odst. 3 vyhlášky č. 310/2018 Sb., o krajských normativech</t>
  </si>
  <si>
    <t>Počet rodinných skupin</t>
  </si>
  <si>
    <t>koeficient</t>
  </si>
  <si>
    <t>normativ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</si>
</sst>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#,##0.00000"/>
    <numFmt numFmtId="167" formatCode="0.0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sz val="8"/>
      <name val="Arial CE"/>
      <charset val="238"/>
    </font>
    <font>
      <sz val="10"/>
      <color indexed="9"/>
      <name val="Arial CE"/>
      <charset val="238"/>
    </font>
    <font>
      <sz val="8"/>
      <color indexed="9"/>
      <name val="Arial CE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Garamond"/>
      <family val="1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8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ahoma"/>
      <family val="2"/>
      <charset val="238"/>
    </font>
    <font>
      <sz val="10"/>
      <color rgb="FFFF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11" fillId="0" borderId="0"/>
    <xf numFmtId="0" fontId="1" fillId="0" borderId="0"/>
    <xf numFmtId="0" fontId="26" fillId="0" borderId="0"/>
    <xf numFmtId="0" fontId="24" fillId="0" borderId="0"/>
    <xf numFmtId="0" fontId="23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2" fontId="2" fillId="0" borderId="2" xfId="0" applyNumberFormat="1" applyFont="1" applyBorder="1"/>
    <xf numFmtId="3" fontId="2" fillId="0" borderId="0" xfId="0" applyNumberFormat="1" applyFont="1"/>
    <xf numFmtId="3" fontId="3" fillId="0" borderId="0" xfId="0" applyNumberFormat="1" applyFont="1" applyAlignment="1">
      <alignment horizontal="center" vertical="center" textRotation="90" wrapText="1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4" fontId="2" fillId="0" borderId="2" xfId="0" applyNumberFormat="1" applyFont="1" applyBorder="1"/>
    <xf numFmtId="3" fontId="5" fillId="0" borderId="0" xfId="0" applyNumberFormat="1" applyFont="1"/>
    <xf numFmtId="3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9" fillId="0" borderId="2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14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9" fillId="2" borderId="2" xfId="0" applyFont="1" applyFill="1" applyBorder="1"/>
    <xf numFmtId="0" fontId="12" fillId="2" borderId="2" xfId="0" applyFont="1" applyFill="1" applyBorder="1"/>
    <xf numFmtId="3" fontId="6" fillId="0" borderId="0" xfId="0" applyNumberFormat="1" applyFont="1"/>
    <xf numFmtId="0" fontId="6" fillId="0" borderId="0" xfId="0" applyFont="1" applyAlignment="1">
      <alignment horizontal="right"/>
    </xf>
    <xf numFmtId="3" fontId="9" fillId="0" borderId="2" xfId="0" applyNumberFormat="1" applyFont="1" applyBorder="1"/>
    <xf numFmtId="0" fontId="12" fillId="2" borderId="2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right"/>
    </xf>
    <xf numFmtId="3" fontId="9" fillId="0" borderId="0" xfId="0" applyNumberFormat="1" applyFont="1"/>
    <xf numFmtId="3" fontId="12" fillId="2" borderId="2" xfId="0" applyNumberFormat="1" applyFont="1" applyFill="1" applyBorder="1" applyAlignment="1">
      <alignment horizontal="center"/>
    </xf>
    <xf numFmtId="2" fontId="6" fillId="0" borderId="0" xfId="0" applyNumberFormat="1" applyFont="1"/>
    <xf numFmtId="3" fontId="13" fillId="0" borderId="0" xfId="0" applyNumberFormat="1" applyFont="1"/>
    <xf numFmtId="3" fontId="14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2" xfId="0" applyNumberFormat="1" applyFont="1" applyFill="1" applyBorder="1"/>
    <xf numFmtId="4" fontId="4" fillId="2" borderId="2" xfId="0" applyNumberFormat="1" applyFont="1" applyFill="1" applyBorder="1"/>
    <xf numFmtId="3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center"/>
    </xf>
    <xf numFmtId="0" fontId="15" fillId="0" borderId="0" xfId="0" applyFont="1"/>
    <xf numFmtId="164" fontId="9" fillId="0" borderId="2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/>
    <xf numFmtId="0" fontId="9" fillId="0" borderId="2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4" fontId="2" fillId="0" borderId="0" xfId="0" applyNumberFormat="1" applyFont="1"/>
    <xf numFmtId="0" fontId="9" fillId="3" borderId="0" xfId="0" applyFont="1" applyFill="1"/>
    <xf numFmtId="165" fontId="15" fillId="0" borderId="0" xfId="0" applyNumberFormat="1" applyFont="1"/>
    <xf numFmtId="0" fontId="27" fillId="0" borderId="0" xfId="0" applyFont="1"/>
    <xf numFmtId="0" fontId="1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3" xfId="0" applyFont="1" applyBorder="1"/>
    <xf numFmtId="0" fontId="11" fillId="0" borderId="3" xfId="0" applyFont="1" applyBorder="1"/>
    <xf numFmtId="3" fontId="11" fillId="0" borderId="1" xfId="0" applyNumberFormat="1" applyFont="1" applyBorder="1"/>
    <xf numFmtId="3" fontId="11" fillId="0" borderId="2" xfId="6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/>
    <xf numFmtId="3" fontId="22" fillId="0" borderId="1" xfId="0" applyNumberFormat="1" applyFont="1" applyBorder="1"/>
    <xf numFmtId="164" fontId="23" fillId="0" borderId="2" xfId="5" applyNumberFormat="1" applyBorder="1" applyAlignment="1">
      <alignment horizontal="right"/>
    </xf>
    <xf numFmtId="0" fontId="25" fillId="0" borderId="0" xfId="3" applyFont="1"/>
    <xf numFmtId="10" fontId="9" fillId="0" borderId="1" xfId="0" applyNumberFormat="1" applyFont="1" applyBorder="1"/>
    <xf numFmtId="0" fontId="21" fillId="3" borderId="1" xfId="0" applyFont="1" applyFill="1" applyBorder="1" applyAlignment="1">
      <alignment horizontal="left"/>
    </xf>
    <xf numFmtId="0" fontId="25" fillId="0" borderId="0" xfId="0" applyFont="1"/>
    <xf numFmtId="0" fontId="23" fillId="0" borderId="1" xfId="0" applyFont="1" applyBorder="1"/>
    <xf numFmtId="164" fontId="23" fillId="4" borderId="1" xfId="0" applyNumberFormat="1" applyFont="1" applyFill="1" applyBorder="1"/>
    <xf numFmtId="166" fontId="2" fillId="0" borderId="2" xfId="0" applyNumberFormat="1" applyFont="1" applyBorder="1"/>
    <xf numFmtId="167" fontId="9" fillId="0" borderId="2" xfId="0" applyNumberFormat="1" applyFont="1" applyBorder="1"/>
    <xf numFmtId="3" fontId="4" fillId="0" borderId="0" xfId="0" applyNumberFormat="1" applyFont="1"/>
    <xf numFmtId="10" fontId="15" fillId="0" borderId="0" xfId="0" applyNumberFormat="1" applyFont="1"/>
    <xf numFmtId="0" fontId="11" fillId="5" borderId="0" xfId="0" applyFont="1" applyFill="1"/>
    <xf numFmtId="3" fontId="11" fillId="3" borderId="1" xfId="0" applyNumberFormat="1" applyFont="1" applyFill="1" applyBorder="1"/>
    <xf numFmtId="0" fontId="9" fillId="3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 5" xfId="4" xr:uid="{00000000-0005-0000-0000-000004000000}"/>
    <cellStyle name="normální_13_ostatní" xfId="5" xr:uid="{00000000-0005-0000-0000-000005000000}"/>
    <cellStyle name="normální_Soustava_KNLK_priloha1_200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3" sqref="E23"/>
    </sheetView>
  </sheetViews>
  <sheetFormatPr defaultColWidth="11.28515625" defaultRowHeight="18" customHeight="1" x14ac:dyDescent="0.2"/>
  <cols>
    <col min="1" max="1" width="7.140625" style="19" customWidth="1"/>
    <col min="2" max="2" width="37.5703125" style="19" customWidth="1"/>
    <col min="3" max="3" width="7.140625" style="21" customWidth="1"/>
    <col min="4" max="4" width="31.85546875" style="19" customWidth="1"/>
    <col min="5" max="8" width="11.28515625" style="19" customWidth="1"/>
    <col min="9" max="9" width="11.28515625" style="41" customWidth="1"/>
    <col min="10" max="21" width="7.7109375" style="19" customWidth="1"/>
    <col min="22" max="16384" width="11.28515625" style="19"/>
  </cols>
  <sheetData>
    <row r="1" spans="1:21" ht="21" customHeight="1" x14ac:dyDescent="0.25">
      <c r="B1" s="73" t="s">
        <v>0</v>
      </c>
    </row>
    <row r="2" spans="1:21" ht="15" customHeight="1" x14ac:dyDescent="0.25">
      <c r="B2" s="67" t="s">
        <v>1</v>
      </c>
    </row>
    <row r="3" spans="1:21" ht="15" customHeight="1" x14ac:dyDescent="0.25">
      <c r="B3" s="67" t="s">
        <v>2</v>
      </c>
    </row>
    <row r="4" spans="1:21" ht="15" customHeight="1" x14ac:dyDescent="0.25">
      <c r="B4" s="69">
        <v>2023</v>
      </c>
      <c r="C4" s="24"/>
      <c r="E4" s="77">
        <v>2023</v>
      </c>
      <c r="F4" s="77"/>
    </row>
    <row r="5" spans="1:21" ht="21.75" customHeight="1" x14ac:dyDescent="0.2">
      <c r="A5" s="53" t="s">
        <v>3</v>
      </c>
      <c r="B5" s="54" t="s">
        <v>4</v>
      </c>
      <c r="C5" s="53" t="s">
        <v>5</v>
      </c>
      <c r="D5" s="54" t="s">
        <v>6</v>
      </c>
      <c r="E5" s="54" t="s">
        <v>7</v>
      </c>
      <c r="F5" s="53" t="s">
        <v>8</v>
      </c>
      <c r="G5" s="54" t="s">
        <v>9</v>
      </c>
      <c r="H5" s="54" t="s">
        <v>10</v>
      </c>
      <c r="I5" s="55" t="s">
        <v>11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5" customHeight="1" x14ac:dyDescent="0.2">
      <c r="A6" s="25">
        <v>1470</v>
      </c>
      <c r="B6" s="18" t="s">
        <v>12</v>
      </c>
      <c r="C6" s="25">
        <v>3133</v>
      </c>
      <c r="D6" s="18" t="s">
        <v>13</v>
      </c>
      <c r="E6" s="101">
        <v>3</v>
      </c>
      <c r="F6" s="72">
        <f>E6*DD_normativy!$B$12</f>
        <v>3.1500000000000004</v>
      </c>
      <c r="G6" s="66">
        <f>DD_normativy!$C$3</f>
        <v>0.28723404255319152</v>
      </c>
      <c r="H6" s="66">
        <f>DD_normativy!$D$3</f>
        <v>0.48499999999999999</v>
      </c>
      <c r="I6" s="51">
        <f>DD_normativy!G6</f>
        <v>20830</v>
      </c>
    </row>
    <row r="7" spans="1:21" ht="15" customHeight="1" x14ac:dyDescent="0.2">
      <c r="A7" s="25">
        <v>1471</v>
      </c>
      <c r="B7" s="18" t="s">
        <v>14</v>
      </c>
      <c r="C7" s="25">
        <v>3133</v>
      </c>
      <c r="D7" s="18" t="s">
        <v>15</v>
      </c>
      <c r="E7" s="101">
        <v>6</v>
      </c>
      <c r="F7" s="72">
        <f>E7*DD_normativy!$B$15</f>
        <v>5.61</v>
      </c>
      <c r="G7" s="66">
        <f>DD_normativy!$C$3</f>
        <v>0.28723404255319152</v>
      </c>
      <c r="H7" s="66">
        <f>DD_normativy!$D$3</f>
        <v>0.48499999999999999</v>
      </c>
      <c r="I7" s="51">
        <f>DD_normativy!G6</f>
        <v>20830</v>
      </c>
    </row>
    <row r="8" spans="1:21" ht="15" customHeight="1" x14ac:dyDescent="0.2">
      <c r="A8" s="25">
        <v>1472</v>
      </c>
      <c r="B8" s="18" t="s">
        <v>16</v>
      </c>
      <c r="C8" s="25">
        <v>3133</v>
      </c>
      <c r="D8" s="18" t="s">
        <v>17</v>
      </c>
      <c r="E8" s="101">
        <v>6</v>
      </c>
      <c r="F8" s="72">
        <f>E8*DD_normativy!$B$15</f>
        <v>5.61</v>
      </c>
      <c r="G8" s="66">
        <f>DD_normativy!$C$3</f>
        <v>0.28723404255319152</v>
      </c>
      <c r="H8" s="66">
        <f>DD_normativy!$D$3</f>
        <v>0.48499999999999999</v>
      </c>
      <c r="I8" s="51">
        <f>DD_normativy!G6</f>
        <v>20830</v>
      </c>
    </row>
    <row r="9" spans="1:21" ht="15" customHeight="1" x14ac:dyDescent="0.2">
      <c r="A9" s="25">
        <v>1473</v>
      </c>
      <c r="B9" s="18" t="s">
        <v>18</v>
      </c>
      <c r="C9" s="25">
        <v>3133</v>
      </c>
      <c r="D9" s="18" t="s">
        <v>19</v>
      </c>
      <c r="E9" s="101">
        <v>5</v>
      </c>
      <c r="F9" s="72">
        <f>E9*DD_normativy!$B$14</f>
        <v>4.8499999999999996</v>
      </c>
      <c r="G9" s="66">
        <f>DD_normativy!$C$3</f>
        <v>0.28723404255319152</v>
      </c>
      <c r="H9" s="66">
        <f>DD_normativy!$D$3</f>
        <v>0.48499999999999999</v>
      </c>
      <c r="I9" s="51">
        <f>DD_normativy!G6</f>
        <v>20830</v>
      </c>
    </row>
    <row r="10" spans="1:21" ht="15" customHeight="1" x14ac:dyDescent="0.2">
      <c r="A10" s="25">
        <v>1474</v>
      </c>
      <c r="B10" s="18" t="s">
        <v>20</v>
      </c>
      <c r="C10" s="25">
        <v>3133</v>
      </c>
      <c r="D10" s="18" t="s">
        <v>21</v>
      </c>
      <c r="E10" s="101">
        <v>3</v>
      </c>
      <c r="F10" s="72">
        <f>E10*DD_normativy!$B$12</f>
        <v>3.1500000000000004</v>
      </c>
      <c r="G10" s="66">
        <f>DD_normativy!$C$3</f>
        <v>0.28723404255319152</v>
      </c>
      <c r="H10" s="66">
        <f>DD_normativy!$D$3</f>
        <v>0.48499999999999999</v>
      </c>
      <c r="I10" s="51">
        <f>DD_normativy!G6</f>
        <v>20830</v>
      </c>
    </row>
    <row r="11" spans="1:21" ht="15" customHeight="1" x14ac:dyDescent="0.2">
      <c r="A11" s="25">
        <v>1475</v>
      </c>
      <c r="B11" s="18" t="s">
        <v>22</v>
      </c>
      <c r="C11" s="25">
        <v>3133</v>
      </c>
      <c r="D11" s="18" t="s">
        <v>23</v>
      </c>
      <c r="E11" s="101">
        <v>4</v>
      </c>
      <c r="F11" s="72">
        <f>E11*DD_normativy!$B$13</f>
        <v>4.12</v>
      </c>
      <c r="G11" s="66">
        <f>DD_normativy!$C$3</f>
        <v>0.28723404255319152</v>
      </c>
      <c r="H11" s="66">
        <f>DD_normativy!$D$3</f>
        <v>0.48499999999999999</v>
      </c>
      <c r="I11" s="51">
        <f>DD_normativy!G6</f>
        <v>20830</v>
      </c>
    </row>
    <row r="12" spans="1:21" ht="15" customHeight="1" x14ac:dyDescent="0.2">
      <c r="A12" s="25">
        <v>1476</v>
      </c>
      <c r="B12" s="18" t="s">
        <v>24</v>
      </c>
      <c r="C12" s="25">
        <v>3133</v>
      </c>
      <c r="D12" s="18" t="s">
        <v>25</v>
      </c>
      <c r="E12" s="101">
        <v>2</v>
      </c>
      <c r="F12" s="72">
        <f>E12*DD_normativy!$B$11</f>
        <v>2.12</v>
      </c>
      <c r="G12" s="66">
        <f>DD_normativy!$C$3</f>
        <v>0.28723404255319152</v>
      </c>
      <c r="H12" s="66">
        <f>DD_normativy!$D$3</f>
        <v>0.48499999999999999</v>
      </c>
      <c r="I12" s="51">
        <f>DD_normativy!G6</f>
        <v>20830</v>
      </c>
    </row>
    <row r="13" spans="1:21" ht="15" customHeight="1" x14ac:dyDescent="0.2">
      <c r="A13" s="39" t="s">
        <v>26</v>
      </c>
      <c r="B13" s="35" t="s">
        <v>27</v>
      </c>
      <c r="C13" s="39" t="s">
        <v>26</v>
      </c>
      <c r="D13" s="39" t="s">
        <v>26</v>
      </c>
      <c r="E13" s="52">
        <f>SUM(E6:E12)</f>
        <v>29</v>
      </c>
      <c r="F13" s="52"/>
      <c r="G13" s="39" t="s">
        <v>26</v>
      </c>
      <c r="H13" s="39" t="s">
        <v>26</v>
      </c>
      <c r="I13" s="42" t="s">
        <v>26</v>
      </c>
    </row>
    <row r="14" spans="1:21" ht="18" customHeight="1" x14ac:dyDescent="0.2">
      <c r="B14" s="71"/>
    </row>
    <row r="19" spans="2:2" ht="18" customHeight="1" x14ac:dyDescent="0.2">
      <c r="B19" s="75"/>
    </row>
  </sheetData>
  <phoneticPr fontId="0" type="noConversion"/>
  <pageMargins left="0.32" right="0.25" top="0.984251969" bottom="0.984251969" header="0.4921259845" footer="0.492125984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U96"/>
  <sheetViews>
    <sheetView workbookViewId="0">
      <pane xSplit="2" ySplit="5" topLeftCell="H6" activePane="bottomRight" state="frozen"/>
      <selection pane="topRight" activeCell="H24" sqref="H24"/>
      <selection pane="bottomLeft" activeCell="H24" sqref="H24"/>
      <selection pane="bottomRight" activeCell="Q17" sqref="Q17"/>
    </sheetView>
  </sheetViews>
  <sheetFormatPr defaultColWidth="11.28515625" defaultRowHeight="18" customHeight="1" x14ac:dyDescent="0.2"/>
  <cols>
    <col min="1" max="1" width="7.140625" style="19" customWidth="1"/>
    <col min="2" max="2" width="31.7109375" style="19" customWidth="1"/>
    <col min="3" max="3" width="8.42578125" style="19" customWidth="1"/>
    <col min="4" max="4" width="19" style="19" customWidth="1"/>
    <col min="5" max="9" width="11.28515625" style="41" customWidth="1"/>
    <col min="10" max="11" width="11.28515625" style="19" customWidth="1"/>
    <col min="12" max="14" width="11.28515625" style="41" customWidth="1"/>
    <col min="15" max="15" width="5.5703125" style="19" customWidth="1"/>
    <col min="16" max="16" width="11.28515625" style="41" customWidth="1"/>
    <col min="17" max="17" width="11.28515625" style="19" customWidth="1"/>
    <col min="18" max="18" width="11.28515625" style="41" customWidth="1"/>
    <col min="19" max="19" width="11.28515625" style="19" customWidth="1"/>
    <col min="22" max="16384" width="11.28515625" style="19"/>
  </cols>
  <sheetData>
    <row r="1" spans="1:19" ht="21" customHeight="1" x14ac:dyDescent="0.3">
      <c r="B1" s="73" t="str">
        <f>DD_stat!B1</f>
        <v xml:space="preserve">Dětské domovy </v>
      </c>
      <c r="C1" s="20"/>
      <c r="D1" s="20"/>
    </row>
    <row r="2" spans="1:19" ht="15" customHeight="1" x14ac:dyDescent="0.25">
      <c r="B2" s="67" t="str">
        <f>DD_stat!B2</f>
        <v>KRAJ - Liberecký</v>
      </c>
      <c r="C2" s="26"/>
      <c r="D2" s="26"/>
    </row>
    <row r="3" spans="1:19" ht="15" customHeight="1" x14ac:dyDescent="0.25">
      <c r="B3" s="67" t="s">
        <v>28</v>
      </c>
      <c r="C3" s="27"/>
      <c r="D3" s="27"/>
    </row>
    <row r="4" spans="1:19" ht="15" customHeight="1" x14ac:dyDescent="0.25">
      <c r="B4" s="69">
        <f>DD_stat!B4</f>
        <v>2023</v>
      </c>
      <c r="C4" s="27"/>
      <c r="D4" s="27"/>
      <c r="F4" s="44"/>
      <c r="L4" s="44"/>
      <c r="M4" s="45"/>
      <c r="Q4" s="77">
        <v>2023</v>
      </c>
    </row>
    <row r="5" spans="1:19" ht="45" x14ac:dyDescent="0.2">
      <c r="A5" s="46" t="s">
        <v>3</v>
      </c>
      <c r="B5" s="47" t="s">
        <v>4</v>
      </c>
      <c r="C5" s="46" t="s">
        <v>5</v>
      </c>
      <c r="D5" s="54" t="s">
        <v>6</v>
      </c>
      <c r="E5" s="48" t="s">
        <v>29</v>
      </c>
      <c r="F5" s="48" t="s">
        <v>30</v>
      </c>
      <c r="G5" s="48" t="s">
        <v>31</v>
      </c>
      <c r="H5" s="49" t="s">
        <v>32</v>
      </c>
      <c r="I5" s="49" t="s">
        <v>33</v>
      </c>
      <c r="J5" s="49" t="s">
        <v>34</v>
      </c>
      <c r="K5" s="49" t="s">
        <v>35</v>
      </c>
      <c r="L5" s="48" t="s">
        <v>36</v>
      </c>
      <c r="M5" s="48" t="s">
        <v>37</v>
      </c>
      <c r="N5" s="48" t="s">
        <v>38</v>
      </c>
      <c r="O5" s="1"/>
      <c r="P5" s="48" t="s">
        <v>39</v>
      </c>
      <c r="Q5" s="50" t="s">
        <v>40</v>
      </c>
      <c r="R5" s="48" t="s">
        <v>41</v>
      </c>
      <c r="S5" s="48" t="s">
        <v>42</v>
      </c>
    </row>
    <row r="6" spans="1:19" ht="15" customHeight="1" x14ac:dyDescent="0.2">
      <c r="A6" s="25">
        <f>DD_stat!A6</f>
        <v>1470</v>
      </c>
      <c r="B6" s="18" t="str">
        <f>DD_stat!B6</f>
        <v>Dětský domov, Česká Lípa, Mariánská 570</v>
      </c>
      <c r="C6" s="25">
        <f>DD_stat!C6</f>
        <v>3133</v>
      </c>
      <c r="D6" s="18" t="str">
        <f>DD_stat!D6</f>
        <v>DD, Česká Lípa, Mariánská 570</v>
      </c>
      <c r="E6" s="38">
        <f>DD_normativy!$G$2</f>
        <v>48360</v>
      </c>
      <c r="F6" s="38">
        <f>(DD_stat!G6*((DD_rozp!K6-DD_stat!I6)/(12*1.358)-DD_rozp!G6/DD_stat!H6))</f>
        <v>48359.999999999993</v>
      </c>
      <c r="G6" s="38">
        <f>DD_normativy!$G$4</f>
        <v>34344</v>
      </c>
      <c r="H6" s="38">
        <f>IF(DD_stat!F6=0,0,(12*1.358*(1/DD_stat!G6*DD_rozp!E6+1/DD_stat!H6*DD_rozp!G6)+DD_stat!I6))</f>
        <v>3918455.3866666658</v>
      </c>
      <c r="I6" s="38">
        <f>IF(DD_stat!F6=0,0,(12*1.358*(1/DD_stat!G6*DD_rozp!P6+1/DD_stat!H6*DD_rozp!G6)+DD_stat!I6))</f>
        <v>3918455.3866666658</v>
      </c>
      <c r="J6" s="96">
        <f>I6/H6</f>
        <v>1</v>
      </c>
      <c r="K6" s="38">
        <f>IF(J6&gt;1.1,H6*1.1,IF(J6&lt;0.9,H6*0.9,I6))</f>
        <v>3918455.3866666658</v>
      </c>
      <c r="L6" s="38">
        <f>ROUND(DD_stat!F6*DD_rozp!K6,0)</f>
        <v>12343134</v>
      </c>
      <c r="M6" s="38"/>
      <c r="N6" s="38">
        <f t="shared" ref="N6:N12" si="0">SUM(L6:M6)</f>
        <v>12343134</v>
      </c>
      <c r="P6" s="38">
        <f>Q6+DD_normativy!$G$3</f>
        <v>48360</v>
      </c>
      <c r="Q6" s="38">
        <f>DD_normativy!$G$2</f>
        <v>48360</v>
      </c>
      <c r="R6" s="38">
        <v>0</v>
      </c>
      <c r="S6" s="38">
        <f>Q6-R6</f>
        <v>48360</v>
      </c>
    </row>
    <row r="7" spans="1:19" ht="15" customHeight="1" x14ac:dyDescent="0.2">
      <c r="A7" s="25">
        <f>DD_stat!A7</f>
        <v>1471</v>
      </c>
      <c r="B7" s="18" t="str">
        <f>DD_stat!B7</f>
        <v>Dětský domov, Jablonné v Podještědí, Zámecká 1</v>
      </c>
      <c r="C7" s="25">
        <f>DD_stat!C7</f>
        <v>3133</v>
      </c>
      <c r="D7" s="18" t="str">
        <f>DD_stat!D7</f>
        <v>DD, Jablonné v Podještědí, Zámecká 1</v>
      </c>
      <c r="E7" s="38">
        <f>DD_normativy!$G$2</f>
        <v>48360</v>
      </c>
      <c r="F7" s="38">
        <f>(DD_stat!G7*((DD_rozp!K7-DD_stat!I7)/(12*1.358)-DD_rozp!G7/DD_stat!H7))</f>
        <v>48359.999999999993</v>
      </c>
      <c r="G7" s="38">
        <f>DD_normativy!$G$4</f>
        <v>34344</v>
      </c>
      <c r="H7" s="38">
        <f>IF(DD_stat!F7=0,0,(12*1.358*(1/DD_stat!G7*DD_rozp!E7+1/DD_stat!H7*DD_rozp!G7)+DD_stat!I7))</f>
        <v>3918455.3866666658</v>
      </c>
      <c r="I7" s="38">
        <f>IF(DD_stat!F7=0,0,(12*1.358*(1/DD_stat!G7*DD_rozp!P7+1/DD_stat!H7*DD_rozp!G7)+DD_stat!I7))</f>
        <v>3918455.3866666658</v>
      </c>
      <c r="J7" s="96">
        <f t="shared" ref="J7:J12" si="1">I7/H7</f>
        <v>1</v>
      </c>
      <c r="K7" s="38">
        <f t="shared" ref="K7:K12" si="2">IF(J7&gt;1.1,H7*1.1,IF(J7&lt;0.9,H7*0.9,I7))</f>
        <v>3918455.3866666658</v>
      </c>
      <c r="L7" s="38">
        <f>ROUND(DD_stat!F7*DD_rozp!K7,0)</f>
        <v>21982535</v>
      </c>
      <c r="M7" s="38"/>
      <c r="N7" s="38">
        <f t="shared" si="0"/>
        <v>21982535</v>
      </c>
      <c r="P7" s="38">
        <f>Q7+DD_normativy!$G$3</f>
        <v>48360</v>
      </c>
      <c r="Q7" s="38">
        <f>DD_normativy!$G$2</f>
        <v>48360</v>
      </c>
      <c r="R7" s="38">
        <v>0</v>
      </c>
      <c r="S7" s="38">
        <f t="shared" ref="S7:S12" si="3">Q7-R7</f>
        <v>48360</v>
      </c>
    </row>
    <row r="8" spans="1:19" ht="15" customHeight="1" x14ac:dyDescent="0.2">
      <c r="A8" s="25">
        <f>DD_stat!A8</f>
        <v>1472</v>
      </c>
      <c r="B8" s="18" t="str">
        <f>DD_stat!B8</f>
        <v>Dětský domov, ZŠ a MŠ, Krompach 47</v>
      </c>
      <c r="C8" s="25">
        <f>DD_stat!C8</f>
        <v>3133</v>
      </c>
      <c r="D8" s="18" t="str">
        <f>DD_stat!D8</f>
        <v>DD a Spec. školy, Krompach 47</v>
      </c>
      <c r="E8" s="38">
        <f>DD_normativy!$G$2</f>
        <v>48360</v>
      </c>
      <c r="F8" s="38">
        <f>(DD_stat!G8*((DD_rozp!K8-DD_stat!I8)/(12*1.358)-DD_rozp!G8/DD_stat!H8))</f>
        <v>48359.999999999993</v>
      </c>
      <c r="G8" s="38">
        <f>DD_normativy!$G$4</f>
        <v>34344</v>
      </c>
      <c r="H8" s="38">
        <f>IF(DD_stat!F8=0,0,(12*1.358*(1/DD_stat!G8*DD_rozp!E8+1/DD_stat!H8*DD_rozp!G8)+DD_stat!I8))</f>
        <v>3918455.3866666658</v>
      </c>
      <c r="I8" s="38">
        <f>IF(DD_stat!F8=0,0,(12*1.358*(1/DD_stat!G8*DD_rozp!P8+1/DD_stat!H8*DD_rozp!G8)+DD_stat!I8))</f>
        <v>3918455.3866666658</v>
      </c>
      <c r="J8" s="96">
        <f t="shared" si="1"/>
        <v>1</v>
      </c>
      <c r="K8" s="38">
        <f t="shared" si="2"/>
        <v>3918455.3866666658</v>
      </c>
      <c r="L8" s="38">
        <f>ROUND(DD_stat!F8*DD_rozp!K8,0)</f>
        <v>21982535</v>
      </c>
      <c r="M8" s="38"/>
      <c r="N8" s="38">
        <f t="shared" si="0"/>
        <v>21982535</v>
      </c>
      <c r="P8" s="38">
        <f>Q8+DD_normativy!$G$3</f>
        <v>48360</v>
      </c>
      <c r="Q8" s="38">
        <f>DD_normativy!$G$2</f>
        <v>48360</v>
      </c>
      <c r="R8" s="38">
        <v>0</v>
      </c>
      <c r="S8" s="38">
        <f t="shared" si="3"/>
        <v>48360</v>
      </c>
    </row>
    <row r="9" spans="1:19" ht="15" customHeight="1" x14ac:dyDescent="0.2">
      <c r="A9" s="25">
        <f>DD_stat!A9</f>
        <v>1473</v>
      </c>
      <c r="B9" s="18" t="str">
        <f>DD_stat!B9</f>
        <v>Dětský domov, Dubá - Deštná 6</v>
      </c>
      <c r="C9" s="25">
        <f>DD_stat!C9</f>
        <v>3133</v>
      </c>
      <c r="D9" s="18" t="str">
        <f>DD_stat!D9</f>
        <v>DD, Dubá - Deštná 6</v>
      </c>
      <c r="E9" s="38">
        <f>DD_normativy!$G$2</f>
        <v>48360</v>
      </c>
      <c r="F9" s="38">
        <f>(DD_stat!G9*((DD_rozp!K9-DD_stat!I9)/(12*1.358)-DD_rozp!G9/DD_stat!H9))</f>
        <v>48359.999999999993</v>
      </c>
      <c r="G9" s="38">
        <f>DD_normativy!$G$4</f>
        <v>34344</v>
      </c>
      <c r="H9" s="38">
        <f>IF(DD_stat!F9=0,0,(12*1.358*(1/DD_stat!G9*DD_rozp!E9+1/DD_stat!H9*DD_rozp!G9)+DD_stat!I9))</f>
        <v>3918455.3866666658</v>
      </c>
      <c r="I9" s="38">
        <f>IF(DD_stat!F9=0,0,(12*1.358*(1/DD_stat!G9*DD_rozp!P9+1/DD_stat!H9*DD_rozp!G9)+DD_stat!I9))</f>
        <v>3918455.3866666658</v>
      </c>
      <c r="J9" s="96">
        <f t="shared" si="1"/>
        <v>1</v>
      </c>
      <c r="K9" s="38">
        <f t="shared" si="2"/>
        <v>3918455.3866666658</v>
      </c>
      <c r="L9" s="38">
        <f>ROUND(DD_stat!F9*DD_rozp!K9,0)</f>
        <v>19004509</v>
      </c>
      <c r="M9" s="38"/>
      <c r="N9" s="38">
        <f t="shared" si="0"/>
        <v>19004509</v>
      </c>
      <c r="P9" s="38">
        <f>Q9+DD_normativy!$G$3</f>
        <v>48360</v>
      </c>
      <c r="Q9" s="38">
        <f>DD_normativy!$G$2</f>
        <v>48360</v>
      </c>
      <c r="R9" s="38">
        <v>0</v>
      </c>
      <c r="S9" s="38">
        <f t="shared" si="3"/>
        <v>48360</v>
      </c>
    </row>
    <row r="10" spans="1:19" ht="15" customHeight="1" x14ac:dyDescent="0.2">
      <c r="A10" s="25">
        <f>DD_stat!A10</f>
        <v>1474</v>
      </c>
      <c r="B10" s="18" t="str">
        <f>DD_stat!B10</f>
        <v>Dětský domov, Jablonec nad Nisou, Pasecká 20</v>
      </c>
      <c r="C10" s="25">
        <f>DD_stat!C10</f>
        <v>3133</v>
      </c>
      <c r="D10" s="18" t="str">
        <f>DD_stat!D10</f>
        <v>DD, Jablonec nad Nisou, Pasecká 20</v>
      </c>
      <c r="E10" s="38">
        <f>DD_normativy!$G$2</f>
        <v>48360</v>
      </c>
      <c r="F10" s="38">
        <f>(DD_stat!G10*((DD_rozp!K10-DD_stat!I10)/(12*1.358)-DD_rozp!G10/DD_stat!H10))</f>
        <v>48359.999999999993</v>
      </c>
      <c r="G10" s="38">
        <f>DD_normativy!$G$4</f>
        <v>34344</v>
      </c>
      <c r="H10" s="38">
        <f>IF(DD_stat!F10=0,0,(12*1.358*(1/DD_stat!G10*DD_rozp!E10+1/DD_stat!H10*DD_rozp!G10)+DD_stat!I10))</f>
        <v>3918455.3866666658</v>
      </c>
      <c r="I10" s="38">
        <f>IF(DD_stat!F10=0,0,(12*1.358*(1/DD_stat!G10*DD_rozp!P10+1/DD_stat!H10*DD_rozp!G10)+DD_stat!I10))</f>
        <v>3918455.3866666658</v>
      </c>
      <c r="J10" s="96">
        <f t="shared" si="1"/>
        <v>1</v>
      </c>
      <c r="K10" s="38">
        <f t="shared" si="2"/>
        <v>3918455.3866666658</v>
      </c>
      <c r="L10" s="38">
        <f>ROUND(DD_stat!F10*DD_rozp!K10,0)</f>
        <v>12343134</v>
      </c>
      <c r="M10" s="38"/>
      <c r="N10" s="38">
        <f t="shared" si="0"/>
        <v>12343134</v>
      </c>
      <c r="P10" s="38">
        <f>Q10+DD_normativy!$G$3</f>
        <v>48360</v>
      </c>
      <c r="Q10" s="38">
        <f>DD_normativy!$G$2</f>
        <v>48360</v>
      </c>
      <c r="R10" s="38">
        <v>0</v>
      </c>
      <c r="S10" s="38">
        <f t="shared" si="3"/>
        <v>48360</v>
      </c>
    </row>
    <row r="11" spans="1:19" ht="15" customHeight="1" x14ac:dyDescent="0.2">
      <c r="A11" s="25">
        <f>DD_stat!A11</f>
        <v>1475</v>
      </c>
      <c r="B11" s="18" t="str">
        <f>DD_stat!B11</f>
        <v>Dětský domov, Frýdlant, Větrov 3005</v>
      </c>
      <c r="C11" s="25">
        <f>DD_stat!C11</f>
        <v>3133</v>
      </c>
      <c r="D11" s="18" t="str">
        <f>DD_stat!D11</f>
        <v>DD, Frýdlant, Větrov 3005</v>
      </c>
      <c r="E11" s="38">
        <f>DD_normativy!$G$2</f>
        <v>48360</v>
      </c>
      <c r="F11" s="38">
        <f>(DD_stat!G11*((DD_rozp!K11-DD_stat!I11)/(12*1.358)-DD_rozp!G11/DD_stat!H11))</f>
        <v>48359.999999999993</v>
      </c>
      <c r="G11" s="38">
        <f>DD_normativy!$G$4</f>
        <v>34344</v>
      </c>
      <c r="H11" s="38">
        <f>IF(DD_stat!F11=0,0,(12*1.358*(1/DD_stat!G11*DD_rozp!E11+1/DD_stat!H11*DD_rozp!G11)+DD_stat!I11))</f>
        <v>3918455.3866666658</v>
      </c>
      <c r="I11" s="38">
        <f>IF(DD_stat!F11=0,0,(12*1.358*(1/DD_stat!G11*DD_rozp!P11+1/DD_stat!H11*DD_rozp!G11)+DD_stat!I11))</f>
        <v>3918455.3866666658</v>
      </c>
      <c r="J11" s="96">
        <f t="shared" si="1"/>
        <v>1</v>
      </c>
      <c r="K11" s="38">
        <f t="shared" si="2"/>
        <v>3918455.3866666658</v>
      </c>
      <c r="L11" s="38">
        <f>ROUND(DD_stat!F11*DD_rozp!K11,0)</f>
        <v>16144036</v>
      </c>
      <c r="M11" s="38"/>
      <c r="N11" s="38">
        <f t="shared" si="0"/>
        <v>16144036</v>
      </c>
      <c r="P11" s="38">
        <f>Q11+DD_normativy!$G$3</f>
        <v>48360</v>
      </c>
      <c r="Q11" s="38">
        <f>DD_normativy!$G$2</f>
        <v>48360</v>
      </c>
      <c r="R11" s="38">
        <v>0</v>
      </c>
      <c r="S11" s="38">
        <f t="shared" si="3"/>
        <v>48360</v>
      </c>
    </row>
    <row r="12" spans="1:19" ht="15" customHeight="1" x14ac:dyDescent="0.2">
      <c r="A12" s="25">
        <f>DD_stat!A12</f>
        <v>1476</v>
      </c>
      <c r="B12" s="18" t="str">
        <f>DD_stat!B12</f>
        <v>Dětský domov, Semily, Nad školami 480</v>
      </c>
      <c r="C12" s="25">
        <f>DD_stat!C12</f>
        <v>3133</v>
      </c>
      <c r="D12" s="18" t="str">
        <f>DD_stat!D12</f>
        <v>DD, Semily, Nad školami 480</v>
      </c>
      <c r="E12" s="38">
        <f>DD_normativy!$G$2</f>
        <v>48360</v>
      </c>
      <c r="F12" s="38">
        <f>(DD_stat!G12*((DD_rozp!K12-DD_stat!I12)/(12*1.358)-DD_rozp!G12/DD_stat!H12))</f>
        <v>48359.999999999993</v>
      </c>
      <c r="G12" s="38">
        <f>DD_normativy!$G$4</f>
        <v>34344</v>
      </c>
      <c r="H12" s="38">
        <f>IF(DD_stat!F12=0,0,(12*1.358*(1/DD_stat!G12*DD_rozp!E12+1/DD_stat!H12*DD_rozp!G12)+DD_stat!I12))</f>
        <v>3918455.3866666658</v>
      </c>
      <c r="I12" s="38">
        <f>IF(DD_stat!F12=0,0,(12*1.358*(1/DD_stat!G12*DD_rozp!P12+1/DD_stat!H12*DD_rozp!G12)+DD_stat!I12))</f>
        <v>3918455.3866666658</v>
      </c>
      <c r="J12" s="96">
        <f t="shared" si="1"/>
        <v>1</v>
      </c>
      <c r="K12" s="38">
        <f t="shared" si="2"/>
        <v>3918455.3866666658</v>
      </c>
      <c r="L12" s="38">
        <f>ROUND(DD_stat!F12*DD_rozp!K12,0)</f>
        <v>8307125</v>
      </c>
      <c r="M12" s="38"/>
      <c r="N12" s="38">
        <f t="shared" si="0"/>
        <v>8307125</v>
      </c>
      <c r="P12" s="38">
        <f>Q12+DD_normativy!$G$3</f>
        <v>48360</v>
      </c>
      <c r="Q12" s="38">
        <f>DD_normativy!$G$2</f>
        <v>48360</v>
      </c>
      <c r="R12" s="38">
        <v>0</v>
      </c>
      <c r="S12" s="38">
        <f t="shared" si="3"/>
        <v>48360</v>
      </c>
    </row>
    <row r="13" spans="1:19" ht="15" customHeight="1" x14ac:dyDescent="0.2">
      <c r="A13" s="34"/>
      <c r="B13" s="35" t="s">
        <v>27</v>
      </c>
      <c r="C13" s="39"/>
      <c r="D13" s="39" t="s">
        <v>26</v>
      </c>
      <c r="E13" s="42" t="s">
        <v>26</v>
      </c>
      <c r="F13" s="42" t="s">
        <v>26</v>
      </c>
      <c r="G13" s="42" t="s">
        <v>26</v>
      </c>
      <c r="H13" s="40">
        <f>SUM(H6:H12)</f>
        <v>27429187.706666663</v>
      </c>
      <c r="I13" s="40">
        <f>SUM(I6:I12)</f>
        <v>27429187.706666663</v>
      </c>
      <c r="J13" s="39" t="s">
        <v>26</v>
      </c>
      <c r="K13" s="40">
        <f>SUM(K6:K12)</f>
        <v>27429187.706666663</v>
      </c>
      <c r="L13" s="40">
        <f>SUM(L6:L12)</f>
        <v>112107008</v>
      </c>
      <c r="M13" s="40">
        <f>SUM(M6:M12)</f>
        <v>0</v>
      </c>
      <c r="N13" s="40">
        <f>SUM(N6:N12)</f>
        <v>112107008</v>
      </c>
      <c r="O13" s="23"/>
      <c r="P13" s="42" t="s">
        <v>26</v>
      </c>
      <c r="Q13" s="42" t="s">
        <v>26</v>
      </c>
      <c r="R13" s="42" t="s">
        <v>26</v>
      </c>
      <c r="S13" s="42" t="s">
        <v>26</v>
      </c>
    </row>
    <row r="14" spans="1:19" ht="18" customHeight="1" x14ac:dyDescent="0.2">
      <c r="C14" s="21"/>
      <c r="D14" s="21"/>
      <c r="Q14" s="41"/>
      <c r="S14" s="41"/>
    </row>
    <row r="15" spans="1:19" ht="18" customHeight="1" x14ac:dyDescent="0.2">
      <c r="C15" s="21"/>
      <c r="D15" s="21"/>
    </row>
    <row r="16" spans="1:19" ht="18" customHeight="1" x14ac:dyDescent="0.2">
      <c r="C16" s="21"/>
      <c r="D16" s="21"/>
    </row>
    <row r="17" spans="3:4" ht="18" customHeight="1" x14ac:dyDescent="0.2">
      <c r="C17" s="21"/>
      <c r="D17" s="21"/>
    </row>
    <row r="18" spans="3:4" ht="18" customHeight="1" x14ac:dyDescent="0.2">
      <c r="C18" s="21"/>
      <c r="D18" s="21"/>
    </row>
    <row r="19" spans="3:4" ht="18" customHeight="1" x14ac:dyDescent="0.2">
      <c r="C19" s="21"/>
      <c r="D19" s="21"/>
    </row>
    <row r="20" spans="3:4" ht="18" customHeight="1" x14ac:dyDescent="0.2">
      <c r="C20" s="21"/>
      <c r="D20" s="21"/>
    </row>
    <row r="21" spans="3:4" ht="18" customHeight="1" x14ac:dyDescent="0.2">
      <c r="C21" s="21"/>
      <c r="D21" s="21"/>
    </row>
    <row r="22" spans="3:4" ht="18" customHeight="1" x14ac:dyDescent="0.2">
      <c r="C22" s="21"/>
      <c r="D22" s="21"/>
    </row>
    <row r="23" spans="3:4" ht="18" customHeight="1" x14ac:dyDescent="0.2">
      <c r="C23" s="21"/>
      <c r="D23" s="21"/>
    </row>
    <row r="24" spans="3:4" ht="18" customHeight="1" x14ac:dyDescent="0.2">
      <c r="C24" s="21"/>
      <c r="D24" s="21"/>
    </row>
    <row r="25" spans="3:4" ht="18" customHeight="1" x14ac:dyDescent="0.2">
      <c r="C25" s="21"/>
      <c r="D25" s="21"/>
    </row>
    <row r="26" spans="3:4" ht="18" customHeight="1" x14ac:dyDescent="0.2">
      <c r="C26" s="21"/>
      <c r="D26" s="21"/>
    </row>
    <row r="27" spans="3:4" ht="18" customHeight="1" x14ac:dyDescent="0.2">
      <c r="C27" s="21"/>
      <c r="D27" s="21"/>
    </row>
    <row r="28" spans="3:4" ht="18" customHeight="1" x14ac:dyDescent="0.2">
      <c r="C28" s="21"/>
      <c r="D28" s="21"/>
    </row>
    <row r="29" spans="3:4" ht="18" customHeight="1" x14ac:dyDescent="0.2">
      <c r="C29" s="21"/>
      <c r="D29" s="21"/>
    </row>
    <row r="30" spans="3:4" ht="18" customHeight="1" x14ac:dyDescent="0.2">
      <c r="C30" s="21"/>
      <c r="D30" s="21"/>
    </row>
    <row r="31" spans="3:4" ht="18" customHeight="1" x14ac:dyDescent="0.2">
      <c r="C31" s="21"/>
      <c r="D31" s="21"/>
    </row>
    <row r="32" spans="3:4" ht="18" customHeight="1" x14ac:dyDescent="0.2">
      <c r="C32" s="21"/>
      <c r="D32" s="21"/>
    </row>
    <row r="33" spans="2:4" ht="18" customHeight="1" x14ac:dyDescent="0.2">
      <c r="C33" s="21"/>
      <c r="D33" s="21"/>
    </row>
    <row r="34" spans="2:4" ht="18" customHeight="1" x14ac:dyDescent="0.2">
      <c r="C34" s="21"/>
      <c r="D34" s="21"/>
    </row>
    <row r="35" spans="2:4" ht="18" customHeight="1" x14ac:dyDescent="0.2">
      <c r="C35" s="21"/>
      <c r="D35" s="21"/>
    </row>
    <row r="36" spans="2:4" ht="18" customHeight="1" x14ac:dyDescent="0.2">
      <c r="C36" s="21"/>
      <c r="D36" s="21"/>
    </row>
    <row r="37" spans="2:4" ht="18" customHeight="1" x14ac:dyDescent="0.2">
      <c r="C37" s="21"/>
      <c r="D37" s="21"/>
    </row>
    <row r="38" spans="2:4" ht="18" customHeight="1" x14ac:dyDescent="0.2">
      <c r="C38" s="21"/>
      <c r="D38" s="21"/>
    </row>
    <row r="39" spans="2:4" ht="18" customHeight="1" x14ac:dyDescent="0.2">
      <c r="C39" s="21"/>
      <c r="D39" s="21"/>
    </row>
    <row r="40" spans="2:4" ht="18" customHeight="1" x14ac:dyDescent="0.2">
      <c r="C40" s="21"/>
      <c r="D40" s="21"/>
    </row>
    <row r="41" spans="2:4" ht="18" customHeight="1" x14ac:dyDescent="0.2">
      <c r="C41" s="21"/>
      <c r="D41" s="21"/>
    </row>
    <row r="42" spans="2:4" ht="18" customHeight="1" x14ac:dyDescent="0.2">
      <c r="C42" s="21"/>
      <c r="D42" s="21"/>
    </row>
    <row r="43" spans="2:4" ht="18" customHeight="1" x14ac:dyDescent="0.2">
      <c r="C43" s="21"/>
      <c r="D43" s="21"/>
    </row>
    <row r="44" spans="2:4" ht="18" customHeight="1" x14ac:dyDescent="0.2">
      <c r="C44" s="21"/>
      <c r="D44" s="21"/>
    </row>
    <row r="45" spans="2:4" ht="18" customHeight="1" x14ac:dyDescent="0.2">
      <c r="C45" s="21"/>
      <c r="D45" s="21"/>
    </row>
    <row r="46" spans="2:4" ht="18" customHeight="1" x14ac:dyDescent="0.2">
      <c r="B46" s="23"/>
      <c r="C46" s="28"/>
      <c r="D46" s="28"/>
    </row>
    <row r="47" spans="2:4" ht="18" customHeight="1" x14ac:dyDescent="0.2">
      <c r="C47" s="21"/>
      <c r="D47" s="21"/>
    </row>
    <row r="48" spans="2:4" ht="18" customHeight="1" x14ac:dyDescent="0.2">
      <c r="B48" s="23"/>
      <c r="C48" s="28"/>
      <c r="D48" s="28"/>
    </row>
    <row r="49" spans="2:4" ht="18" customHeight="1" x14ac:dyDescent="0.2">
      <c r="C49" s="21"/>
      <c r="D49" s="21"/>
    </row>
    <row r="50" spans="2:4" ht="18" customHeight="1" x14ac:dyDescent="0.2">
      <c r="B50" s="23"/>
      <c r="C50" s="28"/>
      <c r="D50" s="28"/>
    </row>
    <row r="51" spans="2:4" ht="18" customHeight="1" x14ac:dyDescent="0.2">
      <c r="C51" s="21"/>
      <c r="D51" s="21"/>
    </row>
    <row r="52" spans="2:4" ht="18" customHeight="1" x14ac:dyDescent="0.2">
      <c r="C52" s="21"/>
      <c r="D52" s="21"/>
    </row>
    <row r="53" spans="2:4" ht="18" customHeight="1" x14ac:dyDescent="0.2">
      <c r="B53" s="23"/>
      <c r="C53" s="28"/>
      <c r="D53" s="28"/>
    </row>
    <row r="54" spans="2:4" ht="18" customHeight="1" x14ac:dyDescent="0.2">
      <c r="C54" s="21"/>
      <c r="D54" s="21"/>
    </row>
    <row r="55" spans="2:4" ht="18" customHeight="1" x14ac:dyDescent="0.2">
      <c r="B55" s="23"/>
      <c r="C55" s="28"/>
      <c r="D55" s="28"/>
    </row>
    <row r="56" spans="2:4" ht="18" customHeight="1" x14ac:dyDescent="0.2">
      <c r="C56" s="21"/>
      <c r="D56" s="21"/>
    </row>
    <row r="57" spans="2:4" ht="18" customHeight="1" x14ac:dyDescent="0.2">
      <c r="B57" s="23"/>
      <c r="C57" s="28"/>
      <c r="D57" s="28"/>
    </row>
    <row r="58" spans="2:4" ht="18" customHeight="1" x14ac:dyDescent="0.2">
      <c r="C58" s="21"/>
      <c r="D58" s="21"/>
    </row>
    <row r="59" spans="2:4" ht="18" customHeight="1" x14ac:dyDescent="0.2">
      <c r="C59" s="21"/>
      <c r="D59" s="21"/>
    </row>
    <row r="60" spans="2:4" ht="18" customHeight="1" x14ac:dyDescent="0.2">
      <c r="B60" s="23"/>
      <c r="C60" s="28"/>
      <c r="D60" s="28"/>
    </row>
    <row r="61" spans="2:4" ht="18" customHeight="1" x14ac:dyDescent="0.2">
      <c r="C61" s="21"/>
      <c r="D61" s="21"/>
    </row>
    <row r="62" spans="2:4" ht="18" customHeight="1" x14ac:dyDescent="0.2">
      <c r="C62" s="21"/>
      <c r="D62" s="21"/>
    </row>
    <row r="63" spans="2:4" ht="18" customHeight="1" x14ac:dyDescent="0.2">
      <c r="C63" s="21"/>
      <c r="D63" s="21"/>
    </row>
    <row r="64" spans="2:4" ht="18" customHeight="1" x14ac:dyDescent="0.2">
      <c r="C64" s="21"/>
      <c r="D64" s="21"/>
    </row>
    <row r="65" spans="2:4" ht="18" customHeight="1" x14ac:dyDescent="0.2">
      <c r="C65" s="21"/>
      <c r="D65" s="21"/>
    </row>
    <row r="66" spans="2:4" ht="18" customHeight="1" x14ac:dyDescent="0.2">
      <c r="C66" s="21"/>
      <c r="D66" s="21"/>
    </row>
    <row r="67" spans="2:4" ht="18" customHeight="1" x14ac:dyDescent="0.2">
      <c r="B67" s="23"/>
      <c r="C67" s="28"/>
      <c r="D67" s="28"/>
    </row>
    <row r="68" spans="2:4" ht="18" customHeight="1" x14ac:dyDescent="0.2">
      <c r="C68" s="21"/>
      <c r="D68" s="21"/>
    </row>
    <row r="69" spans="2:4" ht="18" customHeight="1" x14ac:dyDescent="0.2">
      <c r="B69" s="23"/>
      <c r="C69" s="28"/>
      <c r="D69" s="28"/>
    </row>
    <row r="70" spans="2:4" ht="18" customHeight="1" x14ac:dyDescent="0.2">
      <c r="C70" s="21"/>
      <c r="D70" s="21"/>
    </row>
    <row r="71" spans="2:4" ht="18" customHeight="1" x14ac:dyDescent="0.2">
      <c r="C71" s="21"/>
      <c r="D71" s="21"/>
    </row>
    <row r="72" spans="2:4" ht="18" customHeight="1" x14ac:dyDescent="0.2">
      <c r="C72" s="21"/>
      <c r="D72" s="21"/>
    </row>
    <row r="73" spans="2:4" ht="18" customHeight="1" x14ac:dyDescent="0.2">
      <c r="C73" s="21"/>
      <c r="D73" s="21"/>
    </row>
    <row r="74" spans="2:4" ht="18" customHeight="1" x14ac:dyDescent="0.2">
      <c r="C74" s="21"/>
      <c r="D74" s="21"/>
    </row>
    <row r="75" spans="2:4" ht="18" customHeight="1" x14ac:dyDescent="0.2">
      <c r="B75" s="23"/>
      <c r="C75" s="28"/>
      <c r="D75" s="28"/>
    </row>
    <row r="76" spans="2:4" ht="18" customHeight="1" x14ac:dyDescent="0.2">
      <c r="C76" s="21"/>
      <c r="D76" s="21"/>
    </row>
    <row r="77" spans="2:4" ht="18" customHeight="1" x14ac:dyDescent="0.2">
      <c r="C77" s="21"/>
      <c r="D77" s="21"/>
    </row>
    <row r="78" spans="2:4" ht="18" customHeight="1" x14ac:dyDescent="0.2">
      <c r="B78" s="23"/>
      <c r="C78" s="28"/>
      <c r="D78" s="28"/>
    </row>
    <row r="79" spans="2:4" ht="18" customHeight="1" x14ac:dyDescent="0.2">
      <c r="C79" s="21"/>
      <c r="D79" s="21"/>
    </row>
    <row r="80" spans="2:4" ht="18" customHeight="1" x14ac:dyDescent="0.2">
      <c r="C80" s="21"/>
      <c r="D80" s="21"/>
    </row>
    <row r="81" spans="2:4" ht="18" customHeight="1" x14ac:dyDescent="0.2">
      <c r="B81" s="23"/>
      <c r="C81" s="28"/>
      <c r="D81" s="28"/>
    </row>
    <row r="82" spans="2:4" ht="18" customHeight="1" x14ac:dyDescent="0.2">
      <c r="C82" s="21"/>
      <c r="D82" s="21"/>
    </row>
    <row r="83" spans="2:4" ht="18" customHeight="1" x14ac:dyDescent="0.2">
      <c r="C83" s="21"/>
      <c r="D83" s="21"/>
    </row>
    <row r="84" spans="2:4" ht="18" customHeight="1" x14ac:dyDescent="0.2">
      <c r="B84" s="23"/>
      <c r="C84" s="28"/>
      <c r="D84" s="28"/>
    </row>
    <row r="85" spans="2:4" ht="18" customHeight="1" x14ac:dyDescent="0.2">
      <c r="C85" s="21"/>
      <c r="D85" s="21"/>
    </row>
    <row r="86" spans="2:4" ht="18" customHeight="1" x14ac:dyDescent="0.2">
      <c r="B86" s="23"/>
      <c r="C86" s="28"/>
      <c r="D86" s="28"/>
    </row>
    <row r="87" spans="2:4" ht="18" customHeight="1" x14ac:dyDescent="0.2">
      <c r="C87" s="21"/>
      <c r="D87" s="21"/>
    </row>
    <row r="88" spans="2:4" ht="18" customHeight="1" x14ac:dyDescent="0.2">
      <c r="B88" s="23"/>
      <c r="C88" s="28"/>
      <c r="D88" s="28"/>
    </row>
    <row r="89" spans="2:4" ht="18" customHeight="1" x14ac:dyDescent="0.2">
      <c r="C89" s="21"/>
      <c r="D89" s="21"/>
    </row>
    <row r="90" spans="2:4" ht="18" customHeight="1" x14ac:dyDescent="0.2">
      <c r="C90" s="21"/>
      <c r="D90" s="21"/>
    </row>
    <row r="91" spans="2:4" ht="18" customHeight="1" x14ac:dyDescent="0.2">
      <c r="B91" s="23"/>
      <c r="C91" s="28"/>
      <c r="D91" s="28"/>
    </row>
    <row r="92" spans="2:4" ht="18" customHeight="1" x14ac:dyDescent="0.2">
      <c r="C92" s="21"/>
      <c r="D92" s="21"/>
    </row>
    <row r="93" spans="2:4" ht="18" customHeight="1" x14ac:dyDescent="0.2">
      <c r="B93" s="23"/>
      <c r="C93" s="28"/>
      <c r="D93" s="28"/>
    </row>
    <row r="94" spans="2:4" ht="18" customHeight="1" x14ac:dyDescent="0.2">
      <c r="C94" s="21"/>
      <c r="D94" s="21"/>
    </row>
    <row r="95" spans="2:4" ht="18" customHeight="1" x14ac:dyDescent="0.2">
      <c r="C95" s="21"/>
      <c r="D95" s="21"/>
    </row>
    <row r="96" spans="2:4" ht="18" customHeight="1" x14ac:dyDescent="0.2">
      <c r="C96" s="21"/>
      <c r="D96" s="21"/>
    </row>
  </sheetData>
  <phoneticPr fontId="6" type="noConversion"/>
  <pageMargins left="0.78740157499999996" right="0.78740157499999996" top="0.984251969" bottom="0.984251969" header="0.4921259845" footer="0.4921259845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T26"/>
  <sheetViews>
    <sheetView tabSelected="1" zoomScaleNormal="100" workbookViewId="0">
      <pane xSplit="2" ySplit="5" topLeftCell="C6" activePane="bottomRight" state="frozen"/>
      <selection pane="topRight" activeCell="H24" sqref="H24"/>
      <selection pane="bottomLeft" activeCell="H24" sqref="H24"/>
      <selection pane="bottomRight" activeCell="V18" sqref="V18"/>
    </sheetView>
  </sheetViews>
  <sheetFormatPr defaultColWidth="11.28515625" defaultRowHeight="18" customHeight="1" x14ac:dyDescent="0.2"/>
  <cols>
    <col min="1" max="1" width="6.28515625" customWidth="1"/>
    <col min="2" max="2" width="34.42578125" customWidth="1"/>
    <col min="3" max="3" width="7.5703125" style="33" customWidth="1"/>
    <col min="4" max="4" width="21.140625" style="33" customWidth="1"/>
    <col min="5" max="5" width="10.7109375" customWidth="1"/>
    <col min="6" max="6" width="10.7109375" style="13" customWidth="1"/>
    <col min="7" max="7" width="14.42578125" style="13" customWidth="1"/>
    <col min="8" max="9" width="10.7109375" style="13" customWidth="1"/>
    <col min="10" max="10" width="10.7109375" customWidth="1"/>
    <col min="11" max="13" width="10.7109375" style="13" customWidth="1"/>
    <col min="14" max="16" width="10.7109375" style="1" customWidth="1"/>
    <col min="17" max="19" width="7.7109375" style="7" customWidth="1"/>
    <col min="20" max="20" width="3" style="7" customWidth="1"/>
    <col min="21" max="21" width="8.7109375" style="7" customWidth="1"/>
    <col min="22" max="22" width="7.7109375" style="7" customWidth="1"/>
    <col min="23" max="43" width="7.7109375" style="1" customWidth="1"/>
    <col min="44" max="16384" width="11.28515625" style="1"/>
  </cols>
  <sheetData>
    <row r="1" spans="1:46" ht="21" customHeight="1" x14ac:dyDescent="0.3">
      <c r="A1" s="1"/>
      <c r="B1" s="74" t="str">
        <f>DD_stat!B1</f>
        <v xml:space="preserve">Dětské domovy </v>
      </c>
      <c r="C1" s="30"/>
      <c r="D1" s="30"/>
      <c r="E1" s="3"/>
      <c r="F1" s="12"/>
      <c r="G1" s="12"/>
      <c r="H1" s="12"/>
      <c r="I1" s="12"/>
      <c r="J1" s="3"/>
      <c r="K1" s="12"/>
      <c r="L1" s="12"/>
      <c r="M1" s="12"/>
    </row>
    <row r="2" spans="1:46" ht="15" customHeight="1" x14ac:dyDescent="0.25">
      <c r="A2" s="1"/>
      <c r="B2" s="68" t="str">
        <f>DD_stat!B2</f>
        <v>KRAJ - Liberecký</v>
      </c>
      <c r="C2" s="31"/>
      <c r="D2" s="31"/>
      <c r="E2" s="1"/>
      <c r="F2" s="7"/>
      <c r="G2" s="7"/>
      <c r="H2" s="7"/>
      <c r="I2" s="7"/>
      <c r="J2" s="1"/>
      <c r="K2" s="7"/>
      <c r="L2" s="7"/>
      <c r="M2" s="7"/>
      <c r="P2" s="37"/>
    </row>
    <row r="3" spans="1:46" ht="15" customHeight="1" x14ac:dyDescent="0.25">
      <c r="A3" s="1"/>
      <c r="B3" s="68" t="s">
        <v>43</v>
      </c>
      <c r="C3" s="32"/>
      <c r="D3" s="32"/>
      <c r="E3" s="4"/>
      <c r="F3" s="5"/>
      <c r="G3" s="5"/>
      <c r="H3" s="5"/>
      <c r="I3" s="5"/>
      <c r="J3" s="4"/>
      <c r="K3" s="5"/>
      <c r="L3" s="5"/>
      <c r="M3" s="5"/>
    </row>
    <row r="4" spans="1:46" ht="15" customHeight="1" x14ac:dyDescent="0.25">
      <c r="A4" s="1"/>
      <c r="B4" s="70">
        <f>DD_stat!B4</f>
        <v>2023</v>
      </c>
      <c r="C4" s="32"/>
      <c r="D4" s="32"/>
      <c r="E4" s="1"/>
      <c r="F4" s="7"/>
      <c r="G4" s="7"/>
      <c r="H4" s="7"/>
      <c r="I4" s="7"/>
      <c r="J4" s="1"/>
      <c r="K4" s="102" t="s">
        <v>44</v>
      </c>
      <c r="L4" s="103"/>
      <c r="M4" s="103"/>
      <c r="N4" s="103"/>
      <c r="O4" s="103"/>
      <c r="P4" s="103"/>
    </row>
    <row r="5" spans="1:46" ht="33.75" x14ac:dyDescent="0.2">
      <c r="A5" s="56" t="s">
        <v>3</v>
      </c>
      <c r="B5" s="57" t="s">
        <v>4</v>
      </c>
      <c r="C5" s="56" t="s">
        <v>5</v>
      </c>
      <c r="D5" s="56" t="s">
        <v>6</v>
      </c>
      <c r="E5" s="56" t="s">
        <v>45</v>
      </c>
      <c r="F5" s="49" t="s">
        <v>46</v>
      </c>
      <c r="G5" s="49" t="s">
        <v>47</v>
      </c>
      <c r="H5" s="49" t="s">
        <v>48</v>
      </c>
      <c r="I5" s="49" t="s">
        <v>49</v>
      </c>
      <c r="J5" s="56" t="s">
        <v>50</v>
      </c>
      <c r="K5" s="49" t="s">
        <v>51</v>
      </c>
      <c r="L5" s="49" t="s">
        <v>52</v>
      </c>
      <c r="M5" s="49" t="s">
        <v>53</v>
      </c>
      <c r="N5" s="49" t="s">
        <v>54</v>
      </c>
      <c r="O5" s="49" t="s">
        <v>55</v>
      </c>
      <c r="P5" s="57" t="s">
        <v>56</v>
      </c>
      <c r="Q5" s="56" t="s">
        <v>57</v>
      </c>
      <c r="R5" s="57" t="s">
        <v>58</v>
      </c>
      <c r="S5" s="56" t="s">
        <v>59</v>
      </c>
      <c r="T5" s="8"/>
      <c r="U5" s="49" t="s">
        <v>60</v>
      </c>
      <c r="V5" s="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5" customHeight="1" x14ac:dyDescent="0.2">
      <c r="A6" s="25">
        <f>DD_stat!A6</f>
        <v>1470</v>
      </c>
      <c r="B6" s="18" t="str">
        <f>DD_stat!B6</f>
        <v>Dětský domov, Česká Lípa, Mariánská 570</v>
      </c>
      <c r="C6" s="29">
        <f>DD_stat!C6</f>
        <v>3133</v>
      </c>
      <c r="D6" s="18" t="str">
        <f>DD_stat!D6</f>
        <v>DD, Česká Lípa, Mariánská 570</v>
      </c>
      <c r="E6" s="10">
        <f>ROUND(DD_rozp!N6,0)</f>
        <v>12343134</v>
      </c>
      <c r="F6" s="10">
        <f>ROUND((E6-I6)/1.358,0)</f>
        <v>9040883</v>
      </c>
      <c r="G6" s="10">
        <f>ROUND(E6-F6-H6-I6,0)</f>
        <v>3055818</v>
      </c>
      <c r="H6" s="10">
        <f t="shared" ref="H6:H12" si="0">ROUND(F6*0.02,0)</f>
        <v>180818</v>
      </c>
      <c r="I6" s="10">
        <f>ROUND((DD_stat!F6*DD_stat!I6),0)</f>
        <v>65615</v>
      </c>
      <c r="J6" s="11">
        <f>ROUND(((M6/DD_rozp!F6)+(DD_ZUKA!N6/DD_rozp!G6))/12,2)</f>
        <v>17.46</v>
      </c>
      <c r="K6" s="10">
        <f>12*1.358*1/DD_stat!G6*DD_rozp!F6</f>
        <v>2743666.9866666659</v>
      </c>
      <c r="L6" s="10">
        <f>12*1.358*1/DD_stat!H6*DD_rozp!G6</f>
        <v>1153958.4000000001</v>
      </c>
      <c r="M6" s="10">
        <f>ROUND(K6*DD_stat!F6/1.358,0)</f>
        <v>6364176</v>
      </c>
      <c r="N6" s="10">
        <f>ROUND(L6*DD_stat!F6/1.358,0)</f>
        <v>2676708</v>
      </c>
      <c r="O6" s="10">
        <f t="shared" ref="O6:O12" si="1">SUM(M6:N6)</f>
        <v>9040884</v>
      </c>
      <c r="P6" s="6">
        <f>ROUND(DD_stat!F6/DD_stat!G6,2)</f>
        <v>10.97</v>
      </c>
      <c r="Q6" s="6">
        <f>P6/3</f>
        <v>3.6566666666666667</v>
      </c>
      <c r="R6" s="6">
        <f>ROUND(DD_stat!F6/DD_stat!H6,2)</f>
        <v>6.49</v>
      </c>
      <c r="S6" s="6">
        <f>SUM(P6,R6)</f>
        <v>17.46</v>
      </c>
      <c r="T6" s="76"/>
      <c r="U6" s="95">
        <f>DD_stat!F6</f>
        <v>3.1500000000000004</v>
      </c>
    </row>
    <row r="7" spans="1:46" ht="15" customHeight="1" x14ac:dyDescent="0.2">
      <c r="A7" s="25">
        <f>DD_stat!A7</f>
        <v>1471</v>
      </c>
      <c r="B7" s="18" t="str">
        <f>DD_stat!B7</f>
        <v>Dětský domov, Jablonné v Podještědí, Zámecká 1</v>
      </c>
      <c r="C7" s="29">
        <f>DD_stat!C7</f>
        <v>3133</v>
      </c>
      <c r="D7" s="18" t="str">
        <f>DD_stat!D7</f>
        <v>DD, Jablonné v Podještědí, Zámecká 1</v>
      </c>
      <c r="E7" s="10">
        <f>ROUND(DD_rozp!N7,0)</f>
        <v>21982535</v>
      </c>
      <c r="F7" s="10">
        <f t="shared" ref="F7:F12" si="2">ROUND((E7-I7)/1.358,0)</f>
        <v>16101384</v>
      </c>
      <c r="G7" s="10">
        <f t="shared" ref="G7:G12" si="3">ROUND(E7-F7-H7-I7,0)</f>
        <v>5442267</v>
      </c>
      <c r="H7" s="10">
        <f t="shared" si="0"/>
        <v>322028</v>
      </c>
      <c r="I7" s="10">
        <f>ROUND((DD_stat!F7*DD_stat!I7),0)</f>
        <v>116856</v>
      </c>
      <c r="J7" s="11">
        <f>ROUND(((M7/DD_rozp!F7)+(DD_ZUKA!N7/DD_rozp!G7))/12,2)</f>
        <v>31.1</v>
      </c>
      <c r="K7" s="10">
        <f>12*1.358*1/DD_stat!G7*DD_rozp!F7</f>
        <v>2743666.9866666659</v>
      </c>
      <c r="L7" s="10">
        <f>12*1.358*1/DD_stat!H7*DD_rozp!G7</f>
        <v>1153958.4000000001</v>
      </c>
      <c r="M7" s="10">
        <f>ROUND(K7*DD_stat!F7/1.358,0)</f>
        <v>11334294</v>
      </c>
      <c r="N7" s="10">
        <f>ROUND(L7*DD_stat!F7/1.358,0)</f>
        <v>4767089</v>
      </c>
      <c r="O7" s="10">
        <f t="shared" si="1"/>
        <v>16101383</v>
      </c>
      <c r="P7" s="6">
        <f>ROUND(DD_stat!F7/DD_stat!G7,2)</f>
        <v>19.53</v>
      </c>
      <c r="Q7" s="6">
        <f t="shared" ref="Q7:Q12" si="4">P7/3</f>
        <v>6.5100000000000007</v>
      </c>
      <c r="R7" s="6">
        <f>ROUND(DD_stat!F7/DD_stat!H7,2)</f>
        <v>11.57</v>
      </c>
      <c r="S7" s="6">
        <f t="shared" ref="S7:S12" si="5">SUM(P7,R7)</f>
        <v>31.1</v>
      </c>
      <c r="T7" s="76"/>
      <c r="U7" s="95">
        <f>DD_stat!F7</f>
        <v>5.61</v>
      </c>
    </row>
    <row r="8" spans="1:46" ht="15" customHeight="1" x14ac:dyDescent="0.2">
      <c r="A8" s="25">
        <f>DD_stat!A8</f>
        <v>1472</v>
      </c>
      <c r="B8" s="18" t="str">
        <f>DD_stat!B8</f>
        <v>Dětský domov, ZŠ a MŠ, Krompach 47</v>
      </c>
      <c r="C8" s="29">
        <f>DD_stat!C8</f>
        <v>3133</v>
      </c>
      <c r="D8" s="18" t="str">
        <f>DD_stat!D8</f>
        <v>DD a Spec. školy, Krompach 47</v>
      </c>
      <c r="E8" s="10">
        <f>ROUND(DD_rozp!N8,0)</f>
        <v>21982535</v>
      </c>
      <c r="F8" s="10">
        <f t="shared" si="2"/>
        <v>16101384</v>
      </c>
      <c r="G8" s="10">
        <f t="shared" si="3"/>
        <v>5442267</v>
      </c>
      <c r="H8" s="10">
        <f t="shared" si="0"/>
        <v>322028</v>
      </c>
      <c r="I8" s="10">
        <f>ROUND((DD_stat!F8*DD_stat!I8),0)</f>
        <v>116856</v>
      </c>
      <c r="J8" s="11">
        <f>ROUND(((M8/DD_rozp!F8)+(DD_ZUKA!N8/DD_rozp!G8))/12,2)</f>
        <v>31.1</v>
      </c>
      <c r="K8" s="10">
        <f>12*1.358*1/DD_stat!G8*DD_rozp!F8</f>
        <v>2743666.9866666659</v>
      </c>
      <c r="L8" s="10">
        <f>12*1.358*1/DD_stat!H8*DD_rozp!G8</f>
        <v>1153958.4000000001</v>
      </c>
      <c r="M8" s="10">
        <f>ROUND(K8*DD_stat!F8/1.358,0)</f>
        <v>11334294</v>
      </c>
      <c r="N8" s="10">
        <f>ROUND(L8*DD_stat!F8/1.358,0)</f>
        <v>4767089</v>
      </c>
      <c r="O8" s="10">
        <f t="shared" si="1"/>
        <v>16101383</v>
      </c>
      <c r="P8" s="6">
        <f>ROUND(DD_stat!F8/DD_stat!G8,2)</f>
        <v>19.53</v>
      </c>
      <c r="Q8" s="6">
        <f t="shared" si="4"/>
        <v>6.5100000000000007</v>
      </c>
      <c r="R8" s="6">
        <f>ROUND(DD_stat!F8/DD_stat!H8,2)</f>
        <v>11.57</v>
      </c>
      <c r="S8" s="6">
        <f t="shared" si="5"/>
        <v>31.1</v>
      </c>
      <c r="T8" s="76"/>
      <c r="U8" s="95">
        <f>DD_stat!F8</f>
        <v>5.61</v>
      </c>
    </row>
    <row r="9" spans="1:46" ht="15" customHeight="1" x14ac:dyDescent="0.2">
      <c r="A9" s="25">
        <f>DD_stat!A9</f>
        <v>1473</v>
      </c>
      <c r="B9" s="18" t="str">
        <f>DD_stat!B9</f>
        <v>Dětský domov, Dubá - Deštná 6</v>
      </c>
      <c r="C9" s="29">
        <f>DD_stat!C9</f>
        <v>3133</v>
      </c>
      <c r="D9" s="18" t="str">
        <f>DD_stat!D9</f>
        <v>DD, Dubá - Deštná 6</v>
      </c>
      <c r="E9" s="10">
        <f>ROUND(DD_rozp!N9,0)</f>
        <v>19004509</v>
      </c>
      <c r="F9" s="10">
        <f t="shared" si="2"/>
        <v>13920091</v>
      </c>
      <c r="G9" s="10">
        <f t="shared" si="3"/>
        <v>4704990</v>
      </c>
      <c r="H9" s="10">
        <f t="shared" si="0"/>
        <v>278402</v>
      </c>
      <c r="I9" s="10">
        <f>ROUND((DD_stat!F9*DD_stat!I9),0)</f>
        <v>101026</v>
      </c>
      <c r="J9" s="11">
        <f>ROUND(((M9/DD_rozp!F9)+(DD_ZUKA!N9/DD_rozp!G9))/12,2)</f>
        <v>26.89</v>
      </c>
      <c r="K9" s="10">
        <f>12*1.358*1/DD_stat!G9*DD_rozp!F9</f>
        <v>2743666.9866666659</v>
      </c>
      <c r="L9" s="10">
        <f>12*1.358*1/DD_stat!H9*DD_rozp!G9</f>
        <v>1153958.4000000001</v>
      </c>
      <c r="M9" s="10">
        <f>ROUND(K9*DD_stat!F9/1.358,0)</f>
        <v>9798811</v>
      </c>
      <c r="N9" s="10">
        <f>ROUND(L9*DD_stat!F9/1.358,0)</f>
        <v>4121280</v>
      </c>
      <c r="O9" s="10">
        <f t="shared" si="1"/>
        <v>13920091</v>
      </c>
      <c r="P9" s="6">
        <f>ROUND(DD_stat!F9/DD_stat!G9,2)</f>
        <v>16.89</v>
      </c>
      <c r="Q9" s="6">
        <f t="shared" si="4"/>
        <v>5.63</v>
      </c>
      <c r="R9" s="6">
        <f>ROUND(DD_stat!F9/DD_stat!H9,2)</f>
        <v>10</v>
      </c>
      <c r="S9" s="6">
        <f t="shared" si="5"/>
        <v>26.89</v>
      </c>
      <c r="T9" s="76"/>
      <c r="U9" s="95">
        <f>DD_stat!F9</f>
        <v>4.8499999999999996</v>
      </c>
    </row>
    <row r="10" spans="1:46" ht="15" customHeight="1" x14ac:dyDescent="0.2">
      <c r="A10" s="25">
        <f>DD_stat!A10</f>
        <v>1474</v>
      </c>
      <c r="B10" s="18" t="str">
        <f>DD_stat!B10</f>
        <v>Dětský domov, Jablonec nad Nisou, Pasecká 20</v>
      </c>
      <c r="C10" s="29">
        <f>DD_stat!C10</f>
        <v>3133</v>
      </c>
      <c r="D10" s="18" t="str">
        <f>DD_stat!D10</f>
        <v>DD, Jablonec nad Nisou, Pasecká 20</v>
      </c>
      <c r="E10" s="10">
        <f>ROUND(DD_rozp!N10,0)</f>
        <v>12343134</v>
      </c>
      <c r="F10" s="10">
        <f t="shared" si="2"/>
        <v>9040883</v>
      </c>
      <c r="G10" s="10">
        <f t="shared" si="3"/>
        <v>3055818</v>
      </c>
      <c r="H10" s="10">
        <f t="shared" si="0"/>
        <v>180818</v>
      </c>
      <c r="I10" s="10">
        <f>ROUND((DD_stat!F10*DD_stat!I10),0)</f>
        <v>65615</v>
      </c>
      <c r="J10" s="11">
        <f>ROUND(((M10/DD_rozp!F10)+(DD_ZUKA!N10/DD_rozp!G10))/12,2)</f>
        <v>17.46</v>
      </c>
      <c r="K10" s="10">
        <f>12*1.358*1/DD_stat!G10*DD_rozp!F10</f>
        <v>2743666.9866666659</v>
      </c>
      <c r="L10" s="10">
        <f>12*1.358*1/DD_stat!H10*DD_rozp!G10</f>
        <v>1153958.4000000001</v>
      </c>
      <c r="M10" s="10">
        <f>ROUND(K10*DD_stat!F10/1.358,0)</f>
        <v>6364176</v>
      </c>
      <c r="N10" s="10">
        <f>ROUND(L10*DD_stat!F10/1.358,0)</f>
        <v>2676708</v>
      </c>
      <c r="O10" s="10">
        <f t="shared" si="1"/>
        <v>9040884</v>
      </c>
      <c r="P10" s="6">
        <f>ROUND(DD_stat!F10/DD_stat!G10,2)</f>
        <v>10.97</v>
      </c>
      <c r="Q10" s="6">
        <f t="shared" si="4"/>
        <v>3.6566666666666667</v>
      </c>
      <c r="R10" s="6">
        <f>ROUND(DD_stat!F10/DD_stat!H10,2)</f>
        <v>6.49</v>
      </c>
      <c r="S10" s="6">
        <f t="shared" si="5"/>
        <v>17.46</v>
      </c>
      <c r="T10" s="76"/>
      <c r="U10" s="95">
        <f>DD_stat!F10</f>
        <v>3.1500000000000004</v>
      </c>
    </row>
    <row r="11" spans="1:46" ht="15" customHeight="1" x14ac:dyDescent="0.2">
      <c r="A11" s="25">
        <f>DD_stat!A11</f>
        <v>1475</v>
      </c>
      <c r="B11" s="18" t="str">
        <f>DD_stat!B11</f>
        <v>Dětský domov, Frýdlant, Větrov 3005</v>
      </c>
      <c r="C11" s="29">
        <f>DD_stat!C11</f>
        <v>3133</v>
      </c>
      <c r="D11" s="18" t="str">
        <f>DD_stat!D11</f>
        <v>DD, Frýdlant, Větrov 3005</v>
      </c>
      <c r="E11" s="10">
        <f>ROUND(DD_rozp!N11,0)</f>
        <v>16144036</v>
      </c>
      <c r="F11" s="10">
        <f t="shared" si="2"/>
        <v>11824901</v>
      </c>
      <c r="G11" s="10">
        <f t="shared" si="3"/>
        <v>3996817</v>
      </c>
      <c r="H11" s="10">
        <f t="shared" si="0"/>
        <v>236498</v>
      </c>
      <c r="I11" s="10">
        <f>ROUND((DD_stat!F11*DD_stat!I11),0)</f>
        <v>85820</v>
      </c>
      <c r="J11" s="11">
        <f>ROUND(((M11/DD_rozp!F11)+(DD_ZUKA!N11/DD_rozp!G11))/12,2)</f>
        <v>22.84</v>
      </c>
      <c r="K11" s="10">
        <f>12*1.358*1/DD_stat!G11*DD_rozp!F11</f>
        <v>2743666.9866666659</v>
      </c>
      <c r="L11" s="10">
        <f>12*1.358*1/DD_stat!H11*DD_rozp!G11</f>
        <v>1153958.4000000001</v>
      </c>
      <c r="M11" s="10">
        <f>ROUND(K11*DD_stat!F11/1.358,0)</f>
        <v>8323938</v>
      </c>
      <c r="N11" s="10">
        <f>ROUND(L11*DD_stat!F11/1.358,0)</f>
        <v>3500964</v>
      </c>
      <c r="O11" s="10">
        <f t="shared" si="1"/>
        <v>11824902</v>
      </c>
      <c r="P11" s="6">
        <f>ROUND(DD_stat!F11/DD_stat!G11,2)</f>
        <v>14.34</v>
      </c>
      <c r="Q11" s="6">
        <f t="shared" si="4"/>
        <v>4.78</v>
      </c>
      <c r="R11" s="6">
        <f>ROUND(DD_stat!F11/DD_stat!H11,2)</f>
        <v>8.49</v>
      </c>
      <c r="S11" s="6">
        <f t="shared" si="5"/>
        <v>22.83</v>
      </c>
      <c r="T11" s="76"/>
      <c r="U11" s="95">
        <f>DD_stat!F11</f>
        <v>4.12</v>
      </c>
    </row>
    <row r="12" spans="1:46" ht="15" customHeight="1" x14ac:dyDescent="0.2">
      <c r="A12" s="25">
        <f>DD_stat!A12</f>
        <v>1476</v>
      </c>
      <c r="B12" s="18" t="str">
        <f>DD_stat!B12</f>
        <v>Dětský domov, Semily, Nad školami 480</v>
      </c>
      <c r="C12" s="29">
        <f>DD_stat!C12</f>
        <v>3133</v>
      </c>
      <c r="D12" s="18" t="str">
        <f>DD_stat!D12</f>
        <v>DD, Semily, Nad školami 480</v>
      </c>
      <c r="E12" s="10">
        <f>ROUND(DD_rozp!N12,0)</f>
        <v>8307125</v>
      </c>
      <c r="F12" s="10">
        <f t="shared" si="2"/>
        <v>6084658</v>
      </c>
      <c r="G12" s="10">
        <f t="shared" si="3"/>
        <v>2056614</v>
      </c>
      <c r="H12" s="10">
        <f t="shared" si="0"/>
        <v>121693</v>
      </c>
      <c r="I12" s="10">
        <f>ROUND((DD_stat!F12*DD_stat!I12),0)</f>
        <v>44160</v>
      </c>
      <c r="J12" s="11">
        <f>ROUND(((M12/DD_rozp!F12)+(DD_ZUKA!N12/DD_rozp!G12))/12,2)</f>
        <v>11.75</v>
      </c>
      <c r="K12" s="10">
        <f>12*1.358*1/DD_stat!G12*DD_rozp!F12</f>
        <v>2743666.9866666659</v>
      </c>
      <c r="L12" s="10">
        <f>12*1.358*1/DD_stat!H12*DD_rozp!G12</f>
        <v>1153958.4000000001</v>
      </c>
      <c r="M12" s="10">
        <f>ROUND(K12*DD_stat!F12/1.358,0)</f>
        <v>4283191</v>
      </c>
      <c r="N12" s="10">
        <f>ROUND(L12*DD_stat!F12/1.358,0)</f>
        <v>1801467</v>
      </c>
      <c r="O12" s="10">
        <f t="shared" si="1"/>
        <v>6084658</v>
      </c>
      <c r="P12" s="6">
        <f>ROUND(DD_stat!F12/DD_stat!G12,2)</f>
        <v>7.38</v>
      </c>
      <c r="Q12" s="6">
        <f t="shared" si="4"/>
        <v>2.46</v>
      </c>
      <c r="R12" s="6">
        <f>ROUND(DD_stat!F12/DD_stat!H12,2)</f>
        <v>4.37</v>
      </c>
      <c r="S12" s="6">
        <f t="shared" si="5"/>
        <v>11.75</v>
      </c>
      <c r="T12" s="76"/>
      <c r="U12" s="95">
        <f>DD_stat!F12</f>
        <v>2.12</v>
      </c>
    </row>
    <row r="13" spans="1:46" ht="15" customHeight="1" x14ac:dyDescent="0.2">
      <c r="A13" s="58" t="s">
        <v>26</v>
      </c>
      <c r="B13" s="59" t="str">
        <f>DD_stat!B13</f>
        <v>celkem</v>
      </c>
      <c r="C13" s="58" t="s">
        <v>26</v>
      </c>
      <c r="D13" s="58"/>
      <c r="E13" s="60">
        <f t="shared" ref="E13:J13" si="6">E6+E7+E8+E9+E10+E11+E12</f>
        <v>112107008</v>
      </c>
      <c r="F13" s="60">
        <f>F6+F7+F8+F9+F10+F11+F12</f>
        <v>82114184</v>
      </c>
      <c r="G13" s="60">
        <f t="shared" si="6"/>
        <v>27754591</v>
      </c>
      <c r="H13" s="60">
        <f t="shared" si="6"/>
        <v>1642285</v>
      </c>
      <c r="I13" s="60">
        <f t="shared" si="6"/>
        <v>595948</v>
      </c>
      <c r="J13" s="61">
        <f t="shared" si="6"/>
        <v>158.6</v>
      </c>
      <c r="K13" s="62" t="s">
        <v>26</v>
      </c>
      <c r="L13" s="62" t="s">
        <v>26</v>
      </c>
      <c r="M13" s="60">
        <f>M6+M7+M8+M9+M10+M11+M12</f>
        <v>57802880</v>
      </c>
      <c r="N13" s="60">
        <f>N6+N7+N8+N9+N10+N11+N12</f>
        <v>24311305</v>
      </c>
      <c r="O13" s="60">
        <f>O6+O7+O8+O9+O10+O11+O12</f>
        <v>82114185</v>
      </c>
      <c r="P13" s="63">
        <f>SUM(P6:P12)</f>
        <v>99.61</v>
      </c>
      <c r="Q13" s="64" t="s">
        <v>26</v>
      </c>
      <c r="R13" s="63">
        <f>SUM(R6:R12)</f>
        <v>58.980000000000004</v>
      </c>
      <c r="S13" s="63">
        <f>SUM(S6:S12)</f>
        <v>158.58999999999997</v>
      </c>
      <c r="T13" s="76"/>
      <c r="U13" s="9"/>
      <c r="V13" s="9"/>
    </row>
    <row r="14" spans="1:46" s="15" customFormat="1" ht="18" customHeight="1" x14ac:dyDescent="0.2">
      <c r="A14" s="14"/>
      <c r="C14" s="16"/>
      <c r="D14" s="16"/>
      <c r="E14" s="36">
        <f>SUM(F13:I13)</f>
        <v>112107008</v>
      </c>
      <c r="F14" s="7"/>
      <c r="G14" s="36"/>
      <c r="H14" s="36">
        <f>F13*2%</f>
        <v>1642283.68</v>
      </c>
      <c r="I14" s="36"/>
      <c r="K14" s="17"/>
      <c r="L14" s="17"/>
      <c r="O14" s="36">
        <f>F13</f>
        <v>82114184</v>
      </c>
      <c r="Q14" s="17"/>
      <c r="R14" s="17"/>
      <c r="S14" s="43">
        <f>J13</f>
        <v>158.6</v>
      </c>
      <c r="T14" s="17"/>
      <c r="U14" s="17"/>
      <c r="V14" s="17"/>
    </row>
    <row r="15" spans="1:46" customFormat="1" ht="18" customHeight="1" x14ac:dyDescent="0.2"/>
    <row r="16" spans="1:46" customFormat="1" ht="18" customHeight="1" x14ac:dyDescent="0.2"/>
    <row r="17" spans="5:6" customFormat="1" ht="18" customHeight="1" x14ac:dyDescent="0.2"/>
    <row r="19" spans="5:6" ht="18" customHeight="1" x14ac:dyDescent="0.2">
      <c r="E19" t="s">
        <v>61</v>
      </c>
    </row>
    <row r="20" spans="5:6" ht="18" customHeight="1" x14ac:dyDescent="0.2">
      <c r="E20" t="s">
        <v>62</v>
      </c>
    </row>
    <row r="21" spans="5:6" ht="18" customHeight="1" x14ac:dyDescent="0.2">
      <c r="E21" t="s">
        <v>63</v>
      </c>
    </row>
    <row r="22" spans="5:6" ht="18" customHeight="1" x14ac:dyDescent="0.2">
      <c r="E22" t="s">
        <v>64</v>
      </c>
    </row>
    <row r="23" spans="5:6" ht="18" customHeight="1" x14ac:dyDescent="0.2">
      <c r="E23" t="s">
        <v>65</v>
      </c>
    </row>
    <row r="24" spans="5:6" ht="18" customHeight="1" x14ac:dyDescent="0.2">
      <c r="E24" t="s">
        <v>66</v>
      </c>
    </row>
    <row r="25" spans="5:6" ht="18" customHeight="1" x14ac:dyDescent="0.2">
      <c r="F25" s="97">
        <f>SUM(F19:F24)</f>
        <v>0</v>
      </c>
    </row>
    <row r="26" spans="5:6" ht="18" customHeight="1" x14ac:dyDescent="0.2">
      <c r="E26" t="s">
        <v>67</v>
      </c>
      <c r="F26" s="36"/>
    </row>
  </sheetData>
  <mergeCells count="1">
    <mergeCell ref="K4:P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0" tint="-0.249977111117893"/>
  </sheetPr>
  <dimension ref="A1:I15"/>
  <sheetViews>
    <sheetView showGridLines="0" workbookViewId="0">
      <selection activeCell="F23" sqref="F23"/>
    </sheetView>
  </sheetViews>
  <sheetFormatPr defaultRowHeight="12.75" x14ac:dyDescent="0.2"/>
  <cols>
    <col min="1" max="1" width="44.5703125" style="65" bestFit="1" customWidth="1"/>
    <col min="2" max="3" width="13.42578125" style="65" customWidth="1"/>
    <col min="4" max="4" width="16" style="65" customWidth="1"/>
    <col min="5" max="5" width="12.7109375" style="65" customWidth="1"/>
    <col min="6" max="6" width="27.5703125" style="65" bestFit="1" customWidth="1"/>
    <col min="7" max="7" width="7.5703125" style="65" customWidth="1"/>
    <col min="8" max="16384" width="9.140625" style="65"/>
  </cols>
  <sheetData>
    <row r="1" spans="1:9" x14ac:dyDescent="0.2">
      <c r="A1" s="91" t="s">
        <v>79</v>
      </c>
      <c r="B1" s="80"/>
      <c r="C1" s="81" t="s">
        <v>9</v>
      </c>
      <c r="D1" s="81" t="s">
        <v>10</v>
      </c>
      <c r="E1" s="26"/>
      <c r="F1" s="26"/>
      <c r="G1" s="99">
        <v>2023</v>
      </c>
      <c r="I1" s="98"/>
    </row>
    <row r="2" spans="1:9" x14ac:dyDescent="0.2">
      <c r="A2" s="82" t="s">
        <v>68</v>
      </c>
      <c r="B2" s="83"/>
      <c r="C2" s="83"/>
      <c r="D2" s="83"/>
      <c r="E2" s="26"/>
      <c r="F2" s="84" t="s">
        <v>69</v>
      </c>
      <c r="G2" s="100">
        <v>48360</v>
      </c>
      <c r="H2" s="79"/>
    </row>
    <row r="3" spans="1:9" x14ac:dyDescent="0.2">
      <c r="A3" s="85" t="s">
        <v>70</v>
      </c>
      <c r="B3" s="86"/>
      <c r="C3" s="88">
        <v>0.28723404255319152</v>
      </c>
      <c r="D3" s="88">
        <v>0.48499999999999999</v>
      </c>
      <c r="E3" s="26"/>
      <c r="F3" s="84" t="s">
        <v>71</v>
      </c>
      <c r="G3" s="84">
        <v>0</v>
      </c>
      <c r="H3" s="79"/>
      <c r="I3" s="78"/>
    </row>
    <row r="4" spans="1:9" x14ac:dyDescent="0.2">
      <c r="A4" s="89" t="s">
        <v>72</v>
      </c>
      <c r="B4"/>
      <c r="C4"/>
      <c r="D4"/>
      <c r="E4" s="26"/>
      <c r="F4" s="84" t="s">
        <v>73</v>
      </c>
      <c r="G4" s="100">
        <v>34344</v>
      </c>
      <c r="H4" s="79"/>
      <c r="I4" s="78"/>
    </row>
    <row r="5" spans="1:9" x14ac:dyDescent="0.2">
      <c r="A5"/>
      <c r="B5"/>
      <c r="C5"/>
      <c r="D5"/>
      <c r="E5" s="26"/>
      <c r="F5" s="26"/>
      <c r="G5" s="26"/>
      <c r="H5" s="79"/>
      <c r="I5" s="78"/>
    </row>
    <row r="6" spans="1:9" x14ac:dyDescent="0.2">
      <c r="A6"/>
      <c r="B6"/>
      <c r="C6"/>
      <c r="D6"/>
      <c r="E6" s="26"/>
      <c r="F6" s="84" t="s">
        <v>74</v>
      </c>
      <c r="G6" s="100">
        <v>20830</v>
      </c>
      <c r="I6" s="78"/>
    </row>
    <row r="7" spans="1:9" x14ac:dyDescent="0.2">
      <c r="A7" s="92" t="s">
        <v>75</v>
      </c>
      <c r="B7"/>
      <c r="C7"/>
      <c r="D7"/>
      <c r="E7"/>
      <c r="F7" s="87"/>
      <c r="G7" s="90"/>
      <c r="I7" s="78"/>
    </row>
    <row r="8" spans="1:9" x14ac:dyDescent="0.2">
      <c r="A8" s="92" t="s">
        <v>76</v>
      </c>
      <c r="B8"/>
      <c r="C8"/>
      <c r="D8"/>
      <c r="E8"/>
    </row>
    <row r="9" spans="1:9" x14ac:dyDescent="0.2">
      <c r="A9"/>
      <c r="B9"/>
      <c r="C9"/>
      <c r="D9"/>
      <c r="E9"/>
    </row>
    <row r="10" spans="1:9" x14ac:dyDescent="0.2">
      <c r="A10" s="93" t="s">
        <v>77</v>
      </c>
      <c r="B10" s="93" t="s">
        <v>78</v>
      </c>
      <c r="C10"/>
      <c r="D10"/>
      <c r="E10"/>
    </row>
    <row r="11" spans="1:9" x14ac:dyDescent="0.2">
      <c r="A11" s="93">
        <v>2</v>
      </c>
      <c r="B11" s="94">
        <v>1.06</v>
      </c>
      <c r="C11"/>
      <c r="D11"/>
      <c r="E11"/>
    </row>
    <row r="12" spans="1:9" x14ac:dyDescent="0.2">
      <c r="A12" s="93">
        <v>3</v>
      </c>
      <c r="B12" s="94">
        <v>1.05</v>
      </c>
      <c r="C12"/>
      <c r="D12"/>
      <c r="E12"/>
    </row>
    <row r="13" spans="1:9" x14ac:dyDescent="0.2">
      <c r="A13" s="93">
        <v>4</v>
      </c>
      <c r="B13" s="94">
        <v>1.03</v>
      </c>
      <c r="C13"/>
      <c r="D13"/>
      <c r="E13"/>
    </row>
    <row r="14" spans="1:9" x14ac:dyDescent="0.2">
      <c r="A14" s="93">
        <v>5</v>
      </c>
      <c r="B14" s="94">
        <v>0.97</v>
      </c>
      <c r="C14"/>
      <c r="D14"/>
      <c r="E14"/>
    </row>
    <row r="15" spans="1:9" x14ac:dyDescent="0.2">
      <c r="A15" s="93">
        <v>6</v>
      </c>
      <c r="B15" s="94">
        <v>0.93500000000000005</v>
      </c>
      <c r="C15"/>
      <c r="D15"/>
      <c r="E15"/>
    </row>
  </sheetData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DD_stat</vt:lpstr>
      <vt:lpstr>DD_rozp</vt:lpstr>
      <vt:lpstr>DD_ZUKA</vt:lpstr>
      <vt:lpstr>DD_normativy</vt:lpstr>
      <vt:lpstr>DD_stat!Oblast_tisku</vt:lpstr>
      <vt:lpstr>DD_ZUKA!Oblast_tisku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dcterms:created xsi:type="dcterms:W3CDTF">2003-11-21T19:37:53Z</dcterms:created>
  <dcterms:modified xsi:type="dcterms:W3CDTF">2023-02-20T08:08:31Z</dcterms:modified>
  <cp:category/>
  <cp:contentStatus/>
</cp:coreProperties>
</file>